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8840" windowHeight="8115" tabRatio="807" activeTab="3"/>
  </bookViews>
  <sheets>
    <sheet name="Tab.1_Bilance" sheetId="1" r:id="rId1"/>
    <sheet name="Tab.2_ROZPOČET 2012" sheetId="8" r:id="rId2"/>
    <sheet name="Tab.3_A" sheetId="7" r:id="rId3"/>
    <sheet name="Tab.4_K" sheetId="2" r:id="rId4"/>
    <sheet name="Tab.5_VKM pro K" sheetId="3" r:id="rId5"/>
    <sheet name="Tab.6_C" sheetId="5" r:id="rId6"/>
    <sheet name="Tab.7_J" sheetId="4" r:id="rId7"/>
    <sheet name="Tab.8_U" sheetId="6" r:id="rId8"/>
    <sheet name=" Tab.9_U3V " sheetId="15" r:id="rId9"/>
    <sheet name="Tab.10_Studium SSP" sheetId="16" r:id="rId10"/>
    <sheet name="Tab.11_FRVŠ" sheetId="17" r:id="rId11"/>
  </sheets>
  <externalReferences>
    <externalReference r:id="rId12"/>
    <externalReference r:id="rId13"/>
  </externalReferences>
  <definedNames>
    <definedName name="_xlnm._FilterDatabase" localSheetId="0" hidden="1">Tab.1_Bilance!$A$10:$M$63</definedName>
    <definedName name="_xlnm._FilterDatabase" localSheetId="2" hidden="1">Tab.3_A!$A$12:$N$180</definedName>
    <definedName name="_xlnm.Print_Titles" localSheetId="2">Tab.3_A!$12:$14</definedName>
    <definedName name="_xlnm.Print_Area" localSheetId="0">Tab.1_Bilance!$A$1:$N$63</definedName>
    <definedName name="_xlnm.Print_Area" localSheetId="2">Tab.3_A!$A$1:$N$223</definedName>
    <definedName name="_xlnm.Print_Area" localSheetId="3">Tab.4_K!$A$1:$BG$34</definedName>
    <definedName name="_xlnm.Print_Area" localSheetId="5">Tab.6_C!$A$1:$E$43</definedName>
    <definedName name="_xlnm.Print_Area" localSheetId="6">Tab.7_J!$A$1:$F$37</definedName>
    <definedName name="_xlnm.Print_Area" localSheetId="7">Tab.8_U!$A$1:$D$47</definedName>
    <definedName name="OLE_LINK6" localSheetId="10">Tab.11_FRVŠ!#REF!</definedName>
  </definedNames>
  <calcPr calcId="144525"/>
</workbook>
</file>

<file path=xl/calcChain.xml><?xml version="1.0" encoding="utf-8"?>
<calcChain xmlns="http://schemas.openxmlformats.org/spreadsheetml/2006/main">
  <c r="E188" i="7" l="1"/>
  <c r="D11" i="6" l="1"/>
  <c r="D6" i="6"/>
  <c r="H19" i="1" l="1"/>
  <c r="H28" i="1"/>
  <c r="H33" i="1"/>
  <c r="H36" i="1"/>
  <c r="H44" i="1"/>
  <c r="H56" i="1"/>
  <c r="H60" i="1"/>
  <c r="H58" i="1" l="1"/>
  <c r="H61" i="1" s="1"/>
  <c r="L44" i="1"/>
  <c r="D34" i="5"/>
  <c r="F41" i="17"/>
  <c r="D41" i="17"/>
  <c r="C41" i="17"/>
  <c r="H40" i="17"/>
  <c r="G40" i="17"/>
  <c r="H39" i="17"/>
  <c r="G39" i="17"/>
  <c r="H38" i="17"/>
  <c r="G38" i="17"/>
  <c r="H37" i="17"/>
  <c r="G37" i="17"/>
  <c r="H36" i="17"/>
  <c r="G36" i="17"/>
  <c r="H35" i="17"/>
  <c r="G35" i="17"/>
  <c r="H34" i="17"/>
  <c r="G34" i="17"/>
  <c r="H33" i="17"/>
  <c r="G33" i="17"/>
  <c r="H32" i="17"/>
  <c r="G32" i="17"/>
  <c r="H31" i="17"/>
  <c r="G31" i="17"/>
  <c r="H30" i="17"/>
  <c r="G30" i="17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H22" i="17"/>
  <c r="G22" i="17"/>
  <c r="H21" i="17"/>
  <c r="G21" i="17"/>
  <c r="H20" i="17"/>
  <c r="G20" i="17"/>
  <c r="H19" i="17"/>
  <c r="G19" i="17"/>
  <c r="H18" i="17"/>
  <c r="G18" i="17"/>
  <c r="H17" i="17"/>
  <c r="G17" i="17"/>
  <c r="H16" i="17"/>
  <c r="G16" i="17"/>
  <c r="H15" i="17"/>
  <c r="G15" i="17"/>
  <c r="H14" i="17"/>
  <c r="E14" i="17"/>
  <c r="E41" i="17" s="1"/>
  <c r="C4" i="17"/>
  <c r="C6" i="17" s="1"/>
  <c r="C8" i="17" s="1"/>
  <c r="C10" i="17" s="1"/>
  <c r="D35" i="16"/>
  <c r="C35" i="16"/>
  <c r="E3" i="16"/>
  <c r="D36" i="15"/>
  <c r="E29" i="15" s="1"/>
  <c r="E28" i="15"/>
  <c r="E26" i="15"/>
  <c r="E24" i="15"/>
  <c r="E20" i="15"/>
  <c r="E18" i="15"/>
  <c r="E16" i="15"/>
  <c r="C16" i="15"/>
  <c r="C36" i="15" s="1"/>
  <c r="E15" i="15"/>
  <c r="E13" i="15"/>
  <c r="E11" i="15"/>
  <c r="E4" i="15"/>
  <c r="E24" i="16" l="1"/>
  <c r="G14" i="17"/>
  <c r="G41" i="17" s="1"/>
  <c r="A43" i="17" s="1"/>
  <c r="H41" i="17"/>
  <c r="E22" i="15"/>
  <c r="E34" i="15"/>
  <c r="E12" i="16"/>
  <c r="E18" i="16"/>
  <c r="E26" i="16"/>
  <c r="E13" i="16"/>
  <c r="E20" i="16"/>
  <c r="E27" i="16"/>
  <c r="E9" i="16"/>
  <c r="E15" i="16"/>
  <c r="E22" i="16"/>
  <c r="E32" i="16"/>
  <c r="E10" i="16"/>
  <c r="E16" i="16"/>
  <c r="E12" i="15"/>
  <c r="E19" i="15"/>
  <c r="E23" i="15"/>
  <c r="E27" i="15"/>
  <c r="E10" i="15"/>
  <c r="E14" i="15"/>
  <c r="E17" i="15"/>
  <c r="E21" i="15"/>
  <c r="E25" i="15"/>
  <c r="K215" i="7"/>
  <c r="K220" i="7"/>
  <c r="N215" i="7"/>
  <c r="N220" i="7"/>
  <c r="M221" i="7"/>
  <c r="L220" i="7"/>
  <c r="L215" i="7"/>
  <c r="M205" i="7"/>
  <c r="G205" i="7"/>
  <c r="L202" i="7"/>
  <c r="L205" i="7" s="1"/>
  <c r="L208" i="7" s="1"/>
  <c r="J202" i="7"/>
  <c r="J205" i="7" s="1"/>
  <c r="I202" i="7"/>
  <c r="I205" i="7" s="1"/>
  <c r="H202" i="7"/>
  <c r="H205" i="7" s="1"/>
  <c r="G202" i="7"/>
  <c r="N201" i="7"/>
  <c r="E35" i="16" l="1"/>
  <c r="E4" i="16" s="1"/>
  <c r="E36" i="15"/>
  <c r="K202" i="7"/>
  <c r="K205" i="7" s="1"/>
  <c r="K208" i="7" s="1"/>
  <c r="K221" i="7" s="1"/>
  <c r="N202" i="7"/>
  <c r="N205" i="7" s="1"/>
  <c r="N208" i="7" s="1"/>
  <c r="N221" i="7" s="1"/>
  <c r="G64" i="2" l="1"/>
  <c r="H65" i="2" s="1"/>
  <c r="I64" i="2"/>
  <c r="J65" i="2" s="1"/>
  <c r="V62" i="2" l="1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T36" i="2"/>
  <c r="U59" i="2" s="1"/>
  <c r="R36" i="2"/>
  <c r="S58" i="2" s="1"/>
  <c r="P36" i="2"/>
  <c r="Q56" i="2" s="1"/>
  <c r="AO36" i="2"/>
  <c r="AP38" i="2" s="1"/>
  <c r="BC118" i="2"/>
  <c r="AU118" i="2"/>
  <c r="BC117" i="2"/>
  <c r="AU117" i="2"/>
  <c r="BC116" i="2"/>
  <c r="AU116" i="2"/>
  <c r="BC115" i="2"/>
  <c r="AU115" i="2"/>
  <c r="BC114" i="2"/>
  <c r="AU114" i="2"/>
  <c r="BC113" i="2"/>
  <c r="AU113" i="2"/>
  <c r="BC112" i="2"/>
  <c r="AU112" i="2"/>
  <c r="BC111" i="2"/>
  <c r="AU111" i="2"/>
  <c r="BC110" i="2"/>
  <c r="AU110" i="2"/>
  <c r="BC109" i="2"/>
  <c r="AU109" i="2"/>
  <c r="BC108" i="2"/>
  <c r="AU108" i="2"/>
  <c r="BC107" i="2"/>
  <c r="AU107" i="2"/>
  <c r="BC106" i="2"/>
  <c r="AU106" i="2"/>
  <c r="BC105" i="2"/>
  <c r="AU105" i="2"/>
  <c r="BC104" i="2"/>
  <c r="AU104" i="2"/>
  <c r="BC103" i="2"/>
  <c r="AU103" i="2"/>
  <c r="BC102" i="2"/>
  <c r="AU102" i="2"/>
  <c r="BC101" i="2"/>
  <c r="AU101" i="2"/>
  <c r="BC100" i="2"/>
  <c r="AU100" i="2"/>
  <c r="BC99" i="2"/>
  <c r="AU99" i="2"/>
  <c r="BC98" i="2"/>
  <c r="AU98" i="2"/>
  <c r="BC97" i="2"/>
  <c r="AU97" i="2"/>
  <c r="BC96" i="2"/>
  <c r="AU96" i="2"/>
  <c r="BC95" i="2"/>
  <c r="AU95" i="2"/>
  <c r="BC94" i="2"/>
  <c r="AU94" i="2"/>
  <c r="BC93" i="2"/>
  <c r="AU93" i="2"/>
  <c r="BA92" i="2"/>
  <c r="BB113" i="2" s="1"/>
  <c r="AY92" i="2"/>
  <c r="AZ99" i="2" s="1"/>
  <c r="AW92" i="2"/>
  <c r="AX117" i="2" s="1"/>
  <c r="AS92" i="2"/>
  <c r="AT111" i="2" s="1"/>
  <c r="AQ92" i="2"/>
  <c r="AR97" i="2" s="1"/>
  <c r="AO92" i="2"/>
  <c r="AP105" i="2" s="1"/>
  <c r="BC90" i="2"/>
  <c r="AU90" i="2"/>
  <c r="BC89" i="2"/>
  <c r="AU89" i="2"/>
  <c r="BC88" i="2"/>
  <c r="AU88" i="2"/>
  <c r="BC87" i="2"/>
  <c r="AU87" i="2"/>
  <c r="BC86" i="2"/>
  <c r="AU86" i="2"/>
  <c r="BC85" i="2"/>
  <c r="AU85" i="2"/>
  <c r="BC84" i="2"/>
  <c r="AU84" i="2"/>
  <c r="BC83" i="2"/>
  <c r="AU83" i="2"/>
  <c r="BC82" i="2"/>
  <c r="AU82" i="2"/>
  <c r="BC81" i="2"/>
  <c r="AU81" i="2"/>
  <c r="BC80" i="2"/>
  <c r="AU80" i="2"/>
  <c r="BC79" i="2"/>
  <c r="AU79" i="2"/>
  <c r="BC78" i="2"/>
  <c r="AU78" i="2"/>
  <c r="BC77" i="2"/>
  <c r="AU77" i="2"/>
  <c r="BC76" i="2"/>
  <c r="AU76" i="2"/>
  <c r="BC75" i="2"/>
  <c r="AU75" i="2"/>
  <c r="BC74" i="2"/>
  <c r="AU74" i="2"/>
  <c r="BC73" i="2"/>
  <c r="AU73" i="2"/>
  <c r="BC72" i="2"/>
  <c r="AU72" i="2"/>
  <c r="BC71" i="2"/>
  <c r="AU71" i="2"/>
  <c r="BC70" i="2"/>
  <c r="AU70" i="2"/>
  <c r="BC69" i="2"/>
  <c r="AU69" i="2"/>
  <c r="BC68" i="2"/>
  <c r="AU68" i="2"/>
  <c r="BC67" i="2"/>
  <c r="AU67" i="2"/>
  <c r="BC66" i="2"/>
  <c r="AU66" i="2"/>
  <c r="BC65" i="2"/>
  <c r="AU65" i="2"/>
  <c r="BA64" i="2"/>
  <c r="BB89" i="2" s="1"/>
  <c r="AY64" i="2"/>
  <c r="AZ82" i="2" s="1"/>
  <c r="AW64" i="2"/>
  <c r="AX85" i="2" s="1"/>
  <c r="AS64" i="2"/>
  <c r="AQ64" i="2"/>
  <c r="AR89" i="2" s="1"/>
  <c r="AO64" i="2"/>
  <c r="AP67" i="2" s="1"/>
  <c r="BC62" i="2"/>
  <c r="AU62" i="2"/>
  <c r="BC61" i="2"/>
  <c r="AU61" i="2"/>
  <c r="BC60" i="2"/>
  <c r="AU60" i="2"/>
  <c r="BC59" i="2"/>
  <c r="AU59" i="2"/>
  <c r="BC58" i="2"/>
  <c r="AU58" i="2"/>
  <c r="BC57" i="2"/>
  <c r="AU57" i="2"/>
  <c r="BC56" i="2"/>
  <c r="AU56" i="2"/>
  <c r="BC55" i="2"/>
  <c r="AU55" i="2"/>
  <c r="BC54" i="2"/>
  <c r="AU54" i="2"/>
  <c r="BC53" i="2"/>
  <c r="AU53" i="2"/>
  <c r="BC52" i="2"/>
  <c r="AU52" i="2"/>
  <c r="BC51" i="2"/>
  <c r="AU51" i="2"/>
  <c r="BC50" i="2"/>
  <c r="AU50" i="2"/>
  <c r="BC49" i="2"/>
  <c r="AU49" i="2"/>
  <c r="BC48" i="2"/>
  <c r="AU48" i="2"/>
  <c r="BC47" i="2"/>
  <c r="AU47" i="2"/>
  <c r="BC46" i="2"/>
  <c r="AU46" i="2"/>
  <c r="BC45" i="2"/>
  <c r="AU45" i="2"/>
  <c r="BC44" i="2"/>
  <c r="AU44" i="2"/>
  <c r="BC43" i="2"/>
  <c r="AU43" i="2"/>
  <c r="BC42" i="2"/>
  <c r="AU42" i="2"/>
  <c r="BC41" i="2"/>
  <c r="AU41" i="2"/>
  <c r="BC40" i="2"/>
  <c r="AU40" i="2"/>
  <c r="BC39" i="2"/>
  <c r="AU39" i="2"/>
  <c r="BC38" i="2"/>
  <c r="AU38" i="2"/>
  <c r="BC37" i="2"/>
  <c r="AU37" i="2"/>
  <c r="BA36" i="2"/>
  <c r="BB62" i="2" s="1"/>
  <c r="AY36" i="2"/>
  <c r="AW36" i="2"/>
  <c r="AX62" i="2" s="1"/>
  <c r="AS36" i="2"/>
  <c r="AQ36" i="2"/>
  <c r="AR40" i="2" s="1"/>
  <c r="AX56" i="2" l="1"/>
  <c r="BB77" i="2"/>
  <c r="BC64" i="2"/>
  <c r="BD78" i="2" s="1"/>
  <c r="AX48" i="2"/>
  <c r="AZ104" i="2"/>
  <c r="AZ115" i="2"/>
  <c r="AR72" i="2"/>
  <c r="AR58" i="2"/>
  <c r="AX81" i="2"/>
  <c r="AR50" i="2"/>
  <c r="AU92" i="2"/>
  <c r="AV118" i="2" s="1"/>
  <c r="AP41" i="2"/>
  <c r="AX40" i="2"/>
  <c r="BB47" i="2"/>
  <c r="AX73" i="2"/>
  <c r="AX93" i="2"/>
  <c r="BB59" i="2"/>
  <c r="AP57" i="2"/>
  <c r="AR42" i="2"/>
  <c r="BB43" i="2"/>
  <c r="AR88" i="2"/>
  <c r="AT108" i="2"/>
  <c r="S39" i="2"/>
  <c r="S55" i="2"/>
  <c r="S47" i="2"/>
  <c r="AZ87" i="2"/>
  <c r="BB110" i="2"/>
  <c r="AX51" i="2"/>
  <c r="AZ74" i="2"/>
  <c r="AZ90" i="2"/>
  <c r="AX44" i="2"/>
  <c r="AX52" i="2"/>
  <c r="AX60" i="2"/>
  <c r="BB51" i="2"/>
  <c r="AX89" i="2"/>
  <c r="AZ79" i="2"/>
  <c r="BB69" i="2"/>
  <c r="BB85" i="2"/>
  <c r="AX109" i="2"/>
  <c r="BB94" i="2"/>
  <c r="AZ71" i="2"/>
  <c r="AX43" i="2"/>
  <c r="AX59" i="2"/>
  <c r="BB80" i="2"/>
  <c r="AX39" i="2"/>
  <c r="AX47" i="2"/>
  <c r="AX55" i="2"/>
  <c r="BB39" i="2"/>
  <c r="BB55" i="2"/>
  <c r="AX65" i="2"/>
  <c r="AZ66" i="2"/>
  <c r="BB72" i="2"/>
  <c r="BB88" i="2"/>
  <c r="BB105" i="2"/>
  <c r="AP85" i="2"/>
  <c r="AP77" i="2"/>
  <c r="AP69" i="2"/>
  <c r="AP53" i="2"/>
  <c r="AR37" i="2"/>
  <c r="AR55" i="2"/>
  <c r="AR47" i="2"/>
  <c r="AR39" i="2"/>
  <c r="AP90" i="2"/>
  <c r="AP82" i="2"/>
  <c r="AP74" i="2"/>
  <c r="AR65" i="2"/>
  <c r="AR77" i="2"/>
  <c r="AR113" i="2"/>
  <c r="AP49" i="2"/>
  <c r="AR62" i="2"/>
  <c r="AR54" i="2"/>
  <c r="AR46" i="2"/>
  <c r="AR38" i="2"/>
  <c r="AP89" i="2"/>
  <c r="AP81" i="2"/>
  <c r="AP73" i="2"/>
  <c r="AR66" i="2"/>
  <c r="AR80" i="2"/>
  <c r="AR118" i="2"/>
  <c r="AR102" i="2"/>
  <c r="AP61" i="2"/>
  <c r="AP45" i="2"/>
  <c r="AR59" i="2"/>
  <c r="AR51" i="2"/>
  <c r="AR43" i="2"/>
  <c r="AP86" i="2"/>
  <c r="AP78" i="2"/>
  <c r="AP70" i="2"/>
  <c r="AR70" i="2"/>
  <c r="AR85" i="2"/>
  <c r="AT103" i="2"/>
  <c r="Q51" i="2"/>
  <c r="U37" i="2"/>
  <c r="U45" i="2"/>
  <c r="U53" i="2"/>
  <c r="U61" i="2"/>
  <c r="Q40" i="2"/>
  <c r="S50" i="2"/>
  <c r="U40" i="2"/>
  <c r="U48" i="2"/>
  <c r="U56" i="2"/>
  <c r="U41" i="2"/>
  <c r="U49" i="2"/>
  <c r="U57" i="2"/>
  <c r="S42" i="2"/>
  <c r="U44" i="2"/>
  <c r="U52" i="2"/>
  <c r="U60" i="2"/>
  <c r="AZ59" i="2"/>
  <c r="AZ52" i="2"/>
  <c r="AZ44" i="2"/>
  <c r="AZ48" i="2"/>
  <c r="AZ60" i="2"/>
  <c r="AZ56" i="2"/>
  <c r="AZ40" i="2"/>
  <c r="AT89" i="2"/>
  <c r="AT85" i="2"/>
  <c r="AT81" i="2"/>
  <c r="AT77" i="2"/>
  <c r="AT73" i="2"/>
  <c r="AT69" i="2"/>
  <c r="AT65" i="2"/>
  <c r="AT88" i="2"/>
  <c r="AT84" i="2"/>
  <c r="AT80" i="2"/>
  <c r="AT76" i="2"/>
  <c r="AT72" i="2"/>
  <c r="AT68" i="2"/>
  <c r="AT90" i="2"/>
  <c r="AT82" i="2"/>
  <c r="AT74" i="2"/>
  <c r="AT66" i="2"/>
  <c r="AT86" i="2"/>
  <c r="AT70" i="2"/>
  <c r="AT75" i="2"/>
  <c r="AT87" i="2"/>
  <c r="AT79" i="2"/>
  <c r="AT71" i="2"/>
  <c r="AT78" i="2"/>
  <c r="AT83" i="2"/>
  <c r="AT67" i="2"/>
  <c r="BD72" i="2"/>
  <c r="BD84" i="2"/>
  <c r="AV107" i="2"/>
  <c r="BD73" i="2"/>
  <c r="BD80" i="2"/>
  <c r="AT38" i="2"/>
  <c r="AT42" i="2"/>
  <c r="AT46" i="2"/>
  <c r="AT50" i="2"/>
  <c r="AT54" i="2"/>
  <c r="AT58" i="2"/>
  <c r="AT62" i="2"/>
  <c r="AT40" i="2"/>
  <c r="AT48" i="2"/>
  <c r="AT56" i="2"/>
  <c r="AT45" i="2"/>
  <c r="AT53" i="2"/>
  <c r="AT61" i="2"/>
  <c r="AT39" i="2"/>
  <c r="AT43" i="2"/>
  <c r="AT47" i="2"/>
  <c r="AT51" i="2"/>
  <c r="AT55" i="2"/>
  <c r="AT59" i="2"/>
  <c r="AT37" i="2"/>
  <c r="AT44" i="2"/>
  <c r="AT52" i="2"/>
  <c r="AT60" i="2"/>
  <c r="AT41" i="2"/>
  <c r="AT49" i="2"/>
  <c r="AT57" i="2"/>
  <c r="BD69" i="2"/>
  <c r="AP102" i="2"/>
  <c r="AP97" i="2"/>
  <c r="AP101" i="2"/>
  <c r="AP106" i="2"/>
  <c r="AP110" i="2"/>
  <c r="AP114" i="2"/>
  <c r="AP118" i="2"/>
  <c r="AP95" i="2"/>
  <c r="AP98" i="2"/>
  <c r="AP103" i="2"/>
  <c r="AP107" i="2"/>
  <c r="AP111" i="2"/>
  <c r="AP115" i="2"/>
  <c r="AP93" i="2"/>
  <c r="AP100" i="2"/>
  <c r="AP109" i="2"/>
  <c r="AP117" i="2"/>
  <c r="AP94" i="2"/>
  <c r="AP104" i="2"/>
  <c r="AP112" i="2"/>
  <c r="AV105" i="2"/>
  <c r="AP56" i="2"/>
  <c r="AP48" i="2"/>
  <c r="AP40" i="2"/>
  <c r="BB44" i="2"/>
  <c r="BB52" i="2"/>
  <c r="AX68" i="2"/>
  <c r="AX84" i="2"/>
  <c r="AP99" i="2"/>
  <c r="AX98" i="2"/>
  <c r="AX114" i="2"/>
  <c r="AZ89" i="2"/>
  <c r="AZ85" i="2"/>
  <c r="AZ81" i="2"/>
  <c r="AZ77" i="2"/>
  <c r="AZ73" i="2"/>
  <c r="AZ69" i="2"/>
  <c r="AZ65" i="2"/>
  <c r="AZ88" i="2"/>
  <c r="AZ84" i="2"/>
  <c r="AZ80" i="2"/>
  <c r="AZ76" i="2"/>
  <c r="AZ72" i="2"/>
  <c r="AZ68" i="2"/>
  <c r="BD67" i="2"/>
  <c r="BD79" i="2"/>
  <c r="AR116" i="2"/>
  <c r="AR112" i="2"/>
  <c r="AR108" i="2"/>
  <c r="AR104" i="2"/>
  <c r="AR100" i="2"/>
  <c r="AR96" i="2"/>
  <c r="AR115" i="2"/>
  <c r="AR111" i="2"/>
  <c r="AR107" i="2"/>
  <c r="AR103" i="2"/>
  <c r="AR99" i="2"/>
  <c r="AR95" i="2"/>
  <c r="AR117" i="2"/>
  <c r="AR109" i="2"/>
  <c r="AR101" i="2"/>
  <c r="AR93" i="2"/>
  <c r="AR114" i="2"/>
  <c r="AR106" i="2"/>
  <c r="AR98" i="2"/>
  <c r="AZ118" i="2"/>
  <c r="AZ114" i="2"/>
  <c r="AZ110" i="2"/>
  <c r="AZ106" i="2"/>
  <c r="AZ102" i="2"/>
  <c r="AZ98" i="2"/>
  <c r="AZ94" i="2"/>
  <c r="AZ117" i="2"/>
  <c r="AZ113" i="2"/>
  <c r="AZ109" i="2"/>
  <c r="AZ105" i="2"/>
  <c r="AZ101" i="2"/>
  <c r="AZ97" i="2"/>
  <c r="AZ93" i="2"/>
  <c r="AZ111" i="2"/>
  <c r="AZ103" i="2"/>
  <c r="AZ95" i="2"/>
  <c r="AZ116" i="2"/>
  <c r="AZ108" i="2"/>
  <c r="AZ100" i="2"/>
  <c r="AP37" i="2"/>
  <c r="AP59" i="2"/>
  <c r="AP55" i="2"/>
  <c r="AP51" i="2"/>
  <c r="AP47" i="2"/>
  <c r="AP43" i="2"/>
  <c r="AP39" i="2"/>
  <c r="AR61" i="2"/>
  <c r="AR57" i="2"/>
  <c r="AR53" i="2"/>
  <c r="AR49" i="2"/>
  <c r="AR45" i="2"/>
  <c r="AR41" i="2"/>
  <c r="AX37" i="2"/>
  <c r="AX41" i="2"/>
  <c r="AX45" i="2"/>
  <c r="AX49" i="2"/>
  <c r="AX53" i="2"/>
  <c r="AX57" i="2"/>
  <c r="AX61" i="2"/>
  <c r="BB37" i="2"/>
  <c r="BB41" i="2"/>
  <c r="BB45" i="2"/>
  <c r="BB49" i="2"/>
  <c r="BB53" i="2"/>
  <c r="BB57" i="2"/>
  <c r="BB61" i="2"/>
  <c r="AP88" i="2"/>
  <c r="AP84" i="2"/>
  <c r="AP80" i="2"/>
  <c r="AP76" i="2"/>
  <c r="AP72" i="2"/>
  <c r="AP68" i="2"/>
  <c r="AR68" i="2"/>
  <c r="AR73" i="2"/>
  <c r="AR81" i="2"/>
  <c r="AX69" i="2"/>
  <c r="AX77" i="2"/>
  <c r="AZ67" i="2"/>
  <c r="AZ75" i="2"/>
  <c r="AZ83" i="2"/>
  <c r="BB65" i="2"/>
  <c r="BB73" i="2"/>
  <c r="BB81" i="2"/>
  <c r="AP113" i="2"/>
  <c r="AP96" i="2"/>
  <c r="AR105" i="2"/>
  <c r="AT95" i="2"/>
  <c r="AX101" i="2"/>
  <c r="AZ107" i="2"/>
  <c r="BB97" i="2"/>
  <c r="Q41" i="2"/>
  <c r="Q45" i="2"/>
  <c r="Q49" i="2"/>
  <c r="Q53" i="2"/>
  <c r="Q57" i="2"/>
  <c r="Q61" i="2"/>
  <c r="Q38" i="2"/>
  <c r="Q42" i="2"/>
  <c r="Q46" i="2"/>
  <c r="Q50" i="2"/>
  <c r="Q54" i="2"/>
  <c r="Q58" i="2"/>
  <c r="Q62" i="2"/>
  <c r="Q44" i="2"/>
  <c r="Q52" i="2"/>
  <c r="Q60" i="2"/>
  <c r="Q39" i="2"/>
  <c r="Q47" i="2"/>
  <c r="Q55" i="2"/>
  <c r="Q37" i="2"/>
  <c r="Q48" i="2"/>
  <c r="AX87" i="2"/>
  <c r="AX83" i="2"/>
  <c r="AX79" i="2"/>
  <c r="AX75" i="2"/>
  <c r="AX71" i="2"/>
  <c r="AX67" i="2"/>
  <c r="AX90" i="2"/>
  <c r="AX86" i="2"/>
  <c r="AX82" i="2"/>
  <c r="AX78" i="2"/>
  <c r="AX74" i="2"/>
  <c r="AX70" i="2"/>
  <c r="AX66" i="2"/>
  <c r="AU64" i="2"/>
  <c r="AV88" i="2" s="1"/>
  <c r="AX116" i="2"/>
  <c r="AX112" i="2"/>
  <c r="AX108" i="2"/>
  <c r="AX104" i="2"/>
  <c r="AX100" i="2"/>
  <c r="AX96" i="2"/>
  <c r="AX115" i="2"/>
  <c r="AX111" i="2"/>
  <c r="AX107" i="2"/>
  <c r="AX103" i="2"/>
  <c r="AX99" i="2"/>
  <c r="AX95" i="2"/>
  <c r="AX113" i="2"/>
  <c r="AX105" i="2"/>
  <c r="AX97" i="2"/>
  <c r="AX118" i="2"/>
  <c r="AX110" i="2"/>
  <c r="AX102" i="2"/>
  <c r="AX94" i="2"/>
  <c r="AV97" i="2"/>
  <c r="AP60" i="2"/>
  <c r="AP52" i="2"/>
  <c r="AP44" i="2"/>
  <c r="BB40" i="2"/>
  <c r="BB48" i="2"/>
  <c r="BB56" i="2"/>
  <c r="BB60" i="2"/>
  <c r="AX76" i="2"/>
  <c r="AP116" i="2"/>
  <c r="AR87" i="2"/>
  <c r="AR83" i="2"/>
  <c r="AR79" i="2"/>
  <c r="AR75" i="2"/>
  <c r="AR71" i="2"/>
  <c r="AR67" i="2"/>
  <c r="AR90" i="2"/>
  <c r="AR86" i="2"/>
  <c r="AR82" i="2"/>
  <c r="AR78" i="2"/>
  <c r="AR74" i="2"/>
  <c r="BB87" i="2"/>
  <c r="BB83" i="2"/>
  <c r="BB79" i="2"/>
  <c r="BB75" i="2"/>
  <c r="BB71" i="2"/>
  <c r="BB67" i="2"/>
  <c r="BB90" i="2"/>
  <c r="BB86" i="2"/>
  <c r="BB82" i="2"/>
  <c r="BB78" i="2"/>
  <c r="BB74" i="2"/>
  <c r="BB70" i="2"/>
  <c r="BB66" i="2"/>
  <c r="AT118" i="2"/>
  <c r="AT114" i="2"/>
  <c r="AT110" i="2"/>
  <c r="AT106" i="2"/>
  <c r="AT102" i="2"/>
  <c r="AT98" i="2"/>
  <c r="AT94" i="2"/>
  <c r="AT117" i="2"/>
  <c r="AT113" i="2"/>
  <c r="AT109" i="2"/>
  <c r="AT105" i="2"/>
  <c r="AT101" i="2"/>
  <c r="AT97" i="2"/>
  <c r="AT93" i="2"/>
  <c r="AT115" i="2"/>
  <c r="AT107" i="2"/>
  <c r="AT99" i="2"/>
  <c r="AT112" i="2"/>
  <c r="AT104" i="2"/>
  <c r="AT96" i="2"/>
  <c r="BB116" i="2"/>
  <c r="BB112" i="2"/>
  <c r="BB108" i="2"/>
  <c r="BB104" i="2"/>
  <c r="BB100" i="2"/>
  <c r="BB96" i="2"/>
  <c r="BB115" i="2"/>
  <c r="BB111" i="2"/>
  <c r="BB107" i="2"/>
  <c r="BB103" i="2"/>
  <c r="BB99" i="2"/>
  <c r="BB95" i="2"/>
  <c r="BB117" i="2"/>
  <c r="BB109" i="2"/>
  <c r="BB101" i="2"/>
  <c r="BB93" i="2"/>
  <c r="BB114" i="2"/>
  <c r="BB106" i="2"/>
  <c r="BB98" i="2"/>
  <c r="AV104" i="2"/>
  <c r="AP62" i="2"/>
  <c r="AP58" i="2"/>
  <c r="AP54" i="2"/>
  <c r="AP50" i="2"/>
  <c r="AP46" i="2"/>
  <c r="AP42" i="2"/>
  <c r="AR60" i="2"/>
  <c r="AR56" i="2"/>
  <c r="AR52" i="2"/>
  <c r="AR48" i="2"/>
  <c r="AR44" i="2"/>
  <c r="AX38" i="2"/>
  <c r="AX42" i="2"/>
  <c r="AX46" i="2"/>
  <c r="AX50" i="2"/>
  <c r="AX54" i="2"/>
  <c r="AX58" i="2"/>
  <c r="BB38" i="2"/>
  <c r="BB42" i="2"/>
  <c r="BB46" i="2"/>
  <c r="BB50" i="2"/>
  <c r="BB54" i="2"/>
  <c r="BB58" i="2"/>
  <c r="AP65" i="2"/>
  <c r="AP87" i="2"/>
  <c r="AP83" i="2"/>
  <c r="AP79" i="2"/>
  <c r="AP75" i="2"/>
  <c r="AP71" i="2"/>
  <c r="AP66" i="2"/>
  <c r="AR69" i="2"/>
  <c r="AR76" i="2"/>
  <c r="AR84" i="2"/>
  <c r="AX72" i="2"/>
  <c r="AX80" i="2"/>
  <c r="AX88" i="2"/>
  <c r="AZ70" i="2"/>
  <c r="AZ78" i="2"/>
  <c r="AZ86" i="2"/>
  <c r="BB68" i="2"/>
  <c r="BB76" i="2"/>
  <c r="BB84" i="2"/>
  <c r="AP108" i="2"/>
  <c r="AR94" i="2"/>
  <c r="AR110" i="2"/>
  <c r="AT100" i="2"/>
  <c r="AT116" i="2"/>
  <c r="AX106" i="2"/>
  <c r="AZ96" i="2"/>
  <c r="AZ112" i="2"/>
  <c r="BB102" i="2"/>
  <c r="BB118" i="2"/>
  <c r="Q59" i="2"/>
  <c r="Q43" i="2"/>
  <c r="S61" i="2"/>
  <c r="S57" i="2"/>
  <c r="S53" i="2"/>
  <c r="S49" i="2"/>
  <c r="S45" i="2"/>
  <c r="S41" i="2"/>
  <c r="S37" i="2"/>
  <c r="S60" i="2"/>
  <c r="S56" i="2"/>
  <c r="S52" i="2"/>
  <c r="S48" i="2"/>
  <c r="S44" i="2"/>
  <c r="S40" i="2"/>
  <c r="S43" i="2"/>
  <c r="S51" i="2"/>
  <c r="S59" i="2"/>
  <c r="S38" i="2"/>
  <c r="S46" i="2"/>
  <c r="S54" i="2"/>
  <c r="S62" i="2"/>
  <c r="U38" i="2"/>
  <c r="U42" i="2"/>
  <c r="U46" i="2"/>
  <c r="U50" i="2"/>
  <c r="U54" i="2"/>
  <c r="U58" i="2"/>
  <c r="U62" i="2"/>
  <c r="V36" i="2"/>
  <c r="W55" i="2" s="1"/>
  <c r="W27" i="2" s="1"/>
  <c r="U39" i="2"/>
  <c r="U43" i="2"/>
  <c r="U47" i="2"/>
  <c r="U51" i="2"/>
  <c r="U55" i="2"/>
  <c r="AZ38" i="2"/>
  <c r="AZ42" i="2"/>
  <c r="AZ46" i="2"/>
  <c r="AZ50" i="2"/>
  <c r="AZ54" i="2"/>
  <c r="AZ58" i="2"/>
  <c r="AZ62" i="2"/>
  <c r="AZ37" i="2"/>
  <c r="AZ41" i="2"/>
  <c r="AZ45" i="2"/>
  <c r="AZ49" i="2"/>
  <c r="AZ53" i="2"/>
  <c r="AZ57" i="2"/>
  <c r="AZ61" i="2"/>
  <c r="AZ39" i="2"/>
  <c r="AZ43" i="2"/>
  <c r="AZ47" i="2"/>
  <c r="AZ51" i="2"/>
  <c r="AZ55" i="2"/>
  <c r="AU36" i="2"/>
  <c r="AV56" i="2" s="1"/>
  <c r="BC36" i="2"/>
  <c r="BC92" i="2"/>
  <c r="BD103" i="2" s="1"/>
  <c r="N60" i="1"/>
  <c r="N49" i="1"/>
  <c r="N45" i="1"/>
  <c r="L57" i="1"/>
  <c r="M52" i="1" s="1"/>
  <c r="AV108" i="2" l="1"/>
  <c r="AV109" i="2"/>
  <c r="BD83" i="2"/>
  <c r="BD71" i="2"/>
  <c r="BD81" i="2"/>
  <c r="BD88" i="2"/>
  <c r="BD68" i="2"/>
  <c r="AV99" i="2"/>
  <c r="BD86" i="2"/>
  <c r="BD74" i="2"/>
  <c r="AV98" i="2"/>
  <c r="BD87" i="2"/>
  <c r="BD77" i="2"/>
  <c r="AV95" i="2"/>
  <c r="BD76" i="2"/>
  <c r="BD65" i="2"/>
  <c r="AV102" i="2"/>
  <c r="BD82" i="2"/>
  <c r="BD66" i="2"/>
  <c r="BD64" i="2" s="1"/>
  <c r="AV114" i="2"/>
  <c r="AV117" i="2"/>
  <c r="BD85" i="2"/>
  <c r="BD75" i="2"/>
  <c r="AV94" i="2"/>
  <c r="BD70" i="2"/>
  <c r="BD89" i="2"/>
  <c r="BD90" i="2"/>
  <c r="BD115" i="2"/>
  <c r="AV116" i="2"/>
  <c r="AV106" i="2"/>
  <c r="AV96" i="2"/>
  <c r="AV103" i="2"/>
  <c r="AV101" i="2"/>
  <c r="AV93" i="2"/>
  <c r="BD116" i="2"/>
  <c r="AV112" i="2"/>
  <c r="AV100" i="2"/>
  <c r="AV111" i="2"/>
  <c r="AV113" i="2"/>
  <c r="AV110" i="2"/>
  <c r="AV49" i="2"/>
  <c r="AV115" i="2"/>
  <c r="AV52" i="2"/>
  <c r="BD113" i="2"/>
  <c r="BD108" i="2"/>
  <c r="BB64" i="2"/>
  <c r="AV72" i="2"/>
  <c r="BD112" i="2"/>
  <c r="BD99" i="2"/>
  <c r="BD94" i="2"/>
  <c r="AV58" i="2"/>
  <c r="BD101" i="2"/>
  <c r="BD114" i="2"/>
  <c r="W37" i="2"/>
  <c r="W9" i="2" s="1"/>
  <c r="M57" i="1"/>
  <c r="AX92" i="2"/>
  <c r="BD106" i="2"/>
  <c r="BD109" i="2"/>
  <c r="BD93" i="2"/>
  <c r="BD110" i="2"/>
  <c r="BD100" i="2"/>
  <c r="AX64" i="2"/>
  <c r="BD102" i="2"/>
  <c r="BB36" i="2"/>
  <c r="BD105" i="2"/>
  <c r="BD104" i="2"/>
  <c r="AR36" i="2"/>
  <c r="AP36" i="2"/>
  <c r="AV45" i="2"/>
  <c r="AV54" i="2"/>
  <c r="AV40" i="2"/>
  <c r="AR64" i="2"/>
  <c r="AV42" i="2"/>
  <c r="AV61" i="2"/>
  <c r="AV38" i="2"/>
  <c r="W51" i="2"/>
  <c r="W23" i="2" s="1"/>
  <c r="W39" i="2"/>
  <c r="W11" i="2" s="1"/>
  <c r="S36" i="2"/>
  <c r="W52" i="2"/>
  <c r="W24" i="2" s="1"/>
  <c r="W58" i="2"/>
  <c r="W30" i="2" s="1"/>
  <c r="W48" i="2"/>
  <c r="W20" i="2" s="1"/>
  <c r="Q36" i="2"/>
  <c r="M54" i="1"/>
  <c r="AP64" i="2"/>
  <c r="AV70" i="2"/>
  <c r="AV86" i="2"/>
  <c r="AV81" i="2"/>
  <c r="AV78" i="2"/>
  <c r="AV73" i="2"/>
  <c r="AV89" i="2"/>
  <c r="AR92" i="2"/>
  <c r="AV68" i="2"/>
  <c r="BB92" i="2"/>
  <c r="AV87" i="2"/>
  <c r="U36" i="2"/>
  <c r="AV84" i="2"/>
  <c r="AV75" i="2"/>
  <c r="AX36" i="2"/>
  <c r="AV83" i="2"/>
  <c r="AT36" i="2"/>
  <c r="AV77" i="2"/>
  <c r="AV85" i="2"/>
  <c r="AV92" i="2"/>
  <c r="AT64" i="2"/>
  <c r="AV90" i="2"/>
  <c r="AV39" i="2"/>
  <c r="AV47" i="2"/>
  <c r="AV55" i="2"/>
  <c r="AV37" i="2"/>
  <c r="AV43" i="2"/>
  <c r="AV51" i="2"/>
  <c r="AV59" i="2"/>
  <c r="W45" i="2"/>
  <c r="W17" i="2" s="1"/>
  <c r="W53" i="2"/>
  <c r="W25" i="2" s="1"/>
  <c r="W61" i="2"/>
  <c r="W33" i="2" s="1"/>
  <c r="W49" i="2"/>
  <c r="W21" i="2" s="1"/>
  <c r="W41" i="2"/>
  <c r="W13" i="2" s="1"/>
  <c r="W62" i="2"/>
  <c r="W34" i="2" s="1"/>
  <c r="W57" i="2"/>
  <c r="W29" i="2" s="1"/>
  <c r="W46" i="2"/>
  <c r="W18" i="2" s="1"/>
  <c r="W60" i="2"/>
  <c r="W32" i="2" s="1"/>
  <c r="W44" i="2"/>
  <c r="W16" i="2" s="1"/>
  <c r="W47" i="2"/>
  <c r="W19" i="2" s="1"/>
  <c r="AT92" i="2"/>
  <c r="AV80" i="2"/>
  <c r="AV71" i="2"/>
  <c r="W50" i="2"/>
  <c r="W22" i="2" s="1"/>
  <c r="AZ64" i="2"/>
  <c r="AP92" i="2"/>
  <c r="AV79" i="2"/>
  <c r="AV57" i="2"/>
  <c r="AV41" i="2"/>
  <c r="AV69" i="2"/>
  <c r="AV50" i="2"/>
  <c r="W54" i="2"/>
  <c r="W26" i="2" s="1"/>
  <c r="AV48" i="2"/>
  <c r="AV74" i="2"/>
  <c r="BD95" i="2"/>
  <c r="BD111" i="2"/>
  <c r="W56" i="2"/>
  <c r="W28" i="2" s="1"/>
  <c r="W40" i="2"/>
  <c r="W12" i="2" s="1"/>
  <c r="W59" i="2"/>
  <c r="W31" i="2" s="1"/>
  <c r="W43" i="2"/>
  <c r="W15" i="2" s="1"/>
  <c r="AV76" i="2"/>
  <c r="AV65" i="2"/>
  <c r="BD118" i="2"/>
  <c r="BD96" i="2"/>
  <c r="W42" i="2"/>
  <c r="W14" i="2" s="1"/>
  <c r="BD117" i="2"/>
  <c r="BD107" i="2"/>
  <c r="BD97" i="2"/>
  <c r="AZ92" i="2"/>
  <c r="AV67" i="2"/>
  <c r="BD98" i="2"/>
  <c r="AV53" i="2"/>
  <c r="AV62" i="2"/>
  <c r="AV46" i="2"/>
  <c r="W38" i="2"/>
  <c r="W10" i="2" s="1"/>
  <c r="AV82" i="2"/>
  <c r="AV60" i="2"/>
  <c r="AV44" i="2"/>
  <c r="AV66" i="2"/>
  <c r="BD60" i="2"/>
  <c r="BD56" i="2"/>
  <c r="BD52" i="2"/>
  <c r="BD48" i="2"/>
  <c r="BD44" i="2"/>
  <c r="BD40" i="2"/>
  <c r="BD41" i="2"/>
  <c r="BD42" i="2"/>
  <c r="BD49" i="2"/>
  <c r="BD39" i="2"/>
  <c r="BD54" i="2"/>
  <c r="BD55" i="2"/>
  <c r="BD47" i="2"/>
  <c r="BD37" i="2"/>
  <c r="BD50" i="2"/>
  <c r="BD59" i="2"/>
  <c r="BD61" i="2"/>
  <c r="BD51" i="2"/>
  <c r="BD58" i="2"/>
  <c r="AZ36" i="2"/>
  <c r="BD57" i="2"/>
  <c r="BD38" i="2"/>
  <c r="BD53" i="2"/>
  <c r="BD43" i="2"/>
  <c r="BD62" i="2"/>
  <c r="BD46" i="2"/>
  <c r="BD45" i="2"/>
  <c r="M43" i="1"/>
  <c r="M51" i="1"/>
  <c r="N54" i="1"/>
  <c r="M45" i="1"/>
  <c r="M49" i="1"/>
  <c r="M53" i="1"/>
  <c r="M60" i="1"/>
  <c r="M46" i="1"/>
  <c r="M50" i="1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13" i="8"/>
  <c r="W8" i="2" l="1"/>
  <c r="AV36" i="2"/>
  <c r="BD92" i="2"/>
  <c r="AV64" i="2"/>
  <c r="W36" i="2"/>
  <c r="BD36" i="2"/>
  <c r="B39" i="8" l="1"/>
  <c r="C37" i="8" s="1"/>
  <c r="D39" i="8"/>
  <c r="F14" i="8" s="1"/>
  <c r="E39" i="8"/>
  <c r="L226" i="7"/>
  <c r="K226" i="7"/>
  <c r="J226" i="7"/>
  <c r="L225" i="7"/>
  <c r="K225" i="7"/>
  <c r="J225" i="7"/>
  <c r="L221" i="7"/>
  <c r="E183" i="7" s="1"/>
  <c r="L175" i="7"/>
  <c r="D175" i="7"/>
  <c r="C175" i="7"/>
  <c r="L174" i="7"/>
  <c r="D174" i="7"/>
  <c r="C174" i="7"/>
  <c r="L173" i="7"/>
  <c r="J173" i="7"/>
  <c r="F173" i="7"/>
  <c r="D173" i="7"/>
  <c r="C173" i="7"/>
  <c r="L172" i="7"/>
  <c r="D172" i="7"/>
  <c r="C172" i="7"/>
  <c r="L171" i="7"/>
  <c r="J171" i="7"/>
  <c r="F171" i="7"/>
  <c r="D171" i="7"/>
  <c r="C171" i="7"/>
  <c r="J170" i="7"/>
  <c r="F170" i="7"/>
  <c r="D170" i="7"/>
  <c r="C170" i="7"/>
  <c r="N169" i="7"/>
  <c r="M169" i="7"/>
  <c r="E169" i="7"/>
  <c r="G169" i="7" s="1"/>
  <c r="N168" i="7"/>
  <c r="M168" i="7"/>
  <c r="E168" i="7"/>
  <c r="N167" i="7"/>
  <c r="M167" i="7"/>
  <c r="E167" i="7"/>
  <c r="G167" i="7" s="1"/>
  <c r="N166" i="7"/>
  <c r="M166" i="7"/>
  <c r="E166" i="7"/>
  <c r="N165" i="7"/>
  <c r="M165" i="7"/>
  <c r="E165" i="7"/>
  <c r="G165" i="7" s="1"/>
  <c r="J164" i="7"/>
  <c r="F164" i="7"/>
  <c r="D164" i="7"/>
  <c r="C164" i="7"/>
  <c r="N163" i="7"/>
  <c r="M163" i="7"/>
  <c r="E163" i="7"/>
  <c r="I163" i="7" s="1"/>
  <c r="K163" i="7" s="1"/>
  <c r="N162" i="7"/>
  <c r="M162" i="7"/>
  <c r="E162" i="7"/>
  <c r="I162" i="7" s="1"/>
  <c r="K162" i="7" s="1"/>
  <c r="N161" i="7"/>
  <c r="M161" i="7"/>
  <c r="E161" i="7"/>
  <c r="I161" i="7" s="1"/>
  <c r="K161" i="7" s="1"/>
  <c r="N160" i="7"/>
  <c r="M160" i="7"/>
  <c r="E160" i="7"/>
  <c r="I160" i="7" s="1"/>
  <c r="K160" i="7" s="1"/>
  <c r="N159" i="7"/>
  <c r="M159" i="7"/>
  <c r="E159" i="7"/>
  <c r="I159" i="7" s="1"/>
  <c r="J158" i="7"/>
  <c r="F158" i="7"/>
  <c r="D158" i="7"/>
  <c r="C158" i="7"/>
  <c r="N157" i="7"/>
  <c r="M157" i="7"/>
  <c r="E157" i="7"/>
  <c r="N156" i="7"/>
  <c r="M156" i="7"/>
  <c r="E156" i="7"/>
  <c r="G156" i="7" s="1"/>
  <c r="N155" i="7"/>
  <c r="M155" i="7"/>
  <c r="E155" i="7"/>
  <c r="N154" i="7"/>
  <c r="M154" i="7"/>
  <c r="E154" i="7"/>
  <c r="G154" i="7" s="1"/>
  <c r="N153" i="7"/>
  <c r="M153" i="7"/>
  <c r="E153" i="7"/>
  <c r="J152" i="7"/>
  <c r="F152" i="7"/>
  <c r="D152" i="7"/>
  <c r="C152" i="7"/>
  <c r="N151" i="7"/>
  <c r="M151" i="7"/>
  <c r="E151" i="7"/>
  <c r="G151" i="7" s="1"/>
  <c r="N150" i="7"/>
  <c r="M150" i="7"/>
  <c r="E150" i="7"/>
  <c r="I150" i="7" s="1"/>
  <c r="K150" i="7" s="1"/>
  <c r="N149" i="7"/>
  <c r="M149" i="7"/>
  <c r="E149" i="7"/>
  <c r="I149" i="7" s="1"/>
  <c r="K149" i="7" s="1"/>
  <c r="N148" i="7"/>
  <c r="M148" i="7"/>
  <c r="E148" i="7"/>
  <c r="I148" i="7" s="1"/>
  <c r="K148" i="7" s="1"/>
  <c r="N147" i="7"/>
  <c r="M147" i="7"/>
  <c r="E147" i="7"/>
  <c r="J146" i="7"/>
  <c r="F146" i="7"/>
  <c r="D146" i="7"/>
  <c r="C146" i="7"/>
  <c r="N145" i="7"/>
  <c r="M145" i="7"/>
  <c r="E145" i="7"/>
  <c r="G145" i="7" s="1"/>
  <c r="N144" i="7"/>
  <c r="M144" i="7"/>
  <c r="E144" i="7"/>
  <c r="N143" i="7"/>
  <c r="M143" i="7"/>
  <c r="E143" i="7"/>
  <c r="G143" i="7" s="1"/>
  <c r="N142" i="7"/>
  <c r="M142" i="7"/>
  <c r="E142" i="7"/>
  <c r="N141" i="7"/>
  <c r="M141" i="7"/>
  <c r="E141" i="7"/>
  <c r="G141" i="7" s="1"/>
  <c r="J140" i="7"/>
  <c r="F140" i="7"/>
  <c r="D140" i="7"/>
  <c r="C140" i="7"/>
  <c r="N139" i="7"/>
  <c r="M139" i="7"/>
  <c r="E139" i="7"/>
  <c r="I139" i="7" s="1"/>
  <c r="K139" i="7" s="1"/>
  <c r="N138" i="7"/>
  <c r="M138" i="7"/>
  <c r="E138" i="7"/>
  <c r="I138" i="7" s="1"/>
  <c r="K138" i="7" s="1"/>
  <c r="N137" i="7"/>
  <c r="M137" i="7"/>
  <c r="E137" i="7"/>
  <c r="I137" i="7" s="1"/>
  <c r="K137" i="7" s="1"/>
  <c r="N136" i="7"/>
  <c r="M136" i="7"/>
  <c r="E136" i="7"/>
  <c r="I136" i="7" s="1"/>
  <c r="K136" i="7" s="1"/>
  <c r="N135" i="7"/>
  <c r="M135" i="7"/>
  <c r="E135" i="7"/>
  <c r="I135" i="7" s="1"/>
  <c r="K135" i="7" s="1"/>
  <c r="J134" i="7"/>
  <c r="F134" i="7"/>
  <c r="D134" i="7"/>
  <c r="C134" i="7"/>
  <c r="N133" i="7"/>
  <c r="M133" i="7"/>
  <c r="E133" i="7"/>
  <c r="N132" i="7"/>
  <c r="M132" i="7"/>
  <c r="E132" i="7"/>
  <c r="G132" i="7" s="1"/>
  <c r="N131" i="7"/>
  <c r="M131" i="7"/>
  <c r="E131" i="7"/>
  <c r="N130" i="7"/>
  <c r="M130" i="7"/>
  <c r="E130" i="7"/>
  <c r="G130" i="7" s="1"/>
  <c r="N129" i="7"/>
  <c r="M129" i="7"/>
  <c r="E129" i="7"/>
  <c r="J128" i="7"/>
  <c r="F128" i="7"/>
  <c r="D128" i="7"/>
  <c r="C128" i="7"/>
  <c r="N127" i="7"/>
  <c r="M127" i="7"/>
  <c r="E127" i="7"/>
  <c r="I127" i="7" s="1"/>
  <c r="K127" i="7" s="1"/>
  <c r="N126" i="7"/>
  <c r="M126" i="7"/>
  <c r="E126" i="7"/>
  <c r="I126" i="7" s="1"/>
  <c r="K126" i="7" s="1"/>
  <c r="N125" i="7"/>
  <c r="M125" i="7"/>
  <c r="E125" i="7"/>
  <c r="I125" i="7" s="1"/>
  <c r="K125" i="7" s="1"/>
  <c r="N124" i="7"/>
  <c r="M124" i="7"/>
  <c r="E124" i="7"/>
  <c r="I124" i="7" s="1"/>
  <c r="K124" i="7" s="1"/>
  <c r="N123" i="7"/>
  <c r="M123" i="7"/>
  <c r="E123" i="7"/>
  <c r="J122" i="7"/>
  <c r="F122" i="7"/>
  <c r="D122" i="7"/>
  <c r="C122" i="7"/>
  <c r="N121" i="7"/>
  <c r="M121" i="7"/>
  <c r="E121" i="7"/>
  <c r="N120" i="7"/>
  <c r="M120" i="7"/>
  <c r="E120" i="7"/>
  <c r="N119" i="7"/>
  <c r="M119" i="7"/>
  <c r="E119" i="7"/>
  <c r="G119" i="7" s="1"/>
  <c r="N118" i="7"/>
  <c r="M118" i="7"/>
  <c r="E118" i="7"/>
  <c r="G118" i="7" s="1"/>
  <c r="N117" i="7"/>
  <c r="M117" i="7"/>
  <c r="E117" i="7"/>
  <c r="J116" i="7"/>
  <c r="F116" i="7"/>
  <c r="D116" i="7"/>
  <c r="C116" i="7"/>
  <c r="N115" i="7"/>
  <c r="M115" i="7"/>
  <c r="E115" i="7"/>
  <c r="I115" i="7" s="1"/>
  <c r="K115" i="7" s="1"/>
  <c r="N114" i="7"/>
  <c r="M114" i="7"/>
  <c r="E114" i="7"/>
  <c r="G114" i="7" s="1"/>
  <c r="N113" i="7"/>
  <c r="M113" i="7"/>
  <c r="E113" i="7"/>
  <c r="I113" i="7" s="1"/>
  <c r="K113" i="7" s="1"/>
  <c r="N112" i="7"/>
  <c r="M112" i="7"/>
  <c r="E112" i="7"/>
  <c r="G112" i="7" s="1"/>
  <c r="N111" i="7"/>
  <c r="M111" i="7"/>
  <c r="E111" i="7"/>
  <c r="J110" i="7"/>
  <c r="F110" i="7"/>
  <c r="D110" i="7"/>
  <c r="C110" i="7"/>
  <c r="N109" i="7"/>
  <c r="M109" i="7"/>
  <c r="E109" i="7"/>
  <c r="N108" i="7"/>
  <c r="M108" i="7"/>
  <c r="E108" i="7"/>
  <c r="N107" i="7"/>
  <c r="M107" i="7"/>
  <c r="E107" i="7"/>
  <c r="N106" i="7"/>
  <c r="M106" i="7"/>
  <c r="E106" i="7"/>
  <c r="G106" i="7" s="1"/>
  <c r="N105" i="7"/>
  <c r="M105" i="7"/>
  <c r="E105" i="7"/>
  <c r="G105" i="7" s="1"/>
  <c r="J104" i="7"/>
  <c r="F104" i="7"/>
  <c r="D104" i="7"/>
  <c r="C104" i="7"/>
  <c r="N103" i="7"/>
  <c r="M103" i="7"/>
  <c r="E103" i="7"/>
  <c r="I103" i="7" s="1"/>
  <c r="K103" i="7" s="1"/>
  <c r="N102" i="7"/>
  <c r="M102" i="7"/>
  <c r="E102" i="7"/>
  <c r="I102" i="7" s="1"/>
  <c r="K102" i="7" s="1"/>
  <c r="N101" i="7"/>
  <c r="M101" i="7"/>
  <c r="E101" i="7"/>
  <c r="G101" i="7" s="1"/>
  <c r="N100" i="7"/>
  <c r="M100" i="7"/>
  <c r="E100" i="7"/>
  <c r="I100" i="7" s="1"/>
  <c r="K100" i="7" s="1"/>
  <c r="N99" i="7"/>
  <c r="M99" i="7"/>
  <c r="E99" i="7"/>
  <c r="G99" i="7" s="1"/>
  <c r="J98" i="7"/>
  <c r="F98" i="7"/>
  <c r="D98" i="7"/>
  <c r="C98" i="7"/>
  <c r="N97" i="7"/>
  <c r="M97" i="7"/>
  <c r="E97" i="7"/>
  <c r="G97" i="7" s="1"/>
  <c r="N96" i="7"/>
  <c r="M96" i="7"/>
  <c r="E96" i="7"/>
  <c r="I96" i="7" s="1"/>
  <c r="K96" i="7" s="1"/>
  <c r="N95" i="7"/>
  <c r="M95" i="7"/>
  <c r="E95" i="7"/>
  <c r="N94" i="7"/>
  <c r="M94" i="7"/>
  <c r="E94" i="7"/>
  <c r="I94" i="7" s="1"/>
  <c r="K94" i="7" s="1"/>
  <c r="N93" i="7"/>
  <c r="M93" i="7"/>
  <c r="E93" i="7"/>
  <c r="G93" i="7" s="1"/>
  <c r="J92" i="7"/>
  <c r="F92" i="7"/>
  <c r="D92" i="7"/>
  <c r="C92" i="7"/>
  <c r="N91" i="7"/>
  <c r="M91" i="7"/>
  <c r="E91" i="7"/>
  <c r="I91" i="7" s="1"/>
  <c r="K91" i="7" s="1"/>
  <c r="N90" i="7"/>
  <c r="M90" i="7"/>
  <c r="E90" i="7"/>
  <c r="I90" i="7" s="1"/>
  <c r="K90" i="7" s="1"/>
  <c r="N89" i="7"/>
  <c r="M89" i="7"/>
  <c r="E89" i="7"/>
  <c r="I89" i="7" s="1"/>
  <c r="K89" i="7" s="1"/>
  <c r="N88" i="7"/>
  <c r="M88" i="7"/>
  <c r="E88" i="7"/>
  <c r="I88" i="7" s="1"/>
  <c r="K88" i="7" s="1"/>
  <c r="N87" i="7"/>
  <c r="M87" i="7"/>
  <c r="E87" i="7"/>
  <c r="I87" i="7" s="1"/>
  <c r="J86" i="7"/>
  <c r="F86" i="7"/>
  <c r="D86" i="7"/>
  <c r="C86" i="7"/>
  <c r="N85" i="7"/>
  <c r="M85" i="7"/>
  <c r="E85" i="7"/>
  <c r="N84" i="7"/>
  <c r="M84" i="7"/>
  <c r="E84" i="7"/>
  <c r="G84" i="7" s="1"/>
  <c r="N83" i="7"/>
  <c r="M83" i="7"/>
  <c r="E83" i="7"/>
  <c r="N82" i="7"/>
  <c r="M82" i="7"/>
  <c r="E82" i="7"/>
  <c r="G82" i="7" s="1"/>
  <c r="N81" i="7"/>
  <c r="M81" i="7"/>
  <c r="E81" i="7"/>
  <c r="J80" i="7"/>
  <c r="F80" i="7"/>
  <c r="D80" i="7"/>
  <c r="C80" i="7"/>
  <c r="N79" i="7"/>
  <c r="M79" i="7"/>
  <c r="E79" i="7"/>
  <c r="I79" i="7" s="1"/>
  <c r="K79" i="7" s="1"/>
  <c r="N78" i="7"/>
  <c r="M78" i="7"/>
  <c r="E78" i="7"/>
  <c r="I78" i="7" s="1"/>
  <c r="K78" i="7" s="1"/>
  <c r="N77" i="7"/>
  <c r="M77" i="7"/>
  <c r="E77" i="7"/>
  <c r="G77" i="7" s="1"/>
  <c r="N76" i="7"/>
  <c r="M76" i="7"/>
  <c r="E76" i="7"/>
  <c r="I76" i="7" s="1"/>
  <c r="K76" i="7" s="1"/>
  <c r="N75" i="7"/>
  <c r="M75" i="7"/>
  <c r="E75" i="7"/>
  <c r="J74" i="7"/>
  <c r="F74" i="7"/>
  <c r="D74" i="7"/>
  <c r="C74" i="7"/>
  <c r="N73" i="7"/>
  <c r="M73" i="7"/>
  <c r="E73" i="7"/>
  <c r="G73" i="7" s="1"/>
  <c r="N72" i="7"/>
  <c r="M72" i="7"/>
  <c r="E72" i="7"/>
  <c r="N71" i="7"/>
  <c r="M71" i="7"/>
  <c r="E71" i="7"/>
  <c r="G71" i="7" s="1"/>
  <c r="N70" i="7"/>
  <c r="M70" i="7"/>
  <c r="E70" i="7"/>
  <c r="N69" i="7"/>
  <c r="M69" i="7"/>
  <c r="E69" i="7"/>
  <c r="G69" i="7" s="1"/>
  <c r="J68" i="7"/>
  <c r="F68" i="7"/>
  <c r="D68" i="7"/>
  <c r="C68" i="7"/>
  <c r="N67" i="7"/>
  <c r="M67" i="7"/>
  <c r="E67" i="7"/>
  <c r="I67" i="7" s="1"/>
  <c r="K67" i="7" s="1"/>
  <c r="N66" i="7"/>
  <c r="M66" i="7"/>
  <c r="E66" i="7"/>
  <c r="I66" i="7" s="1"/>
  <c r="K66" i="7" s="1"/>
  <c r="N65" i="7"/>
  <c r="M65" i="7"/>
  <c r="E65" i="7"/>
  <c r="N64" i="7"/>
  <c r="M64" i="7"/>
  <c r="E64" i="7"/>
  <c r="I64" i="7" s="1"/>
  <c r="K64" i="7" s="1"/>
  <c r="N63" i="7"/>
  <c r="M63" i="7"/>
  <c r="E63" i="7"/>
  <c r="G63" i="7" s="1"/>
  <c r="J62" i="7"/>
  <c r="F62" i="7"/>
  <c r="D62" i="7"/>
  <c r="C62" i="7"/>
  <c r="N61" i="7"/>
  <c r="M61" i="7"/>
  <c r="E61" i="7"/>
  <c r="N60" i="7"/>
  <c r="M60" i="7"/>
  <c r="E60" i="7"/>
  <c r="G60" i="7" s="1"/>
  <c r="N59" i="7"/>
  <c r="M59" i="7"/>
  <c r="E59" i="7"/>
  <c r="I59" i="7" s="1"/>
  <c r="K59" i="7" s="1"/>
  <c r="N58" i="7"/>
  <c r="M58" i="7"/>
  <c r="E58" i="7"/>
  <c r="N57" i="7"/>
  <c r="M57" i="7"/>
  <c r="E57" i="7"/>
  <c r="I57" i="7" s="1"/>
  <c r="J56" i="7"/>
  <c r="F56" i="7"/>
  <c r="D56" i="7"/>
  <c r="C56" i="7"/>
  <c r="N55" i="7"/>
  <c r="M55" i="7"/>
  <c r="E55" i="7"/>
  <c r="I55" i="7" s="1"/>
  <c r="N54" i="7"/>
  <c r="M54" i="7"/>
  <c r="E54" i="7"/>
  <c r="I54" i="7" s="1"/>
  <c r="K54" i="7" s="1"/>
  <c r="N53" i="7"/>
  <c r="M53" i="7"/>
  <c r="E53" i="7"/>
  <c r="I53" i="7" s="1"/>
  <c r="K53" i="7" s="1"/>
  <c r="N52" i="7"/>
  <c r="M52" i="7"/>
  <c r="E52" i="7"/>
  <c r="I52" i="7" s="1"/>
  <c r="K52" i="7" s="1"/>
  <c r="N51" i="7"/>
  <c r="M51" i="7"/>
  <c r="E51" i="7"/>
  <c r="I51" i="7" s="1"/>
  <c r="K51" i="7" s="1"/>
  <c r="J50" i="7"/>
  <c r="F50" i="7"/>
  <c r="D50" i="7"/>
  <c r="C50" i="7"/>
  <c r="N49" i="7"/>
  <c r="M49" i="7"/>
  <c r="E49" i="7"/>
  <c r="G49" i="7" s="1"/>
  <c r="N48" i="7"/>
  <c r="M48" i="7"/>
  <c r="E48" i="7"/>
  <c r="N47" i="7"/>
  <c r="M47" i="7"/>
  <c r="E47" i="7"/>
  <c r="G47" i="7" s="1"/>
  <c r="N46" i="7"/>
  <c r="M46" i="7"/>
  <c r="E46" i="7"/>
  <c r="G46" i="7" s="1"/>
  <c r="N45" i="7"/>
  <c r="M45" i="7"/>
  <c r="E45" i="7"/>
  <c r="G45" i="7" s="1"/>
  <c r="D44" i="7"/>
  <c r="C44" i="7"/>
  <c r="N43" i="7"/>
  <c r="M43" i="7"/>
  <c r="J43" i="7"/>
  <c r="F43" i="7"/>
  <c r="E43" i="7"/>
  <c r="N42" i="7"/>
  <c r="M42" i="7"/>
  <c r="E42" i="7"/>
  <c r="I42" i="7" s="1"/>
  <c r="K42" i="7" s="1"/>
  <c r="N41" i="7"/>
  <c r="M41" i="7"/>
  <c r="E41" i="7"/>
  <c r="I41" i="7" s="1"/>
  <c r="K41" i="7" s="1"/>
  <c r="N40" i="7"/>
  <c r="M40" i="7"/>
  <c r="J40" i="7"/>
  <c r="F40" i="7"/>
  <c r="E40" i="7"/>
  <c r="I40" i="7" s="1"/>
  <c r="N39" i="7"/>
  <c r="M39" i="7"/>
  <c r="E39" i="7"/>
  <c r="I39" i="7" s="1"/>
  <c r="K39" i="7" s="1"/>
  <c r="D38" i="7"/>
  <c r="C38" i="7"/>
  <c r="N37" i="7"/>
  <c r="M37" i="7"/>
  <c r="J37" i="7"/>
  <c r="F37" i="7"/>
  <c r="E37" i="7"/>
  <c r="I37" i="7" s="1"/>
  <c r="N36" i="7"/>
  <c r="M36" i="7"/>
  <c r="J36" i="7"/>
  <c r="F36" i="7"/>
  <c r="E36" i="7"/>
  <c r="N35" i="7"/>
  <c r="M35" i="7"/>
  <c r="E35" i="7"/>
  <c r="I35" i="7" s="1"/>
  <c r="K35" i="7" s="1"/>
  <c r="N34" i="7"/>
  <c r="M34" i="7"/>
  <c r="J34" i="7"/>
  <c r="F34" i="7"/>
  <c r="E34" i="7"/>
  <c r="I34" i="7" s="1"/>
  <c r="N33" i="7"/>
  <c r="M33" i="7"/>
  <c r="E33" i="7"/>
  <c r="G33" i="7" s="1"/>
  <c r="J32" i="7"/>
  <c r="F32" i="7"/>
  <c r="D32" i="7"/>
  <c r="C32" i="7"/>
  <c r="N31" i="7"/>
  <c r="M31" i="7"/>
  <c r="E31" i="7"/>
  <c r="I31" i="7" s="1"/>
  <c r="K31" i="7" s="1"/>
  <c r="N30" i="7"/>
  <c r="M30" i="7"/>
  <c r="E30" i="7"/>
  <c r="G30" i="7" s="1"/>
  <c r="N29" i="7"/>
  <c r="M29" i="7"/>
  <c r="E29" i="7"/>
  <c r="I29" i="7" s="1"/>
  <c r="K29" i="7" s="1"/>
  <c r="N28" i="7"/>
  <c r="M28" i="7"/>
  <c r="E28" i="7"/>
  <c r="G28" i="7" s="1"/>
  <c r="N27" i="7"/>
  <c r="M27" i="7"/>
  <c r="E27" i="7"/>
  <c r="J26" i="7"/>
  <c r="F26" i="7"/>
  <c r="D26" i="7"/>
  <c r="C26" i="7"/>
  <c r="N25" i="7"/>
  <c r="M25" i="7"/>
  <c r="E25" i="7"/>
  <c r="N24" i="7"/>
  <c r="M24" i="7"/>
  <c r="E24" i="7"/>
  <c r="I24" i="7" s="1"/>
  <c r="K24" i="7" s="1"/>
  <c r="N23" i="7"/>
  <c r="M23" i="7"/>
  <c r="E23" i="7"/>
  <c r="I23" i="7" s="1"/>
  <c r="K23" i="7" s="1"/>
  <c r="N22" i="7"/>
  <c r="M22" i="7"/>
  <c r="E22" i="7"/>
  <c r="N21" i="7"/>
  <c r="M21" i="7"/>
  <c r="E21" i="7"/>
  <c r="D20" i="7"/>
  <c r="C20" i="7"/>
  <c r="N19" i="7"/>
  <c r="M19" i="7"/>
  <c r="J19" i="7"/>
  <c r="F19" i="7"/>
  <c r="E19" i="7"/>
  <c r="N18" i="7"/>
  <c r="M18" i="7"/>
  <c r="J18" i="7"/>
  <c r="F18" i="7"/>
  <c r="E18" i="7"/>
  <c r="N17" i="7"/>
  <c r="M17" i="7"/>
  <c r="E17" i="7"/>
  <c r="I17" i="7" s="1"/>
  <c r="K17" i="7" s="1"/>
  <c r="N16" i="7"/>
  <c r="M16" i="7"/>
  <c r="J16" i="7"/>
  <c r="F16" i="7"/>
  <c r="E16" i="7"/>
  <c r="N15" i="7"/>
  <c r="M15" i="7"/>
  <c r="E15" i="7"/>
  <c r="J174" i="7" l="1"/>
  <c r="F172" i="7"/>
  <c r="F174" i="7"/>
  <c r="F44" i="7"/>
  <c r="F175" i="7"/>
  <c r="J44" i="7"/>
  <c r="J38" i="7"/>
  <c r="G43" i="7"/>
  <c r="J175" i="7"/>
  <c r="K40" i="7"/>
  <c r="N68" i="7"/>
  <c r="I71" i="7"/>
  <c r="K71" i="7" s="1"/>
  <c r="I77" i="7"/>
  <c r="K77" i="7" s="1"/>
  <c r="G79" i="7"/>
  <c r="G94" i="7"/>
  <c r="G163" i="7"/>
  <c r="G124" i="7"/>
  <c r="G125" i="7"/>
  <c r="I169" i="7"/>
  <c r="K169" i="7" s="1"/>
  <c r="G41" i="7"/>
  <c r="M92" i="7"/>
  <c r="I112" i="7"/>
  <c r="K112" i="7" s="1"/>
  <c r="N38" i="1"/>
  <c r="M38" i="1"/>
  <c r="G23" i="7"/>
  <c r="G103" i="7"/>
  <c r="I141" i="7"/>
  <c r="K141" i="7" s="1"/>
  <c r="G159" i="7"/>
  <c r="G16" i="7"/>
  <c r="K34" i="7"/>
  <c r="I49" i="7"/>
  <c r="K49" i="7" s="1"/>
  <c r="G51" i="7"/>
  <c r="I56" i="7"/>
  <c r="G57" i="7"/>
  <c r="G90" i="7"/>
  <c r="N98" i="7"/>
  <c r="I99" i="7"/>
  <c r="K99" i="7" s="1"/>
  <c r="M104" i="7"/>
  <c r="I114" i="7"/>
  <c r="K114" i="7" s="1"/>
  <c r="M122" i="7"/>
  <c r="N122" i="7"/>
  <c r="N128" i="7"/>
  <c r="M140" i="7"/>
  <c r="I151" i="7"/>
  <c r="K151" i="7" s="1"/>
  <c r="G24" i="7"/>
  <c r="I30" i="7"/>
  <c r="K30" i="7" s="1"/>
  <c r="E80" i="7"/>
  <c r="I101" i="7"/>
  <c r="K101" i="7" s="1"/>
  <c r="G160" i="7"/>
  <c r="E32" i="7"/>
  <c r="K37" i="7"/>
  <c r="I82" i="7"/>
  <c r="K82" i="7" s="1"/>
  <c r="G96" i="7"/>
  <c r="C29" i="8"/>
  <c r="C21" i="8"/>
  <c r="C15" i="8"/>
  <c r="G39" i="8"/>
  <c r="C33" i="8"/>
  <c r="C25" i="8"/>
  <c r="C17" i="8"/>
  <c r="C38" i="8"/>
  <c r="C30" i="8"/>
  <c r="C22" i="8"/>
  <c r="C14" i="8"/>
  <c r="C34" i="8"/>
  <c r="C26" i="8"/>
  <c r="C18" i="8"/>
  <c r="I43" i="7"/>
  <c r="K43" i="7" s="1"/>
  <c r="I45" i="7"/>
  <c r="K45" i="7" s="1"/>
  <c r="I46" i="7"/>
  <c r="K46" i="7" s="1"/>
  <c r="I47" i="7"/>
  <c r="K47" i="7" s="1"/>
  <c r="G53" i="7"/>
  <c r="G55" i="7"/>
  <c r="I143" i="7"/>
  <c r="K143" i="7" s="1"/>
  <c r="I156" i="7"/>
  <c r="K156" i="7" s="1"/>
  <c r="M164" i="7"/>
  <c r="N170" i="7"/>
  <c r="M56" i="7"/>
  <c r="N134" i="7"/>
  <c r="G137" i="7"/>
  <c r="G139" i="7"/>
  <c r="G148" i="7"/>
  <c r="G150" i="7"/>
  <c r="I154" i="7"/>
  <c r="K154" i="7" s="1"/>
  <c r="M116" i="7"/>
  <c r="I28" i="7"/>
  <c r="K28" i="7" s="1"/>
  <c r="I69" i="7"/>
  <c r="K69" i="7" s="1"/>
  <c r="I84" i="7"/>
  <c r="K84" i="7" s="1"/>
  <c r="N158" i="7"/>
  <c r="I22" i="7"/>
  <c r="K22" i="7" s="1"/>
  <c r="G22" i="7"/>
  <c r="I25" i="7"/>
  <c r="K25" i="7" s="1"/>
  <c r="G25" i="7"/>
  <c r="M80" i="7"/>
  <c r="G109" i="7"/>
  <c r="I109" i="7"/>
  <c r="K109" i="7" s="1"/>
  <c r="E174" i="7"/>
  <c r="M175" i="7"/>
  <c r="E26" i="7"/>
  <c r="G21" i="7"/>
  <c r="N44" i="7"/>
  <c r="N86" i="7"/>
  <c r="G108" i="7"/>
  <c r="I108" i="7"/>
  <c r="K108" i="7" s="1"/>
  <c r="M171" i="7"/>
  <c r="G58" i="7"/>
  <c r="I58" i="7"/>
  <c r="K58" i="7" s="1"/>
  <c r="E128" i="7"/>
  <c r="I123" i="7"/>
  <c r="K123" i="7" s="1"/>
  <c r="K128" i="7" s="1"/>
  <c r="G123" i="7"/>
  <c r="I36" i="7"/>
  <c r="K36" i="7" s="1"/>
  <c r="G36" i="7"/>
  <c r="N62" i="7"/>
  <c r="I61" i="7"/>
  <c r="K61" i="7" s="1"/>
  <c r="G61" i="7"/>
  <c r="M68" i="7"/>
  <c r="G121" i="7"/>
  <c r="I121" i="7"/>
  <c r="K121" i="7" s="1"/>
  <c r="M128" i="7"/>
  <c r="G34" i="7"/>
  <c r="M50" i="7"/>
  <c r="M74" i="7"/>
  <c r="M98" i="7"/>
  <c r="G126" i="7"/>
  <c r="G127" i="7"/>
  <c r="I132" i="7"/>
  <c r="K132" i="7" s="1"/>
  <c r="G135" i="7"/>
  <c r="G138" i="7"/>
  <c r="N146" i="7"/>
  <c r="E152" i="7"/>
  <c r="G149" i="7"/>
  <c r="N164" i="7"/>
  <c r="G161" i="7"/>
  <c r="I167" i="7"/>
  <c r="K167" i="7" s="1"/>
  <c r="E172" i="7"/>
  <c r="M172" i="7"/>
  <c r="C176" i="7"/>
  <c r="E182" i="7" s="1"/>
  <c r="M26" i="7"/>
  <c r="N32" i="7"/>
  <c r="M38" i="7"/>
  <c r="G42" i="7"/>
  <c r="N50" i="7"/>
  <c r="E56" i="7"/>
  <c r="G54" i="7"/>
  <c r="M62" i="7"/>
  <c r="G59" i="7"/>
  <c r="G64" i="7"/>
  <c r="G66" i="7"/>
  <c r="I73" i="7"/>
  <c r="K73" i="7" s="1"/>
  <c r="G75" i="7"/>
  <c r="I92" i="7"/>
  <c r="G88" i="7"/>
  <c r="G100" i="7"/>
  <c r="I105" i="7"/>
  <c r="K105" i="7" s="1"/>
  <c r="I106" i="7"/>
  <c r="K106" i="7" s="1"/>
  <c r="N116" i="7"/>
  <c r="G113" i="7"/>
  <c r="I119" i="7"/>
  <c r="K119" i="7" s="1"/>
  <c r="I130" i="7"/>
  <c r="K130" i="7" s="1"/>
  <c r="G136" i="7"/>
  <c r="I145" i="7"/>
  <c r="K145" i="7" s="1"/>
  <c r="G147" i="7"/>
  <c r="M152" i="7"/>
  <c r="G162" i="7"/>
  <c r="I165" i="7"/>
  <c r="E175" i="7"/>
  <c r="M32" i="7"/>
  <c r="N74" i="7"/>
  <c r="E171" i="7"/>
  <c r="N20" i="7"/>
  <c r="N26" i="7"/>
  <c r="N38" i="7"/>
  <c r="M44" i="7"/>
  <c r="E50" i="7"/>
  <c r="I75" i="7"/>
  <c r="E104" i="7"/>
  <c r="I147" i="7"/>
  <c r="K147" i="7" s="1"/>
  <c r="F37" i="8"/>
  <c r="F36" i="8"/>
  <c r="F33" i="8"/>
  <c r="F32" i="8"/>
  <c r="F29" i="8"/>
  <c r="F28" i="8"/>
  <c r="F25" i="8"/>
  <c r="F24" i="8"/>
  <c r="F21" i="8"/>
  <c r="F20" i="8"/>
  <c r="F17" i="8"/>
  <c r="F16" i="8"/>
  <c r="F13" i="8"/>
  <c r="C13" i="8"/>
  <c r="C36" i="8"/>
  <c r="F35" i="8"/>
  <c r="C32" i="8"/>
  <c r="F31" i="8"/>
  <c r="C28" i="8"/>
  <c r="F27" i="8"/>
  <c r="C24" i="8"/>
  <c r="F23" i="8"/>
  <c r="C20" i="8"/>
  <c r="F19" i="8"/>
  <c r="C16" i="8"/>
  <c r="F15" i="8"/>
  <c r="F38" i="8"/>
  <c r="C35" i="8"/>
  <c r="F34" i="8"/>
  <c r="C31" i="8"/>
  <c r="F30" i="8"/>
  <c r="C27" i="8"/>
  <c r="F26" i="8"/>
  <c r="C23" i="8"/>
  <c r="F22" i="8"/>
  <c r="C19" i="8"/>
  <c r="F18" i="8"/>
  <c r="I72" i="7"/>
  <c r="K72" i="7" s="1"/>
  <c r="G72" i="7"/>
  <c r="G15" i="7"/>
  <c r="N171" i="7"/>
  <c r="I16" i="7"/>
  <c r="N172" i="7"/>
  <c r="D176" i="7"/>
  <c r="M20" i="7"/>
  <c r="I21" i="7"/>
  <c r="G27" i="7"/>
  <c r="G29" i="7"/>
  <c r="G31" i="7"/>
  <c r="I33" i="7"/>
  <c r="G35" i="7"/>
  <c r="E38" i="7"/>
  <c r="G39" i="7"/>
  <c r="G48" i="7"/>
  <c r="G50" i="7" s="1"/>
  <c r="N56" i="7"/>
  <c r="K55" i="7"/>
  <c r="K56" i="7" s="1"/>
  <c r="I60" i="7"/>
  <c r="K60" i="7" s="1"/>
  <c r="I70" i="7"/>
  <c r="K70" i="7" s="1"/>
  <c r="G70" i="7"/>
  <c r="G74" i="7" s="1"/>
  <c r="N80" i="7"/>
  <c r="I81" i="7"/>
  <c r="G81" i="7"/>
  <c r="K87" i="7"/>
  <c r="K92" i="7" s="1"/>
  <c r="G95" i="7"/>
  <c r="I95" i="7"/>
  <c r="K95" i="7" s="1"/>
  <c r="N110" i="7"/>
  <c r="I111" i="7"/>
  <c r="E116" i="7"/>
  <c r="G111" i="7"/>
  <c r="I129" i="7"/>
  <c r="G129" i="7"/>
  <c r="E134" i="7"/>
  <c r="I168" i="7"/>
  <c r="K168" i="7" s="1"/>
  <c r="G168" i="7"/>
  <c r="I83" i="7"/>
  <c r="K83" i="7" s="1"/>
  <c r="G83" i="7"/>
  <c r="I15" i="7"/>
  <c r="J172" i="7"/>
  <c r="E173" i="7"/>
  <c r="M173" i="7"/>
  <c r="G18" i="7"/>
  <c r="M174" i="7"/>
  <c r="G19" i="7"/>
  <c r="E20" i="7"/>
  <c r="J20" i="7"/>
  <c r="I27" i="7"/>
  <c r="G37" i="7"/>
  <c r="F38" i="7"/>
  <c r="E44" i="7"/>
  <c r="I48" i="7"/>
  <c r="K48" i="7" s="1"/>
  <c r="I65" i="7"/>
  <c r="K65" i="7" s="1"/>
  <c r="G65" i="7"/>
  <c r="M86" i="7"/>
  <c r="I107" i="7"/>
  <c r="K107" i="7" s="1"/>
  <c r="G107" i="7"/>
  <c r="I142" i="7"/>
  <c r="K142" i="7" s="1"/>
  <c r="G142" i="7"/>
  <c r="E62" i="7"/>
  <c r="E86" i="7"/>
  <c r="G17" i="7"/>
  <c r="N173" i="7"/>
  <c r="I18" i="7"/>
  <c r="N174" i="7"/>
  <c r="I19" i="7"/>
  <c r="N175" i="7"/>
  <c r="F20" i="7"/>
  <c r="G40" i="7"/>
  <c r="G52" i="7"/>
  <c r="K57" i="7"/>
  <c r="I63" i="7"/>
  <c r="E68" i="7"/>
  <c r="I85" i="7"/>
  <c r="K85" i="7" s="1"/>
  <c r="G85" i="7"/>
  <c r="N92" i="7"/>
  <c r="I155" i="7"/>
  <c r="K155" i="7" s="1"/>
  <c r="G155" i="7"/>
  <c r="E158" i="7"/>
  <c r="I164" i="7"/>
  <c r="K159" i="7"/>
  <c r="K164" i="7" s="1"/>
  <c r="E92" i="7"/>
  <c r="E98" i="7"/>
  <c r="M110" i="7"/>
  <c r="E110" i="7"/>
  <c r="M134" i="7"/>
  <c r="K140" i="7"/>
  <c r="I140" i="7"/>
  <c r="N152" i="7"/>
  <c r="I153" i="7"/>
  <c r="G153" i="7"/>
  <c r="I166" i="7"/>
  <c r="K166" i="7" s="1"/>
  <c r="G166" i="7"/>
  <c r="G67" i="7"/>
  <c r="E74" i="7"/>
  <c r="G76" i="7"/>
  <c r="G78" i="7"/>
  <c r="G87" i="7"/>
  <c r="G89" i="7"/>
  <c r="G91" i="7"/>
  <c r="N104" i="7"/>
  <c r="G117" i="7"/>
  <c r="E122" i="7"/>
  <c r="I120" i="7"/>
  <c r="K120" i="7" s="1"/>
  <c r="G120" i="7"/>
  <c r="I133" i="7"/>
  <c r="K133" i="7" s="1"/>
  <c r="G133" i="7"/>
  <c r="M146" i="7"/>
  <c r="M158" i="7"/>
  <c r="I93" i="7"/>
  <c r="I97" i="7"/>
  <c r="K97" i="7" s="1"/>
  <c r="G102" i="7"/>
  <c r="G115" i="7"/>
  <c r="I117" i="7"/>
  <c r="I118" i="7"/>
  <c r="K118" i="7" s="1"/>
  <c r="I131" i="7"/>
  <c r="K131" i="7" s="1"/>
  <c r="G131" i="7"/>
  <c r="N140" i="7"/>
  <c r="I144" i="7"/>
  <c r="K144" i="7" s="1"/>
  <c r="G144" i="7"/>
  <c r="I157" i="7"/>
  <c r="K157" i="7" s="1"/>
  <c r="G157" i="7"/>
  <c r="M170" i="7"/>
  <c r="E140" i="7"/>
  <c r="E164" i="7"/>
  <c r="E146" i="7"/>
  <c r="E170" i="7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K36" i="2"/>
  <c r="AL39" i="2" s="1"/>
  <c r="AI36" i="2"/>
  <c r="AJ38" i="2" s="1"/>
  <c r="AG36" i="2"/>
  <c r="AH39" i="2" s="1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C36" i="2"/>
  <c r="AD38" i="2" s="1"/>
  <c r="AA36" i="2"/>
  <c r="AB41" i="2" s="1"/>
  <c r="Y36" i="2"/>
  <c r="C43" i="6"/>
  <c r="D5" i="6" s="1"/>
  <c r="C32" i="5"/>
  <c r="E39" i="5" s="1"/>
  <c r="E40" i="5" s="1"/>
  <c r="D42" i="5"/>
  <c r="D40" i="5"/>
  <c r="D38" i="5"/>
  <c r="C31" i="4"/>
  <c r="D31" i="4" s="1"/>
  <c r="B31" i="4"/>
  <c r="C30" i="4"/>
  <c r="D30" i="4" s="1"/>
  <c r="B30" i="4"/>
  <c r="C29" i="4"/>
  <c r="D29" i="4" s="1"/>
  <c r="B29" i="4"/>
  <c r="C28" i="4"/>
  <c r="D28" i="4" s="1"/>
  <c r="B28" i="4"/>
  <c r="C27" i="4"/>
  <c r="D27" i="4" s="1"/>
  <c r="B27" i="4"/>
  <c r="C26" i="4"/>
  <c r="D26" i="4" s="1"/>
  <c r="B26" i="4"/>
  <c r="C25" i="4"/>
  <c r="D25" i="4" s="1"/>
  <c r="B25" i="4"/>
  <c r="C24" i="4"/>
  <c r="D24" i="4" s="1"/>
  <c r="B24" i="4"/>
  <c r="C23" i="4"/>
  <c r="D23" i="4" s="1"/>
  <c r="B23" i="4"/>
  <c r="C22" i="4"/>
  <c r="D22" i="4" s="1"/>
  <c r="B22" i="4"/>
  <c r="C21" i="4"/>
  <c r="D21" i="4" s="1"/>
  <c r="B21" i="4"/>
  <c r="C20" i="4"/>
  <c r="D20" i="4" s="1"/>
  <c r="B20" i="4"/>
  <c r="C19" i="4"/>
  <c r="D19" i="4" s="1"/>
  <c r="B19" i="4"/>
  <c r="C18" i="4"/>
  <c r="D18" i="4" s="1"/>
  <c r="B18" i="4"/>
  <c r="C17" i="4"/>
  <c r="D17" i="4" s="1"/>
  <c r="B17" i="4"/>
  <c r="C16" i="4"/>
  <c r="D16" i="4" s="1"/>
  <c r="B16" i="4"/>
  <c r="C15" i="4"/>
  <c r="D15" i="4" s="1"/>
  <c r="B15" i="4"/>
  <c r="C14" i="4"/>
  <c r="D14" i="4" s="1"/>
  <c r="B14" i="4"/>
  <c r="C13" i="4"/>
  <c r="D13" i="4" s="1"/>
  <c r="B13" i="4"/>
  <c r="C12" i="4"/>
  <c r="D12" i="4" s="1"/>
  <c r="B12" i="4"/>
  <c r="C11" i="4"/>
  <c r="D11" i="4" s="1"/>
  <c r="B11" i="4"/>
  <c r="C10" i="4"/>
  <c r="D10" i="4" s="1"/>
  <c r="B10" i="4"/>
  <c r="C9" i="4"/>
  <c r="D9" i="4" s="1"/>
  <c r="B9" i="4"/>
  <c r="C8" i="4"/>
  <c r="D8" i="4" s="1"/>
  <c r="B8" i="4"/>
  <c r="C7" i="4"/>
  <c r="D7" i="4" s="1"/>
  <c r="B7" i="4"/>
  <c r="C6" i="4"/>
  <c r="B6" i="4"/>
  <c r="J176" i="7" l="1"/>
  <c r="K44" i="7"/>
  <c r="I170" i="7"/>
  <c r="K165" i="7"/>
  <c r="K170" i="7" s="1"/>
  <c r="I128" i="7"/>
  <c r="I80" i="7"/>
  <c r="K104" i="7"/>
  <c r="G164" i="7"/>
  <c r="G104" i="7"/>
  <c r="G98" i="7"/>
  <c r="E17" i="4"/>
  <c r="E19" i="4"/>
  <c r="E21" i="4"/>
  <c r="E23" i="4"/>
  <c r="E25" i="4"/>
  <c r="E27" i="4"/>
  <c r="E29" i="4"/>
  <c r="G152" i="7"/>
  <c r="I152" i="7"/>
  <c r="G170" i="7"/>
  <c r="I104" i="7"/>
  <c r="B32" i="4"/>
  <c r="G56" i="7"/>
  <c r="I44" i="7"/>
  <c r="K152" i="7"/>
  <c r="E31" i="4"/>
  <c r="H17" i="8"/>
  <c r="H21" i="8"/>
  <c r="H25" i="8"/>
  <c r="H29" i="8"/>
  <c r="H33" i="8"/>
  <c r="H37" i="8"/>
  <c r="H14" i="8"/>
  <c r="H18" i="8"/>
  <c r="H22" i="8"/>
  <c r="H26" i="8"/>
  <c r="H30" i="8"/>
  <c r="H34" i="8"/>
  <c r="H38" i="8"/>
  <c r="H15" i="8"/>
  <c r="H19" i="8"/>
  <c r="H23" i="8"/>
  <c r="H27" i="8"/>
  <c r="H31" i="8"/>
  <c r="H35" i="8"/>
  <c r="H39" i="8"/>
  <c r="H13" i="8"/>
  <c r="H24" i="8"/>
  <c r="H20" i="8"/>
  <c r="H32" i="8"/>
  <c r="H16" i="8"/>
  <c r="H28" i="8"/>
  <c r="H36" i="8"/>
  <c r="G62" i="7"/>
  <c r="K62" i="7"/>
  <c r="G172" i="7"/>
  <c r="G110" i="7"/>
  <c r="I62" i="7"/>
  <c r="G80" i="7"/>
  <c r="F176" i="7"/>
  <c r="K173" i="7"/>
  <c r="G38" i="7"/>
  <c r="G140" i="7"/>
  <c r="G26" i="7"/>
  <c r="G68" i="7"/>
  <c r="K75" i="7"/>
  <c r="K80" i="7" s="1"/>
  <c r="K110" i="7"/>
  <c r="G146" i="7"/>
  <c r="G128" i="7"/>
  <c r="G122" i="7"/>
  <c r="K50" i="7"/>
  <c r="N176" i="7"/>
  <c r="G173" i="7"/>
  <c r="G175" i="7"/>
  <c r="I38" i="7"/>
  <c r="K33" i="7"/>
  <c r="K38" i="7" s="1"/>
  <c r="I172" i="7"/>
  <c r="K16" i="7"/>
  <c r="K172" i="7" s="1"/>
  <c r="K74" i="7"/>
  <c r="I32" i="7"/>
  <c r="K27" i="7"/>
  <c r="K32" i="7" s="1"/>
  <c r="G134" i="7"/>
  <c r="I86" i="7"/>
  <c r="K81" i="7"/>
  <c r="K86" i="7" s="1"/>
  <c r="G44" i="7"/>
  <c r="M176" i="7"/>
  <c r="G116" i="7"/>
  <c r="G86" i="7"/>
  <c r="I26" i="7"/>
  <c r="K21" i="7"/>
  <c r="K26" i="7" s="1"/>
  <c r="G92" i="7"/>
  <c r="G158" i="7"/>
  <c r="K146" i="7"/>
  <c r="I174" i="7"/>
  <c r="K18" i="7"/>
  <c r="K174" i="7" s="1"/>
  <c r="I74" i="7"/>
  <c r="G174" i="7"/>
  <c r="K15" i="7"/>
  <c r="I171" i="7"/>
  <c r="I20" i="7"/>
  <c r="I134" i="7"/>
  <c r="K129" i="7"/>
  <c r="K134" i="7" s="1"/>
  <c r="I116" i="7"/>
  <c r="K111" i="7"/>
  <c r="K116" i="7" s="1"/>
  <c r="G171" i="7"/>
  <c r="G20" i="7"/>
  <c r="I68" i="7"/>
  <c r="K63" i="7"/>
  <c r="K68" i="7" s="1"/>
  <c r="I175" i="7"/>
  <c r="K19" i="7"/>
  <c r="K175" i="7" s="1"/>
  <c r="I122" i="7"/>
  <c r="K117" i="7"/>
  <c r="K122" i="7" s="1"/>
  <c r="I98" i="7"/>
  <c r="K93" i="7"/>
  <c r="K98" i="7" s="1"/>
  <c r="I158" i="7"/>
  <c r="K153" i="7"/>
  <c r="K158" i="7" s="1"/>
  <c r="I146" i="7"/>
  <c r="I110" i="7"/>
  <c r="I173" i="7"/>
  <c r="E176" i="7"/>
  <c r="E184" i="7" s="1"/>
  <c r="E185" i="7" s="1"/>
  <c r="G32" i="7"/>
  <c r="I50" i="7"/>
  <c r="AD37" i="2"/>
  <c r="J74" i="2"/>
  <c r="J89" i="2"/>
  <c r="J68" i="2"/>
  <c r="AD52" i="2"/>
  <c r="J85" i="2"/>
  <c r="AD41" i="2"/>
  <c r="J78" i="2"/>
  <c r="AD57" i="2"/>
  <c r="AD47" i="2"/>
  <c r="J84" i="2"/>
  <c r="J73" i="2"/>
  <c r="AD59" i="2"/>
  <c r="AD48" i="2"/>
  <c r="AB57" i="2"/>
  <c r="AD53" i="2"/>
  <c r="AD43" i="2"/>
  <c r="J90" i="2"/>
  <c r="J80" i="2"/>
  <c r="J69" i="2"/>
  <c r="AD61" i="2"/>
  <c r="AD56" i="2"/>
  <c r="AD51" i="2"/>
  <c r="AD45" i="2"/>
  <c r="AD40" i="2"/>
  <c r="J88" i="2"/>
  <c r="J82" i="2"/>
  <c r="J77" i="2"/>
  <c r="J72" i="2"/>
  <c r="J66" i="2"/>
  <c r="AM36" i="2"/>
  <c r="AN60" i="2" s="1"/>
  <c r="AD60" i="2"/>
  <c r="AD55" i="2"/>
  <c r="AD49" i="2"/>
  <c r="AD44" i="2"/>
  <c r="AD39" i="2"/>
  <c r="J86" i="2"/>
  <c r="J81" i="2"/>
  <c r="J76" i="2"/>
  <c r="J70" i="2"/>
  <c r="Z40" i="2"/>
  <c r="Z44" i="2"/>
  <c r="Z48" i="2"/>
  <c r="Z52" i="2"/>
  <c r="Z56" i="2"/>
  <c r="Z60" i="2"/>
  <c r="Z41" i="2"/>
  <c r="Z45" i="2"/>
  <c r="Z49" i="2"/>
  <c r="Z53" i="2"/>
  <c r="Z57" i="2"/>
  <c r="Z61" i="2"/>
  <c r="Z38" i="2"/>
  <c r="Z42" i="2"/>
  <c r="Z46" i="2"/>
  <c r="Z50" i="2"/>
  <c r="Z54" i="2"/>
  <c r="Z58" i="2"/>
  <c r="Z62" i="2"/>
  <c r="AE36" i="2"/>
  <c r="AF48" i="2" s="1"/>
  <c r="Z51" i="2"/>
  <c r="AB38" i="2"/>
  <c r="AB42" i="2"/>
  <c r="AB46" i="2"/>
  <c r="AB50" i="2"/>
  <c r="AB54" i="2"/>
  <c r="AB58" i="2"/>
  <c r="AB62" i="2"/>
  <c r="AB39" i="2"/>
  <c r="AB43" i="2"/>
  <c r="AB47" i="2"/>
  <c r="AB51" i="2"/>
  <c r="AB55" i="2"/>
  <c r="AB59" i="2"/>
  <c r="AB37" i="2"/>
  <c r="AB40" i="2"/>
  <c r="AB44" i="2"/>
  <c r="AB48" i="2"/>
  <c r="AB52" i="2"/>
  <c r="AB56" i="2"/>
  <c r="AB60" i="2"/>
  <c r="AB53" i="2"/>
  <c r="Z37" i="2"/>
  <c r="Z47" i="2"/>
  <c r="C32" i="4"/>
  <c r="D32" i="4" s="1"/>
  <c r="E7" i="4"/>
  <c r="E8" i="4"/>
  <c r="E16" i="4"/>
  <c r="AB49" i="2"/>
  <c r="Z59" i="2"/>
  <c r="Z43" i="2"/>
  <c r="E9" i="4"/>
  <c r="E18" i="4"/>
  <c r="E20" i="4"/>
  <c r="E22" i="4"/>
  <c r="E24" i="4"/>
  <c r="E26" i="4"/>
  <c r="E28" i="4"/>
  <c r="E30" i="4"/>
  <c r="AB61" i="2"/>
  <c r="AB45" i="2"/>
  <c r="Z55" i="2"/>
  <c r="Z39" i="2"/>
  <c r="AD62" i="2"/>
  <c r="AD58" i="2"/>
  <c r="AD54" i="2"/>
  <c r="AD50" i="2"/>
  <c r="AD46" i="2"/>
  <c r="AD42" i="2"/>
  <c r="J87" i="2"/>
  <c r="J83" i="2"/>
  <c r="J79" i="2"/>
  <c r="J75" i="2"/>
  <c r="J71" i="2"/>
  <c r="J67" i="2"/>
  <c r="AH62" i="2"/>
  <c r="AH60" i="2"/>
  <c r="AH58" i="2"/>
  <c r="AH56" i="2"/>
  <c r="AH54" i="2"/>
  <c r="AH52" i="2"/>
  <c r="AH50" i="2"/>
  <c r="AH48" i="2"/>
  <c r="AH46" i="2"/>
  <c r="AH44" i="2"/>
  <c r="AH42" i="2"/>
  <c r="AH40" i="2"/>
  <c r="AH38" i="2"/>
  <c r="AH37" i="2"/>
  <c r="AH61" i="2"/>
  <c r="AH59" i="2"/>
  <c r="AH57" i="2"/>
  <c r="AH55" i="2"/>
  <c r="AH53" i="2"/>
  <c r="AH51" i="2"/>
  <c r="AH49" i="2"/>
  <c r="AH47" i="2"/>
  <c r="AH45" i="2"/>
  <c r="AH43" i="2"/>
  <c r="AH41" i="2"/>
  <c r="AJ37" i="2"/>
  <c r="AL62" i="2"/>
  <c r="AJ61" i="2"/>
  <c r="AL60" i="2"/>
  <c r="AJ59" i="2"/>
  <c r="AL58" i="2"/>
  <c r="AJ57" i="2"/>
  <c r="AL56" i="2"/>
  <c r="AJ55" i="2"/>
  <c r="AL54" i="2"/>
  <c r="AJ53" i="2"/>
  <c r="AL52" i="2"/>
  <c r="AJ51" i="2"/>
  <c r="AL50" i="2"/>
  <c r="AJ49" i="2"/>
  <c r="AL48" i="2"/>
  <c r="AJ47" i="2"/>
  <c r="AL46" i="2"/>
  <c r="AJ45" i="2"/>
  <c r="AL44" i="2"/>
  <c r="AJ43" i="2"/>
  <c r="AL42" i="2"/>
  <c r="AJ41" i="2"/>
  <c r="AL40" i="2"/>
  <c r="AJ39" i="2"/>
  <c r="AL38" i="2"/>
  <c r="AL37" i="2"/>
  <c r="AJ62" i="2"/>
  <c r="AL61" i="2"/>
  <c r="AJ60" i="2"/>
  <c r="AL59" i="2"/>
  <c r="AJ58" i="2"/>
  <c r="AL57" i="2"/>
  <c r="AJ56" i="2"/>
  <c r="AL55" i="2"/>
  <c r="AJ54" i="2"/>
  <c r="AL53" i="2"/>
  <c r="AJ52" i="2"/>
  <c r="AL51" i="2"/>
  <c r="AJ50" i="2"/>
  <c r="AL49" i="2"/>
  <c r="AJ48" i="2"/>
  <c r="AL47" i="2"/>
  <c r="AJ46" i="2"/>
  <c r="AL45" i="2"/>
  <c r="AJ44" i="2"/>
  <c r="AL43" i="2"/>
  <c r="AJ42" i="2"/>
  <c r="AL41" i="2"/>
  <c r="AJ40" i="2"/>
  <c r="D7" i="6"/>
  <c r="D9" i="6" s="1"/>
  <c r="E10" i="4"/>
  <c r="E11" i="4"/>
  <c r="E12" i="4"/>
  <c r="E13" i="4"/>
  <c r="E14" i="4"/>
  <c r="E15" i="4"/>
  <c r="D6" i="4"/>
  <c r="E6" i="4" s="1"/>
  <c r="J64" i="2" l="1"/>
  <c r="G176" i="7"/>
  <c r="K171" i="7"/>
  <c r="K20" i="7"/>
  <c r="I176" i="7"/>
  <c r="AN41" i="2"/>
  <c r="AN58" i="2"/>
  <c r="AN42" i="2"/>
  <c r="AN57" i="2"/>
  <c r="AN54" i="2"/>
  <c r="AN53" i="2"/>
  <c r="AN55" i="2"/>
  <c r="AN49" i="2"/>
  <c r="AN47" i="2"/>
  <c r="AN52" i="2"/>
  <c r="AD36" i="2"/>
  <c r="AN59" i="2"/>
  <c r="AN39" i="2"/>
  <c r="AN44" i="2"/>
  <c r="AN38" i="2"/>
  <c r="AN50" i="2"/>
  <c r="AN62" i="2"/>
  <c r="AN46" i="2"/>
  <c r="AN37" i="2"/>
  <c r="AN61" i="2"/>
  <c r="AN45" i="2"/>
  <c r="AN43" i="2"/>
  <c r="AN48" i="2"/>
  <c r="AN56" i="2"/>
  <c r="AF55" i="2"/>
  <c r="AN40" i="2"/>
  <c r="AN51" i="2"/>
  <c r="Z36" i="2"/>
  <c r="AF38" i="2"/>
  <c r="AF42" i="2"/>
  <c r="AF46" i="2"/>
  <c r="AF50" i="2"/>
  <c r="AF54" i="2"/>
  <c r="AF58" i="2"/>
  <c r="AF62" i="2"/>
  <c r="AF53" i="2"/>
  <c r="AF37" i="2"/>
  <c r="AF43" i="2"/>
  <c r="AF59" i="2"/>
  <c r="AF40" i="2"/>
  <c r="AF56" i="2"/>
  <c r="AF41" i="2"/>
  <c r="AF57" i="2"/>
  <c r="AF47" i="2"/>
  <c r="AF44" i="2"/>
  <c r="AF60" i="2"/>
  <c r="AF45" i="2"/>
  <c r="AF61" i="2"/>
  <c r="AF51" i="2"/>
  <c r="AF52" i="2"/>
  <c r="AF39" i="2"/>
  <c r="AB36" i="2"/>
  <c r="AF49" i="2"/>
  <c r="AH36" i="2"/>
  <c r="AL36" i="2"/>
  <c r="AJ36" i="2"/>
  <c r="E32" i="4"/>
  <c r="F6" i="4" s="1"/>
  <c r="F16" i="4" l="1"/>
  <c r="F21" i="4"/>
  <c r="F18" i="4"/>
  <c r="F27" i="4"/>
  <c r="F26" i="4"/>
  <c r="F29" i="4"/>
  <c r="F13" i="4"/>
  <c r="F25" i="4"/>
  <c r="F23" i="4"/>
  <c r="F7" i="4"/>
  <c r="F8" i="4"/>
  <c r="F20" i="4"/>
  <c r="F14" i="4"/>
  <c r="F19" i="4"/>
  <c r="F30" i="4"/>
  <c r="F9" i="4"/>
  <c r="F24" i="4"/>
  <c r="F11" i="4"/>
  <c r="F28" i="4"/>
  <c r="F31" i="4"/>
  <c r="F10" i="4"/>
  <c r="F15" i="4"/>
  <c r="F17" i="4"/>
  <c r="F12" i="4"/>
  <c r="F22" i="4"/>
  <c r="K176" i="7"/>
  <c r="AN36" i="2"/>
  <c r="AF36" i="2"/>
  <c r="N182" i="7" l="1"/>
  <c r="E186" i="7"/>
  <c r="C16" i="3"/>
  <c r="C13" i="3"/>
  <c r="C8" i="3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20" i="2"/>
  <c r="L120" i="2"/>
  <c r="I120" i="2"/>
  <c r="J146" i="2" s="1"/>
  <c r="G120" i="2"/>
  <c r="H138" i="2" s="1"/>
  <c r="AM118" i="2"/>
  <c r="AE118" i="2"/>
  <c r="N118" i="2"/>
  <c r="AM117" i="2"/>
  <c r="AE117" i="2"/>
  <c r="N117" i="2"/>
  <c r="AM116" i="2"/>
  <c r="AE116" i="2"/>
  <c r="N116" i="2"/>
  <c r="AM115" i="2"/>
  <c r="AE115" i="2"/>
  <c r="N115" i="2"/>
  <c r="AM114" i="2"/>
  <c r="AE114" i="2"/>
  <c r="N114" i="2"/>
  <c r="AM113" i="2"/>
  <c r="AE113" i="2"/>
  <c r="N113" i="2"/>
  <c r="AM112" i="2"/>
  <c r="AE112" i="2"/>
  <c r="N112" i="2"/>
  <c r="AM111" i="2"/>
  <c r="AE111" i="2"/>
  <c r="N111" i="2"/>
  <c r="AM110" i="2"/>
  <c r="AE110" i="2"/>
  <c r="N110" i="2"/>
  <c r="AM109" i="2"/>
  <c r="AE109" i="2"/>
  <c r="N109" i="2"/>
  <c r="AM108" i="2"/>
  <c r="AE108" i="2"/>
  <c r="N108" i="2"/>
  <c r="AM107" i="2"/>
  <c r="AE107" i="2"/>
  <c r="N107" i="2"/>
  <c r="AM106" i="2"/>
  <c r="AE106" i="2"/>
  <c r="N106" i="2"/>
  <c r="AM105" i="2"/>
  <c r="AE105" i="2"/>
  <c r="N105" i="2"/>
  <c r="AM104" i="2"/>
  <c r="AE104" i="2"/>
  <c r="N104" i="2"/>
  <c r="AM103" i="2"/>
  <c r="AE103" i="2"/>
  <c r="N103" i="2"/>
  <c r="AM102" i="2"/>
  <c r="AE102" i="2"/>
  <c r="N102" i="2"/>
  <c r="AM101" i="2"/>
  <c r="AE101" i="2"/>
  <c r="N101" i="2"/>
  <c r="AM100" i="2"/>
  <c r="AE100" i="2"/>
  <c r="N100" i="2"/>
  <c r="AM99" i="2"/>
  <c r="AE99" i="2"/>
  <c r="N99" i="2"/>
  <c r="AM98" i="2"/>
  <c r="AE98" i="2"/>
  <c r="N98" i="2"/>
  <c r="AM97" i="2"/>
  <c r="AE97" i="2"/>
  <c r="N97" i="2"/>
  <c r="AM96" i="2"/>
  <c r="AE96" i="2"/>
  <c r="N96" i="2"/>
  <c r="AM95" i="2"/>
  <c r="AE95" i="2"/>
  <c r="N95" i="2"/>
  <c r="AM94" i="2"/>
  <c r="AE94" i="2"/>
  <c r="N94" i="2"/>
  <c r="AM93" i="2"/>
  <c r="AE93" i="2"/>
  <c r="N93" i="2"/>
  <c r="AK92" i="2"/>
  <c r="AL94" i="2" s="1"/>
  <c r="AI92" i="2"/>
  <c r="AG92" i="2"/>
  <c r="AH93" i="2" s="1"/>
  <c r="AC92" i="2"/>
  <c r="AA92" i="2"/>
  <c r="AB93" i="2" s="1"/>
  <c r="Y92" i="2"/>
  <c r="M92" i="2"/>
  <c r="L92" i="2"/>
  <c r="I92" i="2"/>
  <c r="G92" i="2"/>
  <c r="AM90" i="2"/>
  <c r="AE90" i="2"/>
  <c r="N90" i="2"/>
  <c r="D90" i="2"/>
  <c r="D34" i="2" s="1"/>
  <c r="AM89" i="2"/>
  <c r="AE89" i="2"/>
  <c r="N89" i="2"/>
  <c r="D89" i="2"/>
  <c r="D33" i="2" s="1"/>
  <c r="AM88" i="2"/>
  <c r="AE88" i="2"/>
  <c r="N88" i="2"/>
  <c r="D88" i="2"/>
  <c r="D32" i="2" s="1"/>
  <c r="AM87" i="2"/>
  <c r="AE87" i="2"/>
  <c r="N87" i="2"/>
  <c r="D87" i="2"/>
  <c r="D31" i="2" s="1"/>
  <c r="AM86" i="2"/>
  <c r="AE86" i="2"/>
  <c r="N86" i="2"/>
  <c r="D86" i="2"/>
  <c r="D30" i="2" s="1"/>
  <c r="AM85" i="2"/>
  <c r="AE85" i="2"/>
  <c r="N85" i="2"/>
  <c r="D85" i="2"/>
  <c r="D29" i="2" s="1"/>
  <c r="AM84" i="2"/>
  <c r="AE84" i="2"/>
  <c r="N84" i="2"/>
  <c r="D84" i="2"/>
  <c r="D28" i="2" s="1"/>
  <c r="AM83" i="2"/>
  <c r="AE83" i="2"/>
  <c r="N83" i="2"/>
  <c r="D83" i="2"/>
  <c r="D27" i="2" s="1"/>
  <c r="AM82" i="2"/>
  <c r="AE82" i="2"/>
  <c r="N82" i="2"/>
  <c r="D82" i="2"/>
  <c r="D26" i="2" s="1"/>
  <c r="AM81" i="2"/>
  <c r="AE81" i="2"/>
  <c r="N81" i="2"/>
  <c r="D81" i="2"/>
  <c r="D25" i="2" s="1"/>
  <c r="AM80" i="2"/>
  <c r="AE80" i="2"/>
  <c r="N80" i="2"/>
  <c r="D80" i="2"/>
  <c r="D24" i="2" s="1"/>
  <c r="AM79" i="2"/>
  <c r="AE79" i="2"/>
  <c r="N79" i="2"/>
  <c r="D79" i="2"/>
  <c r="D23" i="2" s="1"/>
  <c r="AM78" i="2"/>
  <c r="AE78" i="2"/>
  <c r="N78" i="2"/>
  <c r="D78" i="2"/>
  <c r="D22" i="2" s="1"/>
  <c r="AM77" i="2"/>
  <c r="AE77" i="2"/>
  <c r="N77" i="2"/>
  <c r="D77" i="2"/>
  <c r="D21" i="2" s="1"/>
  <c r="AM76" i="2"/>
  <c r="AE76" i="2"/>
  <c r="N76" i="2"/>
  <c r="D76" i="2"/>
  <c r="D20" i="2" s="1"/>
  <c r="AM75" i="2"/>
  <c r="AE75" i="2"/>
  <c r="N75" i="2"/>
  <c r="D75" i="2"/>
  <c r="D19" i="2" s="1"/>
  <c r="AM74" i="2"/>
  <c r="AE74" i="2"/>
  <c r="N74" i="2"/>
  <c r="D74" i="2"/>
  <c r="D18" i="2" s="1"/>
  <c r="AM73" i="2"/>
  <c r="AE73" i="2"/>
  <c r="N73" i="2"/>
  <c r="D73" i="2"/>
  <c r="D17" i="2" s="1"/>
  <c r="AM72" i="2"/>
  <c r="AE72" i="2"/>
  <c r="N72" i="2"/>
  <c r="D72" i="2"/>
  <c r="D16" i="2" s="1"/>
  <c r="AM71" i="2"/>
  <c r="AE71" i="2"/>
  <c r="N71" i="2"/>
  <c r="D71" i="2"/>
  <c r="D15" i="2" s="1"/>
  <c r="AM70" i="2"/>
  <c r="AE70" i="2"/>
  <c r="N70" i="2"/>
  <c r="D70" i="2"/>
  <c r="AM69" i="2"/>
  <c r="AE69" i="2"/>
  <c r="N69" i="2"/>
  <c r="D69" i="2"/>
  <c r="D13" i="2" s="1"/>
  <c r="AM68" i="2"/>
  <c r="AE68" i="2"/>
  <c r="N68" i="2"/>
  <c r="D68" i="2"/>
  <c r="D12" i="2" s="1"/>
  <c r="AM67" i="2"/>
  <c r="AE67" i="2"/>
  <c r="N67" i="2"/>
  <c r="D67" i="2"/>
  <c r="D11" i="2" s="1"/>
  <c r="AM66" i="2"/>
  <c r="AE66" i="2"/>
  <c r="N66" i="2"/>
  <c r="D66" i="2"/>
  <c r="D10" i="2" s="1"/>
  <c r="AM65" i="2"/>
  <c r="AE65" i="2"/>
  <c r="N65" i="2"/>
  <c r="D65" i="2"/>
  <c r="D9" i="2" s="1"/>
  <c r="AK64" i="2"/>
  <c r="AL77" i="2" s="1"/>
  <c r="AI64" i="2"/>
  <c r="AJ79" i="2" s="1"/>
  <c r="AG64" i="2"/>
  <c r="AH77" i="2" s="1"/>
  <c r="AC64" i="2"/>
  <c r="AD80" i="2" s="1"/>
  <c r="AA64" i="2"/>
  <c r="AB77" i="2" s="1"/>
  <c r="Y64" i="2"/>
  <c r="Z79" i="2" s="1"/>
  <c r="M64" i="2"/>
  <c r="L64" i="2"/>
  <c r="H80" i="2"/>
  <c r="E64" i="2"/>
  <c r="D14" i="2"/>
  <c r="BD7" i="2"/>
  <c r="AV7" i="2"/>
  <c r="AN7" i="2"/>
  <c r="AF7" i="2"/>
  <c r="W7" i="2"/>
  <c r="O7" i="2"/>
  <c r="J7" i="2"/>
  <c r="H7" i="2"/>
  <c r="F7" i="2"/>
  <c r="D7" i="2"/>
  <c r="K60" i="1"/>
  <c r="K55" i="1"/>
  <c r="K54" i="1"/>
  <c r="K53" i="1"/>
  <c r="K51" i="1"/>
  <c r="K49" i="1"/>
  <c r="K48" i="1"/>
  <c r="K47" i="1"/>
  <c r="K45" i="1"/>
  <c r="I44" i="1"/>
  <c r="K42" i="1"/>
  <c r="K41" i="1"/>
  <c r="K40" i="1"/>
  <c r="K39" i="1"/>
  <c r="K38" i="1"/>
  <c r="K37" i="1"/>
  <c r="I36" i="1"/>
  <c r="I33" i="1"/>
  <c r="K32" i="1"/>
  <c r="K31" i="1"/>
  <c r="K27" i="1"/>
  <c r="K26" i="1"/>
  <c r="I25" i="1"/>
  <c r="K24" i="1"/>
  <c r="K23" i="1"/>
  <c r="K22" i="1"/>
  <c r="I19" i="1"/>
  <c r="K18" i="1"/>
  <c r="K17" i="1"/>
  <c r="K16" i="1"/>
  <c r="N7" i="1"/>
  <c r="F80" i="2" l="1"/>
  <c r="F24" i="2" s="1"/>
  <c r="F65" i="2"/>
  <c r="F9" i="2" s="1"/>
  <c r="N47" i="1"/>
  <c r="M47" i="1"/>
  <c r="N55" i="1"/>
  <c r="M55" i="1"/>
  <c r="M41" i="1"/>
  <c r="N41" i="1"/>
  <c r="N48" i="1"/>
  <c r="M48" i="1"/>
  <c r="M37" i="1"/>
  <c r="N37" i="1"/>
  <c r="M40" i="1"/>
  <c r="N40" i="1"/>
  <c r="M42" i="1"/>
  <c r="N42" i="1"/>
  <c r="K44" i="1"/>
  <c r="E189" i="7"/>
  <c r="E187" i="7"/>
  <c r="I28" i="1"/>
  <c r="K28" i="1" s="1"/>
  <c r="AE64" i="2"/>
  <c r="AF79" i="2" s="1"/>
  <c r="AM64" i="2"/>
  <c r="AN73" i="2" s="1"/>
  <c r="N64" i="2"/>
  <c r="O80" i="2" s="1"/>
  <c r="N120" i="2"/>
  <c r="O146" i="2" s="1"/>
  <c r="AM92" i="2"/>
  <c r="AN110" i="2" s="1"/>
  <c r="N92" i="2"/>
  <c r="O110" i="2" s="1"/>
  <c r="K33" i="1"/>
  <c r="I56" i="1"/>
  <c r="K56" i="1" s="1"/>
  <c r="C7" i="3"/>
  <c r="F79" i="2"/>
  <c r="F23" i="2" s="1"/>
  <c r="AL93" i="2"/>
  <c r="K19" i="1"/>
  <c r="K36" i="1"/>
  <c r="K25" i="1"/>
  <c r="BF7" i="2"/>
  <c r="Z65" i="2"/>
  <c r="AD65" i="2"/>
  <c r="AJ65" i="2"/>
  <c r="AB66" i="2"/>
  <c r="AH66" i="2"/>
  <c r="AL66" i="2"/>
  <c r="F67" i="2"/>
  <c r="F11" i="2" s="1"/>
  <c r="H67" i="2"/>
  <c r="Z67" i="2"/>
  <c r="AD67" i="2"/>
  <c r="AJ67" i="2"/>
  <c r="AB68" i="2"/>
  <c r="AH68" i="2"/>
  <c r="AL68" i="2"/>
  <c r="AB69" i="2"/>
  <c r="AH69" i="2"/>
  <c r="AL69" i="2"/>
  <c r="F70" i="2"/>
  <c r="F14" i="2" s="1"/>
  <c r="H70" i="2"/>
  <c r="Z70" i="2"/>
  <c r="AD70" i="2"/>
  <c r="AJ70" i="2"/>
  <c r="AB71" i="2"/>
  <c r="AH71" i="2"/>
  <c r="AL71" i="2"/>
  <c r="F72" i="2"/>
  <c r="F16" i="2" s="1"/>
  <c r="H72" i="2"/>
  <c r="Z72" i="2"/>
  <c r="AD72" i="2"/>
  <c r="AJ72" i="2"/>
  <c r="AB73" i="2"/>
  <c r="AH73" i="2"/>
  <c r="AL73" i="2"/>
  <c r="F74" i="2"/>
  <c r="F18" i="2" s="1"/>
  <c r="H74" i="2"/>
  <c r="Z74" i="2"/>
  <c r="AD74" i="2"/>
  <c r="AJ74" i="2"/>
  <c r="AB75" i="2"/>
  <c r="AH75" i="2"/>
  <c r="AL75" i="2"/>
  <c r="F76" i="2"/>
  <c r="F20" i="2" s="1"/>
  <c r="H76" i="2"/>
  <c r="Z76" i="2"/>
  <c r="AD76" i="2"/>
  <c r="AJ76" i="2"/>
  <c r="F78" i="2"/>
  <c r="F22" i="2" s="1"/>
  <c r="H78" i="2"/>
  <c r="Z78" i="2"/>
  <c r="AD78" i="2"/>
  <c r="AJ78" i="2"/>
  <c r="H79" i="2"/>
  <c r="AD79" i="2"/>
  <c r="F88" i="2"/>
  <c r="F32" i="2" s="1"/>
  <c r="F89" i="2"/>
  <c r="F33" i="2" s="1"/>
  <c r="F86" i="2"/>
  <c r="F30" i="2" s="1"/>
  <c r="F83" i="2"/>
  <c r="F27" i="2" s="1"/>
  <c r="F82" i="2"/>
  <c r="F26" i="2" s="1"/>
  <c r="F90" i="2"/>
  <c r="F34" i="2" s="1"/>
  <c r="F87" i="2"/>
  <c r="F31" i="2" s="1"/>
  <c r="F84" i="2"/>
  <c r="F28" i="2" s="1"/>
  <c r="F81" i="2"/>
  <c r="F25" i="2" s="1"/>
  <c r="H89" i="2"/>
  <c r="H86" i="2"/>
  <c r="H83" i="2"/>
  <c r="H82" i="2"/>
  <c r="H90" i="2"/>
  <c r="H88" i="2"/>
  <c r="H87" i="2"/>
  <c r="H85" i="2"/>
  <c r="H84" i="2"/>
  <c r="H81" i="2"/>
  <c r="Z89" i="2"/>
  <c r="Z86" i="2"/>
  <c r="Z83" i="2"/>
  <c r="Z82" i="2"/>
  <c r="Z90" i="2"/>
  <c r="Z88" i="2"/>
  <c r="Z87" i="2"/>
  <c r="Z85" i="2"/>
  <c r="Z84" i="2"/>
  <c r="Z81" i="2"/>
  <c r="AB90" i="2"/>
  <c r="AB88" i="2"/>
  <c r="AB87" i="2"/>
  <c r="AB85" i="2"/>
  <c r="AB84" i="2"/>
  <c r="AB81" i="2"/>
  <c r="AB89" i="2"/>
  <c r="AB86" i="2"/>
  <c r="AB83" i="2"/>
  <c r="AB82" i="2"/>
  <c r="AB80" i="2"/>
  <c r="AD89" i="2"/>
  <c r="AD86" i="2"/>
  <c r="AD83" i="2"/>
  <c r="AD82" i="2"/>
  <c r="AD90" i="2"/>
  <c r="AD88" i="2"/>
  <c r="AD87" i="2"/>
  <c r="AD85" i="2"/>
  <c r="AD84" i="2"/>
  <c r="AD81" i="2"/>
  <c r="AH90" i="2"/>
  <c r="AH88" i="2"/>
  <c r="AH87" i="2"/>
  <c r="AH85" i="2"/>
  <c r="AH84" i="2"/>
  <c r="AH81" i="2"/>
  <c r="AH89" i="2"/>
  <c r="AH86" i="2"/>
  <c r="AH83" i="2"/>
  <c r="AH82" i="2"/>
  <c r="AH80" i="2"/>
  <c r="AJ89" i="2"/>
  <c r="AJ86" i="2"/>
  <c r="AJ83" i="2"/>
  <c r="AJ82" i="2"/>
  <c r="AJ80" i="2"/>
  <c r="AJ90" i="2"/>
  <c r="AJ88" i="2"/>
  <c r="AJ87" i="2"/>
  <c r="AJ85" i="2"/>
  <c r="AJ84" i="2"/>
  <c r="AJ81" i="2"/>
  <c r="AL90" i="2"/>
  <c r="AL88" i="2"/>
  <c r="AL87" i="2"/>
  <c r="AL85" i="2"/>
  <c r="AL84" i="2"/>
  <c r="AL81" i="2"/>
  <c r="AL89" i="2"/>
  <c r="AL86" i="2"/>
  <c r="AL83" i="2"/>
  <c r="AL82" i="2"/>
  <c r="AL80" i="2"/>
  <c r="AB65" i="2"/>
  <c r="AH65" i="2"/>
  <c r="AL65" i="2"/>
  <c r="F66" i="2"/>
  <c r="F10" i="2" s="1"/>
  <c r="H66" i="2"/>
  <c r="Z66" i="2"/>
  <c r="AD66" i="2"/>
  <c r="AJ66" i="2"/>
  <c r="AB67" i="2"/>
  <c r="AH67" i="2"/>
  <c r="AL67" i="2"/>
  <c r="F68" i="2"/>
  <c r="F12" i="2" s="1"/>
  <c r="H68" i="2"/>
  <c r="Z68" i="2"/>
  <c r="AD68" i="2"/>
  <c r="AJ68" i="2"/>
  <c r="F69" i="2"/>
  <c r="F13" i="2" s="1"/>
  <c r="H69" i="2"/>
  <c r="Z69" i="2"/>
  <c r="AD69" i="2"/>
  <c r="AJ69" i="2"/>
  <c r="AB70" i="2"/>
  <c r="AH70" i="2"/>
  <c r="AL70" i="2"/>
  <c r="F71" i="2"/>
  <c r="F15" i="2" s="1"/>
  <c r="H71" i="2"/>
  <c r="Z71" i="2"/>
  <c r="AD71" i="2"/>
  <c r="AJ71" i="2"/>
  <c r="AB72" i="2"/>
  <c r="AH72" i="2"/>
  <c r="AL72" i="2"/>
  <c r="F73" i="2"/>
  <c r="F17" i="2" s="1"/>
  <c r="H73" i="2"/>
  <c r="Z73" i="2"/>
  <c r="AD73" i="2"/>
  <c r="AJ73" i="2"/>
  <c r="AB74" i="2"/>
  <c r="AH74" i="2"/>
  <c r="AL74" i="2"/>
  <c r="F75" i="2"/>
  <c r="F19" i="2" s="1"/>
  <c r="H75" i="2"/>
  <c r="Z75" i="2"/>
  <c r="AD75" i="2"/>
  <c r="AJ75" i="2"/>
  <c r="AB76" i="2"/>
  <c r="AH76" i="2"/>
  <c r="AL76" i="2"/>
  <c r="F77" i="2"/>
  <c r="F21" i="2" s="1"/>
  <c r="H77" i="2"/>
  <c r="Z77" i="2"/>
  <c r="AD77" i="2"/>
  <c r="AJ77" i="2"/>
  <c r="AB78" i="2"/>
  <c r="AH78" i="2"/>
  <c r="AL78" i="2"/>
  <c r="AB79" i="2"/>
  <c r="AH79" i="2"/>
  <c r="AL79" i="2"/>
  <c r="Z80" i="2"/>
  <c r="F85" i="2"/>
  <c r="F29" i="2" s="1"/>
  <c r="H118" i="2"/>
  <c r="H117" i="2"/>
  <c r="H116" i="2"/>
  <c r="H115" i="2"/>
  <c r="J118" i="2"/>
  <c r="J34" i="2" s="1"/>
  <c r="J117" i="2"/>
  <c r="J116" i="2"/>
  <c r="J115" i="2"/>
  <c r="J114" i="2"/>
  <c r="J113" i="2"/>
  <c r="Z118" i="2"/>
  <c r="Z117" i="2"/>
  <c r="Z116" i="2"/>
  <c r="Z115" i="2"/>
  <c r="Z114" i="2"/>
  <c r="AB118" i="2"/>
  <c r="AB117" i="2"/>
  <c r="AB116" i="2"/>
  <c r="AB115" i="2"/>
  <c r="AB114" i="2"/>
  <c r="AB113" i="2"/>
  <c r="AD118" i="2"/>
  <c r="AD117" i="2"/>
  <c r="AD116" i="2"/>
  <c r="AD115" i="2"/>
  <c r="AD114" i="2"/>
  <c r="AH118" i="2"/>
  <c r="AH117" i="2"/>
  <c r="AH116" i="2"/>
  <c r="AH115" i="2"/>
  <c r="AH114" i="2"/>
  <c r="AH113" i="2"/>
  <c r="AJ118" i="2"/>
  <c r="AJ117" i="2"/>
  <c r="AJ116" i="2"/>
  <c r="AJ115" i="2"/>
  <c r="AJ114" i="2"/>
  <c r="AL118" i="2"/>
  <c r="AL117" i="2"/>
  <c r="AL116" i="2"/>
  <c r="AL115" i="2"/>
  <c r="AL114" i="2"/>
  <c r="AL113" i="2"/>
  <c r="AL112" i="2"/>
  <c r="AE92" i="2"/>
  <c r="AF94" i="2" s="1"/>
  <c r="H93" i="2"/>
  <c r="Z93" i="2"/>
  <c r="AD93" i="2"/>
  <c r="AJ93" i="2"/>
  <c r="H94" i="2"/>
  <c r="Z94" i="2"/>
  <c r="AD94" i="2"/>
  <c r="AJ94" i="2"/>
  <c r="H95" i="2"/>
  <c r="Z95" i="2"/>
  <c r="AD95" i="2"/>
  <c r="AJ95" i="2"/>
  <c r="H96" i="2"/>
  <c r="Z96" i="2"/>
  <c r="AD96" i="2"/>
  <c r="AJ96" i="2"/>
  <c r="J97" i="2"/>
  <c r="AB97" i="2"/>
  <c r="AH97" i="2"/>
  <c r="AL97" i="2"/>
  <c r="J98" i="2"/>
  <c r="AB98" i="2"/>
  <c r="AH98" i="2"/>
  <c r="AL98" i="2"/>
  <c r="J99" i="2"/>
  <c r="AB99" i="2"/>
  <c r="AH99" i="2"/>
  <c r="AL99" i="2"/>
  <c r="J100" i="2"/>
  <c r="AB100" i="2"/>
  <c r="AH100" i="2"/>
  <c r="AL100" i="2"/>
  <c r="J101" i="2"/>
  <c r="AB101" i="2"/>
  <c r="AH101" i="2"/>
  <c r="AL101" i="2"/>
  <c r="J102" i="2"/>
  <c r="AB102" i="2"/>
  <c r="AH102" i="2"/>
  <c r="AL102" i="2"/>
  <c r="J103" i="2"/>
  <c r="AB103" i="2"/>
  <c r="AH103" i="2"/>
  <c r="AL103" i="2"/>
  <c r="J104" i="2"/>
  <c r="AB104" i="2"/>
  <c r="AH104" i="2"/>
  <c r="AL104" i="2"/>
  <c r="J105" i="2"/>
  <c r="AB105" i="2"/>
  <c r="AH105" i="2"/>
  <c r="AL105" i="2"/>
  <c r="J106" i="2"/>
  <c r="AB106" i="2"/>
  <c r="AH106" i="2"/>
  <c r="AL106" i="2"/>
  <c r="J107" i="2"/>
  <c r="AB107" i="2"/>
  <c r="AH107" i="2"/>
  <c r="AL107" i="2"/>
  <c r="H108" i="2"/>
  <c r="Z108" i="2"/>
  <c r="AD108" i="2"/>
  <c r="AJ108" i="2"/>
  <c r="H109" i="2"/>
  <c r="Z109" i="2"/>
  <c r="AD109" i="2"/>
  <c r="AJ109" i="2"/>
  <c r="H110" i="2"/>
  <c r="Z110" i="2"/>
  <c r="AD110" i="2"/>
  <c r="AJ110" i="2"/>
  <c r="J111" i="2"/>
  <c r="AB111" i="2"/>
  <c r="AH111" i="2"/>
  <c r="AL111" i="2"/>
  <c r="J112" i="2"/>
  <c r="AB112" i="2"/>
  <c r="AH112" i="2"/>
  <c r="AD113" i="2"/>
  <c r="J93" i="2"/>
  <c r="J94" i="2"/>
  <c r="AB94" i="2"/>
  <c r="AH94" i="2"/>
  <c r="J95" i="2"/>
  <c r="AB95" i="2"/>
  <c r="AH95" i="2"/>
  <c r="AL95" i="2"/>
  <c r="J96" i="2"/>
  <c r="AB96" i="2"/>
  <c r="AH96" i="2"/>
  <c r="AL96" i="2"/>
  <c r="H97" i="2"/>
  <c r="Z97" i="2"/>
  <c r="AD97" i="2"/>
  <c r="AJ97" i="2"/>
  <c r="H98" i="2"/>
  <c r="Z98" i="2"/>
  <c r="AD98" i="2"/>
  <c r="AJ98" i="2"/>
  <c r="H99" i="2"/>
  <c r="Z99" i="2"/>
  <c r="AD99" i="2"/>
  <c r="AJ99" i="2"/>
  <c r="H100" i="2"/>
  <c r="Z100" i="2"/>
  <c r="AD100" i="2"/>
  <c r="AJ100" i="2"/>
  <c r="H101" i="2"/>
  <c r="Z101" i="2"/>
  <c r="AD101" i="2"/>
  <c r="AJ101" i="2"/>
  <c r="H102" i="2"/>
  <c r="Z102" i="2"/>
  <c r="AD102" i="2"/>
  <c r="AJ102" i="2"/>
  <c r="H103" i="2"/>
  <c r="Z103" i="2"/>
  <c r="AD103" i="2"/>
  <c r="AJ103" i="2"/>
  <c r="H104" i="2"/>
  <c r="Z104" i="2"/>
  <c r="AD104" i="2"/>
  <c r="AJ104" i="2"/>
  <c r="H105" i="2"/>
  <c r="Z105" i="2"/>
  <c r="AD105" i="2"/>
  <c r="AJ105" i="2"/>
  <c r="H106" i="2"/>
  <c r="Z106" i="2"/>
  <c r="AD106" i="2"/>
  <c r="AJ106" i="2"/>
  <c r="H107" i="2"/>
  <c r="Z107" i="2"/>
  <c r="AD107" i="2"/>
  <c r="AJ107" i="2"/>
  <c r="J108" i="2"/>
  <c r="AB108" i="2"/>
  <c r="AH108" i="2"/>
  <c r="AL108" i="2"/>
  <c r="J109" i="2"/>
  <c r="AB109" i="2"/>
  <c r="AH109" i="2"/>
  <c r="AL109" i="2"/>
  <c r="J110" i="2"/>
  <c r="AB110" i="2"/>
  <c r="AH110" i="2"/>
  <c r="AL110" i="2"/>
  <c r="H111" i="2"/>
  <c r="Z111" i="2"/>
  <c r="AD111" i="2"/>
  <c r="AJ111" i="2"/>
  <c r="H112" i="2"/>
  <c r="Z112" i="2"/>
  <c r="AD112" i="2"/>
  <c r="AJ112" i="2"/>
  <c r="H113" i="2"/>
  <c r="Z113" i="2"/>
  <c r="AJ113" i="2"/>
  <c r="H114" i="2"/>
  <c r="J121" i="2"/>
  <c r="J122" i="2"/>
  <c r="J123" i="2"/>
  <c r="J124" i="2"/>
  <c r="H125" i="2"/>
  <c r="H126" i="2"/>
  <c r="H127" i="2"/>
  <c r="H128" i="2"/>
  <c r="H129" i="2"/>
  <c r="H130" i="2"/>
  <c r="H131" i="2"/>
  <c r="H132" i="2"/>
  <c r="H133" i="2"/>
  <c r="H134" i="2"/>
  <c r="H135" i="2"/>
  <c r="J136" i="2"/>
  <c r="J137" i="2"/>
  <c r="J138" i="2"/>
  <c r="H139" i="2"/>
  <c r="H140" i="2"/>
  <c r="H141" i="2"/>
  <c r="H142" i="2"/>
  <c r="H143" i="2"/>
  <c r="H144" i="2"/>
  <c r="H145" i="2"/>
  <c r="H146" i="2"/>
  <c r="H121" i="2"/>
  <c r="H122" i="2"/>
  <c r="H123" i="2"/>
  <c r="H124" i="2"/>
  <c r="J125" i="2"/>
  <c r="J126" i="2"/>
  <c r="J127" i="2"/>
  <c r="J128" i="2"/>
  <c r="J129" i="2"/>
  <c r="J130" i="2"/>
  <c r="J131" i="2"/>
  <c r="J132" i="2"/>
  <c r="J133" i="2"/>
  <c r="J134" i="2"/>
  <c r="J135" i="2"/>
  <c r="H136" i="2"/>
  <c r="H137" i="2"/>
  <c r="J139" i="2"/>
  <c r="J140" i="2"/>
  <c r="J141" i="2"/>
  <c r="J142" i="2"/>
  <c r="J143" i="2"/>
  <c r="J144" i="2"/>
  <c r="J145" i="2"/>
  <c r="O114" i="2" l="1"/>
  <c r="E190" i="7"/>
  <c r="G5" i="1"/>
  <c r="AN88" i="2"/>
  <c r="F64" i="2"/>
  <c r="H64" i="2"/>
  <c r="AN77" i="2"/>
  <c r="AN83" i="2"/>
  <c r="AN76" i="2"/>
  <c r="AN71" i="2"/>
  <c r="AN87" i="2"/>
  <c r="AN106" i="2"/>
  <c r="AN96" i="2"/>
  <c r="AN112" i="2"/>
  <c r="AN67" i="2"/>
  <c r="AN86" i="2"/>
  <c r="O111" i="2"/>
  <c r="AN68" i="2"/>
  <c r="AN69" i="2"/>
  <c r="AN95" i="2"/>
  <c r="AN70" i="2"/>
  <c r="AN65" i="2"/>
  <c r="AN81" i="2"/>
  <c r="AN101" i="2"/>
  <c r="AN17" i="2" s="1"/>
  <c r="AN116" i="2"/>
  <c r="AN89" i="2"/>
  <c r="AN74" i="2"/>
  <c r="AN84" i="2"/>
  <c r="AN90" i="2"/>
  <c r="AN82" i="2"/>
  <c r="AN26" i="2" s="1"/>
  <c r="AN66" i="2"/>
  <c r="AN102" i="2"/>
  <c r="AN75" i="2"/>
  <c r="AN79" i="2"/>
  <c r="AN78" i="2"/>
  <c r="AN72" i="2"/>
  <c r="AN85" i="2"/>
  <c r="AN80" i="2"/>
  <c r="AN111" i="2"/>
  <c r="AV10" i="2"/>
  <c r="AN98" i="2"/>
  <c r="AF65" i="2"/>
  <c r="AF83" i="2"/>
  <c r="O95" i="2"/>
  <c r="O94" i="2"/>
  <c r="O118" i="2"/>
  <c r="AF70" i="2"/>
  <c r="O65" i="2"/>
  <c r="O78" i="2"/>
  <c r="O84" i="2"/>
  <c r="AF88" i="2"/>
  <c r="O67" i="2"/>
  <c r="AF87" i="2"/>
  <c r="O123" i="2"/>
  <c r="O108" i="2"/>
  <c r="O71" i="2"/>
  <c r="O83" i="2"/>
  <c r="O141" i="2"/>
  <c r="O105" i="2"/>
  <c r="O99" i="2"/>
  <c r="O70" i="2"/>
  <c r="O121" i="2"/>
  <c r="J24" i="2"/>
  <c r="BD30" i="2"/>
  <c r="O90" i="2"/>
  <c r="AF73" i="2"/>
  <c r="O73" i="2"/>
  <c r="AF66" i="2"/>
  <c r="AF10" i="2" s="1"/>
  <c r="O66" i="2"/>
  <c r="O86" i="2"/>
  <c r="O85" i="2"/>
  <c r="O81" i="2"/>
  <c r="O131" i="2"/>
  <c r="O103" i="2"/>
  <c r="AF78" i="2"/>
  <c r="O74" i="2"/>
  <c r="O138" i="2"/>
  <c r="AF81" i="2"/>
  <c r="AF86" i="2"/>
  <c r="AF90" i="2"/>
  <c r="AF84" i="2"/>
  <c r="O129" i="2"/>
  <c r="AF72" i="2"/>
  <c r="O124" i="2"/>
  <c r="O96" i="2"/>
  <c r="O93" i="2"/>
  <c r="AF77" i="2"/>
  <c r="O77" i="2"/>
  <c r="AF80" i="2"/>
  <c r="AF89" i="2"/>
  <c r="O89" i="2"/>
  <c r="O87" i="2"/>
  <c r="O145" i="2"/>
  <c r="O135" i="2"/>
  <c r="O127" i="2"/>
  <c r="O97" i="2"/>
  <c r="AF74" i="2"/>
  <c r="O134" i="2"/>
  <c r="O126" i="2"/>
  <c r="O142" i="2"/>
  <c r="O130" i="2"/>
  <c r="O136" i="2"/>
  <c r="AF71" i="2"/>
  <c r="O139" i="2"/>
  <c r="O140" i="2"/>
  <c r="O128" i="2"/>
  <c r="O106" i="2"/>
  <c r="O102" i="2"/>
  <c r="O98" i="2"/>
  <c r="AF67" i="2"/>
  <c r="O122" i="2"/>
  <c r="O117" i="2"/>
  <c r="O137" i="2"/>
  <c r="O115" i="2"/>
  <c r="J26" i="2"/>
  <c r="O109" i="2"/>
  <c r="O116" i="2"/>
  <c r="O113" i="2"/>
  <c r="O88" i="2"/>
  <c r="AF85" i="2"/>
  <c r="AF75" i="2"/>
  <c r="O75" i="2"/>
  <c r="AF69" i="2"/>
  <c r="O69" i="2"/>
  <c r="AF68" i="2"/>
  <c r="O68" i="2"/>
  <c r="AF82" i="2"/>
  <c r="O82" i="2"/>
  <c r="O143" i="2"/>
  <c r="O133" i="2"/>
  <c r="O125" i="2"/>
  <c r="O107" i="2"/>
  <c r="O101" i="2"/>
  <c r="O79" i="2"/>
  <c r="AF76" i="2"/>
  <c r="O144" i="2"/>
  <c r="O132" i="2"/>
  <c r="O112" i="2"/>
  <c r="O104" i="2"/>
  <c r="O100" i="2"/>
  <c r="O76" i="2"/>
  <c r="O72" i="2"/>
  <c r="AN93" i="2"/>
  <c r="AN115" i="2"/>
  <c r="AN108" i="2"/>
  <c r="AN114" i="2"/>
  <c r="AN105" i="2"/>
  <c r="AN99" i="2"/>
  <c r="AN104" i="2"/>
  <c r="AN117" i="2"/>
  <c r="AN109" i="2"/>
  <c r="AN118" i="2"/>
  <c r="AN113" i="2"/>
  <c r="AN107" i="2"/>
  <c r="AN103" i="2"/>
  <c r="AN97" i="2"/>
  <c r="AN100" i="2"/>
  <c r="AN94" i="2"/>
  <c r="AV28" i="2"/>
  <c r="J32" i="2"/>
  <c r="BD26" i="2"/>
  <c r="AV26" i="2"/>
  <c r="BD19" i="2"/>
  <c r="AV29" i="2"/>
  <c r="J9" i="2"/>
  <c r="AV33" i="2"/>
  <c r="AV31" i="2"/>
  <c r="J28" i="2"/>
  <c r="J27" i="2"/>
  <c r="J23" i="2"/>
  <c r="J22" i="2"/>
  <c r="J19" i="2"/>
  <c r="J18" i="2"/>
  <c r="J15" i="2"/>
  <c r="J14" i="2"/>
  <c r="AV23" i="2"/>
  <c r="AV21" i="2"/>
  <c r="AV19" i="2"/>
  <c r="AV17" i="2"/>
  <c r="AV15" i="2"/>
  <c r="AV13" i="2"/>
  <c r="J25" i="2"/>
  <c r="J12" i="2"/>
  <c r="J20" i="2"/>
  <c r="J16" i="2"/>
  <c r="J29" i="2"/>
  <c r="AV9" i="2"/>
  <c r="J30" i="2"/>
  <c r="AV22" i="2"/>
  <c r="AV20" i="2"/>
  <c r="AV18" i="2"/>
  <c r="AV16" i="2"/>
  <c r="AV14" i="2"/>
  <c r="AV11" i="2"/>
  <c r="J21" i="2"/>
  <c r="J17" i="2"/>
  <c r="J13" i="2"/>
  <c r="J33" i="2"/>
  <c r="AV34" i="2"/>
  <c r="AV32" i="2"/>
  <c r="AV30" i="2"/>
  <c r="AV25" i="2"/>
  <c r="AV24" i="2"/>
  <c r="AV12" i="2"/>
  <c r="J11" i="2"/>
  <c r="J10" i="2"/>
  <c r="J31" i="2"/>
  <c r="AV27" i="2"/>
  <c r="I58" i="1"/>
  <c r="AH64" i="2"/>
  <c r="AJ64" i="2"/>
  <c r="Z64" i="2"/>
  <c r="H9" i="2"/>
  <c r="H120" i="2"/>
  <c r="AH92" i="2"/>
  <c r="H24" i="2"/>
  <c r="AD92" i="2"/>
  <c r="H92" i="2"/>
  <c r="AF109" i="2"/>
  <c r="H21" i="2"/>
  <c r="H17" i="2"/>
  <c r="H13" i="2"/>
  <c r="H10" i="2"/>
  <c r="H28" i="2"/>
  <c r="H31" i="2"/>
  <c r="H34" i="2"/>
  <c r="H27" i="2"/>
  <c r="H33" i="2"/>
  <c r="AF108" i="2"/>
  <c r="H22" i="2"/>
  <c r="H20" i="2"/>
  <c r="H18" i="2"/>
  <c r="H16" i="2"/>
  <c r="H14" i="2"/>
  <c r="H11" i="2"/>
  <c r="J92" i="2"/>
  <c r="AF118" i="2"/>
  <c r="AF117" i="2"/>
  <c r="AF116" i="2"/>
  <c r="AF115" i="2"/>
  <c r="AF114" i="2"/>
  <c r="AF112" i="2"/>
  <c r="AF111" i="2"/>
  <c r="AF107" i="2"/>
  <c r="AF23" i="2" s="1"/>
  <c r="AF106" i="2"/>
  <c r="AF105" i="2"/>
  <c r="AF104" i="2"/>
  <c r="AF103" i="2"/>
  <c r="AF102" i="2"/>
  <c r="AF101" i="2"/>
  <c r="AF100" i="2"/>
  <c r="AF99" i="2"/>
  <c r="AF98" i="2"/>
  <c r="AF97" i="2"/>
  <c r="AF113" i="2"/>
  <c r="AL64" i="2"/>
  <c r="AB64" i="2"/>
  <c r="AD64" i="2"/>
  <c r="J120" i="2"/>
  <c r="AL92" i="2"/>
  <c r="AB92" i="2"/>
  <c r="AJ92" i="2"/>
  <c r="Z92" i="2"/>
  <c r="AF95" i="2"/>
  <c r="H19" i="2"/>
  <c r="H15" i="2"/>
  <c r="H12" i="2"/>
  <c r="H25" i="2"/>
  <c r="H29" i="2"/>
  <c r="H32" i="2"/>
  <c r="H26" i="2"/>
  <c r="H30" i="2"/>
  <c r="AF110" i="2"/>
  <c r="AF96" i="2"/>
  <c r="AF93" i="2"/>
  <c r="H23" i="2"/>
  <c r="AN16" i="2" l="1"/>
  <c r="AN24" i="2"/>
  <c r="O34" i="2"/>
  <c r="AN32" i="2"/>
  <c r="AN27" i="2"/>
  <c r="AN18" i="2"/>
  <c r="AN34" i="2"/>
  <c r="AN19" i="2"/>
  <c r="AN21" i="2"/>
  <c r="AN31" i="2"/>
  <c r="AF29" i="2"/>
  <c r="AN29" i="2"/>
  <c r="BD14" i="2"/>
  <c r="AN15" i="2"/>
  <c r="O16" i="2"/>
  <c r="O26" i="2"/>
  <c r="AN9" i="2"/>
  <c r="AN22" i="2"/>
  <c r="AN20" i="2"/>
  <c r="AN28" i="2"/>
  <c r="AN11" i="2"/>
  <c r="BD31" i="2"/>
  <c r="AN25" i="2"/>
  <c r="AN30" i="2"/>
  <c r="AN14" i="2"/>
  <c r="AN12" i="2"/>
  <c r="AN13" i="2"/>
  <c r="O22" i="2"/>
  <c r="O11" i="2"/>
  <c r="O9" i="2"/>
  <c r="AN64" i="2"/>
  <c r="AN23" i="2"/>
  <c r="O25" i="2"/>
  <c r="BD23" i="2"/>
  <c r="AF34" i="2"/>
  <c r="BD10" i="2"/>
  <c r="AN33" i="2"/>
  <c r="BD22" i="2"/>
  <c r="O27" i="2"/>
  <c r="AF28" i="2"/>
  <c r="O31" i="2"/>
  <c r="AF12" i="2"/>
  <c r="BD34" i="2"/>
  <c r="BD33" i="2"/>
  <c r="AF14" i="2"/>
  <c r="BD20" i="2"/>
  <c r="AF19" i="2"/>
  <c r="AF24" i="2"/>
  <c r="O20" i="2"/>
  <c r="O13" i="2"/>
  <c r="AF27" i="2"/>
  <c r="AF32" i="2"/>
  <c r="BD12" i="2"/>
  <c r="O28" i="2"/>
  <c r="O12" i="2"/>
  <c r="O19" i="2"/>
  <c r="O24" i="2"/>
  <c r="AF64" i="2"/>
  <c r="O120" i="2"/>
  <c r="BD21" i="2"/>
  <c r="O21" i="2"/>
  <c r="AF9" i="2"/>
  <c r="BD15" i="2"/>
  <c r="O15" i="2"/>
  <c r="AF15" i="2"/>
  <c r="AF31" i="2"/>
  <c r="AF20" i="2"/>
  <c r="AF13" i="2"/>
  <c r="AF17" i="2"/>
  <c r="AF21" i="2"/>
  <c r="O64" i="2"/>
  <c r="BD11" i="2"/>
  <c r="O10" i="2"/>
  <c r="AF16" i="2"/>
  <c r="O29" i="2"/>
  <c r="O92" i="2"/>
  <c r="O17" i="2"/>
  <c r="AF26" i="2"/>
  <c r="AF18" i="2"/>
  <c r="AF22" i="2"/>
  <c r="AF30" i="2"/>
  <c r="BD13" i="2"/>
  <c r="BD29" i="2"/>
  <c r="BD16" i="2"/>
  <c r="O32" i="2"/>
  <c r="O33" i="2"/>
  <c r="O18" i="2"/>
  <c r="O30" i="2"/>
  <c r="O14" i="2"/>
  <c r="AF11" i="2"/>
  <c r="AF33" i="2"/>
  <c r="AF25" i="2"/>
  <c r="AN92" i="2"/>
  <c r="O23" i="2"/>
  <c r="BD17" i="2"/>
  <c r="BD25" i="2"/>
  <c r="BD18" i="2"/>
  <c r="AN10" i="2"/>
  <c r="BD32" i="2"/>
  <c r="BD27" i="2"/>
  <c r="BD24" i="2"/>
  <c r="BD9" i="2"/>
  <c r="BD28" i="2"/>
  <c r="J55" i="1"/>
  <c r="J43" i="1"/>
  <c r="J26" i="1"/>
  <c r="J16" i="1"/>
  <c r="J53" i="1"/>
  <c r="J45" i="1"/>
  <c r="J32" i="1"/>
  <c r="J22" i="1"/>
  <c r="J36" i="1"/>
  <c r="J50" i="1"/>
  <c r="J18" i="1"/>
  <c r="J49" i="1"/>
  <c r="J27" i="1"/>
  <c r="J33" i="1"/>
  <c r="J19" i="1"/>
  <c r="J48" i="1"/>
  <c r="J54" i="1"/>
  <c r="J37" i="1"/>
  <c r="J44" i="1"/>
  <c r="J51" i="1"/>
  <c r="J42" i="1"/>
  <c r="J23" i="1"/>
  <c r="J60" i="1"/>
  <c r="J52" i="1"/>
  <c r="J41" i="1"/>
  <c r="J31" i="1"/>
  <c r="J28" i="1"/>
  <c r="J25" i="1"/>
  <c r="I61" i="1"/>
  <c r="J40" i="1"/>
  <c r="K58" i="1"/>
  <c r="J39" i="1"/>
  <c r="J58" i="1"/>
  <c r="J38" i="1"/>
  <c r="J17" i="1"/>
  <c r="J47" i="1"/>
  <c r="J24" i="1"/>
  <c r="J56" i="1"/>
  <c r="AF92" i="2"/>
  <c r="J8" i="2"/>
  <c r="F8" i="2"/>
  <c r="AV8" i="2"/>
  <c r="H8" i="2"/>
  <c r="BF34" i="2" l="1"/>
  <c r="BF14" i="2"/>
  <c r="BF30" i="2"/>
  <c r="BF27" i="2"/>
  <c r="BF22" i="2"/>
  <c r="BF17" i="2"/>
  <c r="BF20" i="2"/>
  <c r="BF16" i="2"/>
  <c r="BF26" i="2"/>
  <c r="BF25" i="2"/>
  <c r="BF15" i="2"/>
  <c r="AN8" i="2"/>
  <c r="BF23" i="2"/>
  <c r="BF11" i="2"/>
  <c r="BF33" i="2"/>
  <c r="BF21" i="2"/>
  <c r="BF31" i="2"/>
  <c r="BF19" i="2"/>
  <c r="BF12" i="2"/>
  <c r="BF24" i="2"/>
  <c r="BF13" i="2"/>
  <c r="BF28" i="2"/>
  <c r="BF9" i="2"/>
  <c r="BF32" i="2"/>
  <c r="BF18" i="2"/>
  <c r="BF29" i="2"/>
  <c r="BF10" i="2"/>
  <c r="AF8" i="2"/>
  <c r="O8" i="2"/>
  <c r="BD8" i="2"/>
  <c r="BF8" i="2" l="1"/>
  <c r="N44" i="1" l="1"/>
  <c r="M44" i="1"/>
  <c r="N25" i="1"/>
  <c r="N39" i="1"/>
  <c r="N22" i="1"/>
  <c r="N24" i="1"/>
  <c r="M26" i="1" l="1"/>
  <c r="N26" i="1"/>
  <c r="M23" i="1"/>
  <c r="N23" i="1"/>
  <c r="M31" i="1"/>
  <c r="N31" i="1"/>
  <c r="M22" i="1"/>
  <c r="L36" i="1"/>
  <c r="N36" i="1" s="1"/>
  <c r="M39" i="1"/>
  <c r="M25" i="1"/>
  <c r="M24" i="1"/>
  <c r="F35" i="4"/>
  <c r="D25" i="5"/>
  <c r="L28" i="1" l="1"/>
  <c r="N28" i="1" s="1"/>
  <c r="D8" i="6"/>
  <c r="L56" i="1"/>
  <c r="N56" i="1" s="1"/>
  <c r="M36" i="1"/>
  <c r="D13" i="5"/>
  <c r="E13" i="5" s="1"/>
  <c r="D28" i="5"/>
  <c r="E28" i="5" s="1"/>
  <c r="D9" i="5"/>
  <c r="E9" i="5" s="1"/>
  <c r="D26" i="5"/>
  <c r="E26" i="5" s="1"/>
  <c r="D6" i="5"/>
  <c r="E6" i="5" s="1"/>
  <c r="D24" i="5"/>
  <c r="E24" i="5" s="1"/>
  <c r="D14" i="5"/>
  <c r="E14" i="5" s="1"/>
  <c r="D18" i="5"/>
  <c r="E18" i="5" s="1"/>
  <c r="D31" i="5"/>
  <c r="E31" i="5" s="1"/>
  <c r="E25" i="5"/>
  <c r="D21" i="5"/>
  <c r="E21" i="5" s="1"/>
  <c r="D8" i="5"/>
  <c r="E8" i="5" s="1"/>
  <c r="D12" i="5"/>
  <c r="E12" i="5" s="1"/>
  <c r="D16" i="5"/>
  <c r="E16" i="5" s="1"/>
  <c r="D29" i="5"/>
  <c r="E29" i="5" s="1"/>
  <c r="D17" i="5"/>
  <c r="E17" i="5" s="1"/>
  <c r="D11" i="5"/>
  <c r="E11" i="5" s="1"/>
  <c r="D7" i="5"/>
  <c r="E7" i="5" s="1"/>
  <c r="D20" i="5"/>
  <c r="E20" i="5" s="1"/>
  <c r="E41" i="5"/>
  <c r="D10" i="5"/>
  <c r="E10" i="5" s="1"/>
  <c r="D23" i="5"/>
  <c r="E23" i="5" s="1"/>
  <c r="D30" i="5"/>
  <c r="E30" i="5" s="1"/>
  <c r="E37" i="5"/>
  <c r="D27" i="5"/>
  <c r="E27" i="5" s="1"/>
  <c r="D22" i="5"/>
  <c r="E22" i="5" s="1"/>
  <c r="D19" i="5"/>
  <c r="E19" i="5" s="1"/>
  <c r="D15" i="5"/>
  <c r="E15" i="5" s="1"/>
  <c r="F34" i="4"/>
  <c r="M8" i="1" s="1"/>
  <c r="N8" i="1" s="1"/>
  <c r="D35" i="6"/>
  <c r="D32" i="6"/>
  <c r="D31" i="6"/>
  <c r="D38" i="6"/>
  <c r="D34" i="6"/>
  <c r="D25" i="6"/>
  <c r="D36" i="6"/>
  <c r="D19" i="6"/>
  <c r="D17" i="6"/>
  <c r="D37" i="6"/>
  <c r="D42" i="6"/>
  <c r="D27" i="6"/>
  <c r="D23" i="6"/>
  <c r="D22" i="6"/>
  <c r="D39" i="6"/>
  <c r="D28" i="6"/>
  <c r="D26" i="6"/>
  <c r="D18" i="6"/>
  <c r="D40" i="6"/>
  <c r="D29" i="6"/>
  <c r="D20" i="6"/>
  <c r="M6" i="1"/>
  <c r="N6" i="1" s="1"/>
  <c r="D24" i="6"/>
  <c r="D33" i="6"/>
  <c r="D41" i="6"/>
  <c r="D30" i="6"/>
  <c r="D21" i="6"/>
  <c r="M28" i="1" l="1"/>
  <c r="E42" i="5"/>
  <c r="M27" i="1"/>
  <c r="N27" i="1"/>
  <c r="M56" i="1"/>
  <c r="F32" i="4"/>
  <c r="F36" i="4" s="1"/>
  <c r="M5" i="1"/>
  <c r="N5" i="1" s="1"/>
  <c r="E38" i="5"/>
  <c r="D43" i="6"/>
  <c r="D10" i="6" s="1"/>
  <c r="E32" i="5"/>
  <c r="L33" i="1" l="1"/>
  <c r="N33" i="1" l="1"/>
  <c r="M33" i="1"/>
  <c r="N32" i="1"/>
  <c r="M32" i="1"/>
  <c r="H5" i="1"/>
  <c r="N18" i="1"/>
  <c r="N16" i="1" l="1"/>
  <c r="N186" i="7"/>
  <c r="M18" i="1"/>
  <c r="BG7" i="2"/>
  <c r="BG24" i="2" s="1"/>
  <c r="L19" i="1"/>
  <c r="M16" i="1"/>
  <c r="L110" i="7" l="1"/>
  <c r="L20" i="7"/>
  <c r="M28" i="8"/>
  <c r="K28" i="8"/>
  <c r="L56" i="7"/>
  <c r="K19" i="8" s="1"/>
  <c r="L74" i="7"/>
  <c r="K22" i="8" s="1"/>
  <c r="L86" i="7"/>
  <c r="K24" i="8" s="1"/>
  <c r="L122" i="7"/>
  <c r="K30" i="8" s="1"/>
  <c r="L68" i="7"/>
  <c r="K21" i="8" s="1"/>
  <c r="L104" i="7"/>
  <c r="K27" i="8" s="1"/>
  <c r="L164" i="7"/>
  <c r="K37" i="8" s="1"/>
  <c r="L62" i="7"/>
  <c r="K20" i="8" s="1"/>
  <c r="L26" i="7"/>
  <c r="K14" i="8" s="1"/>
  <c r="L80" i="7"/>
  <c r="K23" i="8" s="1"/>
  <c r="L98" i="7"/>
  <c r="K26" i="8" s="1"/>
  <c r="L92" i="7"/>
  <c r="K25" i="8" s="1"/>
  <c r="L158" i="7"/>
  <c r="K36" i="8" s="1"/>
  <c r="L146" i="7"/>
  <c r="K34" i="8" s="1"/>
  <c r="L32" i="7"/>
  <c r="K15" i="8" s="1"/>
  <c r="L170" i="7"/>
  <c r="K38" i="8" s="1"/>
  <c r="L44" i="7"/>
  <c r="K17" i="8" s="1"/>
  <c r="L134" i="7"/>
  <c r="K32" i="8" s="1"/>
  <c r="L50" i="7"/>
  <c r="K18" i="8" s="1"/>
  <c r="L38" i="7"/>
  <c r="K16" i="8" s="1"/>
  <c r="L152" i="7"/>
  <c r="K35" i="8" s="1"/>
  <c r="L116" i="7"/>
  <c r="K29" i="8" s="1"/>
  <c r="L140" i="7"/>
  <c r="K33" i="8" s="1"/>
  <c r="L128" i="7"/>
  <c r="K31" i="8" s="1"/>
  <c r="N19" i="1"/>
  <c r="BG9" i="2"/>
  <c r="BG22" i="2"/>
  <c r="BG34" i="2"/>
  <c r="BG28" i="2"/>
  <c r="BG23" i="2"/>
  <c r="BG25" i="2"/>
  <c r="BG21" i="2"/>
  <c r="BG11" i="2"/>
  <c r="BG29" i="2"/>
  <c r="BG26" i="2"/>
  <c r="BG18" i="2"/>
  <c r="BG27" i="2"/>
  <c r="BG30" i="2"/>
  <c r="BG17" i="2"/>
  <c r="BG33" i="2"/>
  <c r="BG32" i="2"/>
  <c r="BG15" i="2"/>
  <c r="BG20" i="2"/>
  <c r="BG10" i="2"/>
  <c r="BG13" i="2"/>
  <c r="BG16" i="2"/>
  <c r="BG31" i="2"/>
  <c r="BG14" i="2"/>
  <c r="BG12" i="2"/>
  <c r="BG19" i="2"/>
  <c r="M19" i="1"/>
  <c r="L58" i="1"/>
  <c r="O28" i="8" l="1"/>
  <c r="W28" i="8" s="1"/>
  <c r="M35" i="8"/>
  <c r="O35" i="8" s="1"/>
  <c r="V35" i="8" s="1"/>
  <c r="M21" i="8"/>
  <c r="O21" i="8" s="1"/>
  <c r="W21" i="8" s="1"/>
  <c r="M30" i="8"/>
  <c r="O30" i="8" s="1"/>
  <c r="V30" i="8" s="1"/>
  <c r="M29" i="8"/>
  <c r="O29" i="8" s="1"/>
  <c r="M26" i="8"/>
  <c r="O26" i="8" s="1"/>
  <c r="W26" i="8" s="1"/>
  <c r="M23" i="8"/>
  <c r="O23" i="8" s="1"/>
  <c r="M20" i="8"/>
  <c r="O20" i="8" s="1"/>
  <c r="M19" i="8"/>
  <c r="O19" i="8" s="1"/>
  <c r="W19" i="8" s="1"/>
  <c r="M34" i="8"/>
  <c r="O34" i="8" s="1"/>
  <c r="V34" i="8" s="1"/>
  <c r="M33" i="8"/>
  <c r="O33" i="8" s="1"/>
  <c r="W33" i="8" s="1"/>
  <c r="M27" i="8"/>
  <c r="O27" i="8" s="1"/>
  <c r="M13" i="8"/>
  <c r="M24" i="8"/>
  <c r="O24" i="8" s="1"/>
  <c r="M16" i="8"/>
  <c r="O16" i="8" s="1"/>
  <c r="M17" i="8"/>
  <c r="O17" i="8" s="1"/>
  <c r="M36" i="8"/>
  <c r="O36" i="8" s="1"/>
  <c r="M31" i="8"/>
  <c r="O31" i="8" s="1"/>
  <c r="V31" i="8" s="1"/>
  <c r="M15" i="8"/>
  <c r="O15" i="8" s="1"/>
  <c r="V15" i="8" s="1"/>
  <c r="M32" i="8"/>
  <c r="O32" i="8" s="1"/>
  <c r="M18" i="8"/>
  <c r="M14" i="8"/>
  <c r="O14" i="8" s="1"/>
  <c r="W14" i="8" s="1"/>
  <c r="M37" i="8"/>
  <c r="O37" i="8" s="1"/>
  <c r="V37" i="8" s="1"/>
  <c r="M22" i="8"/>
  <c r="O22" i="8" s="1"/>
  <c r="V22" i="8" s="1"/>
  <c r="M25" i="8"/>
  <c r="O25" i="8" s="1"/>
  <c r="V25" i="8" s="1"/>
  <c r="M38" i="8"/>
  <c r="O38" i="8" s="1"/>
  <c r="V38" i="8" s="1"/>
  <c r="O18" i="8"/>
  <c r="W18" i="8" s="1"/>
  <c r="V28" i="8"/>
  <c r="K13" i="8"/>
  <c r="L176" i="7"/>
  <c r="N184" i="7" s="1"/>
  <c r="N183" i="7" s="1"/>
  <c r="G6" i="1" s="1"/>
  <c r="H6" i="1" s="1"/>
  <c r="BG8" i="2"/>
  <c r="M58" i="1"/>
  <c r="N58" i="1"/>
  <c r="W35" i="8" l="1"/>
  <c r="V14" i="8"/>
  <c r="W38" i="8"/>
  <c r="V19" i="8"/>
  <c r="V33" i="8"/>
  <c r="W37" i="8"/>
  <c r="M39" i="8"/>
  <c r="N13" i="8" s="1"/>
  <c r="T13" i="8" s="1"/>
  <c r="W22" i="8"/>
  <c r="O13" i="8"/>
  <c r="V13" i="8" s="1"/>
  <c r="W30" i="8"/>
  <c r="W25" i="8"/>
  <c r="V20" i="8"/>
  <c r="W20" i="8"/>
  <c r="V18" i="8"/>
  <c r="W29" i="8"/>
  <c r="V27" i="8"/>
  <c r="V24" i="8"/>
  <c r="W34" i="8"/>
  <c r="W27" i="8"/>
  <c r="W36" i="8"/>
  <c r="V17" i="8"/>
  <c r="V16" i="8"/>
  <c r="V21" i="8"/>
  <c r="W31" i="8"/>
  <c r="W32" i="8"/>
  <c r="V26" i="8"/>
  <c r="W15" i="8"/>
  <c r="V23" i="8"/>
  <c r="W16" i="8"/>
  <c r="V32" i="8"/>
  <c r="W17" i="8"/>
  <c r="W23" i="8"/>
  <c r="W24" i="8"/>
  <c r="K39" i="8"/>
  <c r="V36" i="8"/>
  <c r="V29" i="8"/>
  <c r="N33" i="8" l="1"/>
  <c r="T33" i="8" s="1"/>
  <c r="N27" i="8"/>
  <c r="T27" i="8" s="1"/>
  <c r="N29" i="8"/>
  <c r="T29" i="8" s="1"/>
  <c r="N21" i="8"/>
  <c r="T21" i="8" s="1"/>
  <c r="N24" i="8"/>
  <c r="T24" i="8" s="1"/>
  <c r="N36" i="8"/>
  <c r="T36" i="8" s="1"/>
  <c r="N20" i="8"/>
  <c r="T20" i="8" s="1"/>
  <c r="N14" i="8"/>
  <c r="T14" i="8" s="1"/>
  <c r="N34" i="8"/>
  <c r="T34" i="8" s="1"/>
  <c r="N17" i="8"/>
  <c r="T17" i="8" s="1"/>
  <c r="N22" i="8"/>
  <c r="T22" i="8" s="1"/>
  <c r="N28" i="8"/>
  <c r="T28" i="8" s="1"/>
  <c r="N15" i="8"/>
  <c r="T15" i="8" s="1"/>
  <c r="N38" i="8"/>
  <c r="T38" i="8" s="1"/>
  <c r="N26" i="8"/>
  <c r="T26" i="8" s="1"/>
  <c r="N31" i="8"/>
  <c r="T31" i="8" s="1"/>
  <c r="N18" i="8"/>
  <c r="T18" i="8" s="1"/>
  <c r="N16" i="8"/>
  <c r="T16" i="8" s="1"/>
  <c r="N37" i="8"/>
  <c r="T37" i="8" s="1"/>
  <c r="N32" i="8"/>
  <c r="T32" i="8" s="1"/>
  <c r="N25" i="8"/>
  <c r="T25" i="8" s="1"/>
  <c r="N30" i="8"/>
  <c r="T30" i="8" s="1"/>
  <c r="N35" i="8"/>
  <c r="T35" i="8" s="1"/>
  <c r="N23" i="8"/>
  <c r="T23" i="8" s="1"/>
  <c r="N19" i="8"/>
  <c r="T19" i="8" s="1"/>
  <c r="W13" i="8"/>
  <c r="L29" i="8"/>
  <c r="S29" i="8" s="1"/>
  <c r="L37" i="8"/>
  <c r="S37" i="8" s="1"/>
  <c r="L34" i="8"/>
  <c r="S34" i="8" s="1"/>
  <c r="L31" i="8"/>
  <c r="S31" i="8" s="1"/>
  <c r="L36" i="8"/>
  <c r="S36" i="8" s="1"/>
  <c r="L25" i="8"/>
  <c r="S25" i="8" s="1"/>
  <c r="L32" i="8"/>
  <c r="S32" i="8" s="1"/>
  <c r="L24" i="8"/>
  <c r="S24" i="8" s="1"/>
  <c r="L23" i="8"/>
  <c r="S23" i="8" s="1"/>
  <c r="L16" i="8"/>
  <c r="S16" i="8" s="1"/>
  <c r="L14" i="8"/>
  <c r="S14" i="8" s="1"/>
  <c r="L33" i="8"/>
  <c r="S33" i="8" s="1"/>
  <c r="L20" i="8"/>
  <c r="S20" i="8" s="1"/>
  <c r="L15" i="8"/>
  <c r="S15" i="8" s="1"/>
  <c r="L35" i="8"/>
  <c r="S35" i="8" s="1"/>
  <c r="L27" i="8"/>
  <c r="S27" i="8" s="1"/>
  <c r="L21" i="8"/>
  <c r="S21" i="8" s="1"/>
  <c r="L18" i="8"/>
  <c r="S18" i="8" s="1"/>
  <c r="L30" i="8"/>
  <c r="S30" i="8" s="1"/>
  <c r="L26" i="8"/>
  <c r="S26" i="8" s="1"/>
  <c r="L17" i="8"/>
  <c r="S17" i="8" s="1"/>
  <c r="L22" i="8"/>
  <c r="S22" i="8" s="1"/>
  <c r="L19" i="8"/>
  <c r="S19" i="8" s="1"/>
  <c r="L38" i="8"/>
  <c r="S38" i="8" s="1"/>
  <c r="L28" i="8"/>
  <c r="S28" i="8" s="1"/>
  <c r="O39" i="8"/>
  <c r="P13" i="8" s="1"/>
  <c r="U13" i="8" s="1"/>
  <c r="L13" i="8"/>
  <c r="S13" i="8" s="1"/>
  <c r="V39" i="8"/>
  <c r="T39" i="8" l="1"/>
  <c r="P30" i="8"/>
  <c r="U30" i="8" s="1"/>
  <c r="P39" i="8"/>
  <c r="U39" i="8" s="1"/>
  <c r="P33" i="8"/>
  <c r="U33" i="8" s="1"/>
  <c r="P20" i="8"/>
  <c r="U20" i="8" s="1"/>
  <c r="P36" i="8"/>
  <c r="U36" i="8" s="1"/>
  <c r="P25" i="8"/>
  <c r="U25" i="8" s="1"/>
  <c r="P23" i="8"/>
  <c r="U23" i="8" s="1"/>
  <c r="P31" i="8"/>
  <c r="U31" i="8" s="1"/>
  <c r="P15" i="8"/>
  <c r="U15" i="8" s="1"/>
  <c r="P29" i="8"/>
  <c r="U29" i="8" s="1"/>
  <c r="P17" i="8"/>
  <c r="U17" i="8" s="1"/>
  <c r="P32" i="8"/>
  <c r="U32" i="8" s="1"/>
  <c r="P18" i="8"/>
  <c r="U18" i="8" s="1"/>
  <c r="W39" i="8"/>
  <c r="X19" i="8" s="1"/>
  <c r="S39" i="8"/>
  <c r="P26" i="8"/>
  <c r="U26" i="8" s="1"/>
  <c r="P27" i="8"/>
  <c r="U27" i="8" s="1"/>
  <c r="P34" i="8"/>
  <c r="U34" i="8" s="1"/>
  <c r="P37" i="8"/>
  <c r="U37" i="8" s="1"/>
  <c r="P35" i="8"/>
  <c r="U35" i="8" s="1"/>
  <c r="P19" i="8"/>
  <c r="U19" i="8" s="1"/>
  <c r="P14" i="8"/>
  <c r="U14" i="8" s="1"/>
  <c r="P38" i="8"/>
  <c r="U38" i="8" s="1"/>
  <c r="P24" i="8"/>
  <c r="U24" i="8" s="1"/>
  <c r="P21" i="8"/>
  <c r="U21" i="8" s="1"/>
  <c r="P22" i="8"/>
  <c r="U22" i="8" s="1"/>
  <c r="P28" i="8"/>
  <c r="U28" i="8" s="1"/>
  <c r="P16" i="8"/>
  <c r="U16" i="8" s="1"/>
  <c r="L8" i="8"/>
  <c r="L6" i="8" s="1"/>
  <c r="X37" i="8" l="1"/>
  <c r="X26" i="8"/>
  <c r="X14" i="8"/>
  <c r="X23" i="8"/>
  <c r="X27" i="8"/>
  <c r="X28" i="8"/>
  <c r="L7" i="8"/>
  <c r="X33" i="8"/>
  <c r="X30" i="8"/>
  <c r="X38" i="8"/>
  <c r="X15" i="8"/>
  <c r="X29" i="8"/>
  <c r="X22" i="8"/>
  <c r="X13" i="8"/>
  <c r="X34" i="8"/>
  <c r="X20" i="8"/>
  <c r="X32" i="8"/>
  <c r="X17" i="8"/>
  <c r="X16" i="8"/>
  <c r="X35" i="8"/>
  <c r="X31" i="8"/>
  <c r="X25" i="8"/>
  <c r="X24" i="8"/>
  <c r="X21" i="8"/>
  <c r="X36" i="8"/>
  <c r="X18" i="8"/>
  <c r="D12" i="6" l="1"/>
</calcChain>
</file>

<file path=xl/comments1.xml><?xml version="1.0" encoding="utf-8"?>
<comments xmlns="http://schemas.openxmlformats.org/spreadsheetml/2006/main">
  <authors>
    <author>Pospíšilová Lenka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Podíl institucionální části rozpočtu a počtu normativních studentů; v roce 2012: (A+K)/norm. počet studentů.</t>
        </r>
      </text>
    </comment>
    <comment ref="I5" authorId="0">
      <text>
        <r>
          <rPr>
            <b/>
            <sz val="10"/>
            <color indexed="81"/>
            <rFont val="Tahoma"/>
            <family val="2"/>
            <charset val="238"/>
          </rPr>
          <t>Pospíšilová Lenka:</t>
        </r>
        <r>
          <rPr>
            <sz val="10"/>
            <color indexed="81"/>
            <rFont val="Tahoma"/>
            <family val="2"/>
            <charset val="238"/>
          </rPr>
          <t xml:space="preserve">
Výpočtové stipendium pro 1 studenta doktorského studijního programu (rok 2008 i r. 2009 88775 Kč, v roce 2010 zvýšení o 5,2% na 93 380 Kč)</t>
        </r>
      </text>
    </comment>
    <comment ref="A6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Podíl části rozpočtu v ukazateli A a normativního počtu studentů.</t>
        </r>
      </text>
    </comment>
    <comment ref="I6" authorId="0">
      <text>
        <r>
          <rPr>
            <b/>
            <sz val="10"/>
            <color indexed="81"/>
            <rFont val="Tahoma"/>
            <family val="2"/>
            <charset val="238"/>
          </rPr>
          <t>Pospíšilová Lenka:</t>
        </r>
        <r>
          <rPr>
            <sz val="10"/>
            <color indexed="81"/>
            <rFont val="Tahoma"/>
            <family val="2"/>
            <charset val="238"/>
          </rPr>
          <t xml:space="preserve">
(r. 2006 - 6395 Kč, r.2007 - 6500 Kč, r. 2008 - 6500 Kč, r. 2009 - 6500 Kč)</t>
        </r>
      </text>
    </comment>
    <comment ref="I7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(§91 odst. 3 zákona č. 111/1998 Sb., o vysokých školách), přiznává se na 10 měs. v roce</t>
        </r>
      </text>
    </comment>
    <comment ref="I8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 (r. 2007, r. 2008 i r. 2009 - 23 Kč)</t>
        </r>
      </text>
    </comment>
    <comment ref="D46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Podpora tvůrčích činností, které VVŠ umí definovat, ale nejsou zatím součástí kritérií hodnocení v rámci ukazatele K. </t>
        </r>
      </text>
    </comment>
  </commentList>
</comments>
</file>

<file path=xl/comments2.xml><?xml version="1.0" encoding="utf-8"?>
<comments xmlns="http://schemas.openxmlformats.org/spreadsheetml/2006/main">
  <authors>
    <author>Pospíšilová Lenka</author>
  </authors>
  <commentLis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Součet výsledků RUV za 3 roky: 2008, 2009, 2010</t>
        </r>
      </text>
    </comment>
    <comment ref="C64" authorId="0">
      <text>
        <r>
          <rPr>
            <b/>
            <sz val="8"/>
            <color indexed="81"/>
            <rFont val="Tahoma"/>
            <family val="2"/>
            <charset val="238"/>
          </rPr>
          <t>Pospíšilová Lenka:</t>
        </r>
        <r>
          <rPr>
            <sz val="8"/>
            <color indexed="81"/>
            <rFont val="Tahoma"/>
            <family val="2"/>
            <charset val="238"/>
          </rPr>
          <t xml:space="preserve">
použité údaje jsou za období 2005-2009, zveřejněné v lednu 2011 (zpracovávané v roce 2010).</t>
        </r>
      </text>
    </comment>
  </commentList>
</comments>
</file>

<file path=xl/sharedStrings.xml><?xml version="1.0" encoding="utf-8"?>
<sst xmlns="http://schemas.openxmlformats.org/spreadsheetml/2006/main" count="1211" uniqueCount="416">
  <si>
    <t>(nezahrnuje dotace na programy reprodukce majetku; prostředky určené na programy spolufinancované s EU jsou na konci tabulky odečteny)</t>
  </si>
  <si>
    <t>Poznámka:</t>
  </si>
  <si>
    <t>Položka</t>
  </si>
  <si>
    <t>Rok 2010</t>
  </si>
  <si>
    <t>Rok 2011</t>
  </si>
  <si>
    <t>2012 odhad</t>
  </si>
  <si>
    <t>%</t>
  </si>
  <si>
    <t>Rok 2012 odhad</t>
  </si>
  <si>
    <t>Rozdíl v %</t>
  </si>
  <si>
    <t>Základní normativ</t>
  </si>
  <si>
    <t xml:space="preserve">Normativ absolventa </t>
  </si>
  <si>
    <t>x</t>
  </si>
  <si>
    <t>Příspěvek *)</t>
  </si>
  <si>
    <t>Dotace *)</t>
  </si>
  <si>
    <t>Název ukazatele / položky</t>
  </si>
  <si>
    <t>P</t>
  </si>
  <si>
    <t>Ukazatel A+B1 - studijní programy</t>
  </si>
  <si>
    <t xml:space="preserve">Ukazatel B 2 - studijní programy, bonifikace za absolventy B,M,N,P </t>
  </si>
  <si>
    <t>Celkem normativní část rozpočtu</t>
  </si>
  <si>
    <t>Rozpočtový okruh II, Sociální záležitosti studentů</t>
  </si>
  <si>
    <t>Ukazatel C - stipendia pro studenty doktorských stud. prog.</t>
  </si>
  <si>
    <t>D</t>
  </si>
  <si>
    <t>Ukazatel J - dotace na ubytování a stravování studentů</t>
  </si>
  <si>
    <t>Ukazatel S1 - příspěvek na sociální stipendia VVŠ</t>
  </si>
  <si>
    <t>Ukazatel S2 - dotace na sociální stipendia SVŠ</t>
  </si>
  <si>
    <t>Ukazatel U1- příspěvek na ubytovací stipendia VVŠ</t>
  </si>
  <si>
    <t>Ukazatel U2 - dotace na ubytovací stipendia SVŠ</t>
  </si>
  <si>
    <t>Celkem sociální záležitosti studentů</t>
  </si>
  <si>
    <t>Rozpočtový okruh III, Rozvoj vysokých škol</t>
  </si>
  <si>
    <t>Ukazatel G - fond rozvoje vysokých škol</t>
  </si>
  <si>
    <t xml:space="preserve">Ukazatel I - rozvojové programy </t>
  </si>
  <si>
    <t>Celkem rozvoj vysokých škol</t>
  </si>
  <si>
    <t>Rozpočtový okruh IV, Mezinárodní spolupráce a ostatní</t>
  </si>
  <si>
    <t>Ukazatel D - zahraniční studenti, mezinár. spolupráce</t>
  </si>
  <si>
    <t>V tom:</t>
  </si>
  <si>
    <t>AKCION</t>
  </si>
  <si>
    <t>CEEPUS</t>
  </si>
  <si>
    <t>ERASMUS</t>
  </si>
  <si>
    <t>Letní školy slovanských studií</t>
  </si>
  <si>
    <t>Zahraniční rozvoj. pomoc</t>
  </si>
  <si>
    <t>Ukazatel F - Fond vzdělávací politiky</t>
  </si>
  <si>
    <t>Nové VVŠ (nefinancované dosud zcela nebo zčásti z Ukazatele A)</t>
  </si>
  <si>
    <t>Soukromé VŠ</t>
  </si>
  <si>
    <t>Univerzita obrany</t>
  </si>
  <si>
    <t>Tlumočnické služby pro neslyšící</t>
  </si>
  <si>
    <t>Závěry Melkského procesu k JETE</t>
  </si>
  <si>
    <t>Univerzita třetího věku (U3V)</t>
  </si>
  <si>
    <t>Studium studentů se specifickými potřebami</t>
  </si>
  <si>
    <t>Genofondy - odborná praxe na škol. zeměděl. nebo lesních statcích</t>
  </si>
  <si>
    <t xml:space="preserve">Ostatní </t>
  </si>
  <si>
    <t>Ukazatel M - mimořádné aktivity</t>
  </si>
  <si>
    <t>Celkem Mezinárodní spolupráce a ostatní</t>
  </si>
  <si>
    <r>
      <t xml:space="preserve">Celkem příspěvek + dotace </t>
    </r>
    <r>
      <rPr>
        <b/>
        <u/>
        <sz val="18"/>
        <rFont val="Times New Roman"/>
        <family val="1"/>
        <charset val="238"/>
      </rPr>
      <t/>
    </r>
  </si>
  <si>
    <t>Prostředky přidělené sekci 4 pro účely spolufinancování programu VaVpI</t>
  </si>
  <si>
    <t>Ukazatel rozpočtu vysokých škol</t>
  </si>
  <si>
    <t>Rozdíl</t>
  </si>
  <si>
    <t>*) V některých ukazatelích může být poskytnut příspěvek nebo dotace v závislosti na účelu, na který se poskytuje.</t>
  </si>
  <si>
    <t>Veřejné vysoké školy</t>
  </si>
  <si>
    <t>Mezinárodní mobilita</t>
  </si>
  <si>
    <r>
      <t xml:space="preserve">Započítané body RIV (absolutně) + </t>
    </r>
    <r>
      <rPr>
        <b/>
        <u/>
        <sz val="8"/>
        <rFont val="Arial"/>
        <family val="2"/>
        <charset val="238"/>
      </rPr>
      <t>bez komp.</t>
    </r>
    <r>
      <rPr>
        <b/>
        <sz val="8"/>
        <rFont val="Arial"/>
        <family val="2"/>
        <charset val="238"/>
      </rPr>
      <t xml:space="preserve"> pro uměl. VŠ</t>
    </r>
  </si>
  <si>
    <t>Započítané body RUV</t>
  </si>
  <si>
    <t>Účelové neinvestiční prostředky na výzkum</t>
  </si>
  <si>
    <t>Příjmy z vlastní činnosti VVŠ</t>
  </si>
  <si>
    <t>Vážený počet profesorů a docentů</t>
  </si>
  <si>
    <t>Cizinci v příslušném typu studijního programu</t>
  </si>
  <si>
    <t>„Samoplátci“ v příslušném typu studijního programu</t>
  </si>
  <si>
    <t>Vyslaní v rámci mobilitních programů 
(včetně ECTS a DS)</t>
  </si>
  <si>
    <t>Přijatí v rámci mobilitních programů 
(včetně ECTS a DS)</t>
  </si>
  <si>
    <t>Profesoři</t>
  </si>
  <si>
    <t>Docenti</t>
  </si>
  <si>
    <t>Index</t>
  </si>
  <si>
    <t>Celkem</t>
  </si>
  <si>
    <t>Bakalářské</t>
  </si>
  <si>
    <t>Magisterské</t>
  </si>
  <si>
    <t>Doktorandi</t>
  </si>
  <si>
    <t>Bakalářském</t>
  </si>
  <si>
    <t>Magisterském</t>
  </si>
  <si>
    <t>Doktorském</t>
  </si>
  <si>
    <t>Váhy parametrů</t>
  </si>
  <si>
    <t>VVŠ celkem</t>
  </si>
  <si>
    <t xml:space="preserve">UK </t>
  </si>
  <si>
    <t>JU</t>
  </si>
  <si>
    <t xml:space="preserve">UJEP </t>
  </si>
  <si>
    <t>MU</t>
  </si>
  <si>
    <t>UP</t>
  </si>
  <si>
    <t>VFU Brno</t>
  </si>
  <si>
    <t>OU</t>
  </si>
  <si>
    <t>UHK</t>
  </si>
  <si>
    <t>SU</t>
  </si>
  <si>
    <t>ČVUT</t>
  </si>
  <si>
    <t>VŠCHT Praha</t>
  </si>
  <si>
    <t>ZČU</t>
  </si>
  <si>
    <t>TUL</t>
  </si>
  <si>
    <t>UPa</t>
  </si>
  <si>
    <t>VUT v Brně</t>
  </si>
  <si>
    <t>VŠB-TUO</t>
  </si>
  <si>
    <t>UTB ve Zlíně</t>
  </si>
  <si>
    <t>VŠE</t>
  </si>
  <si>
    <t>ČZU v Praze</t>
  </si>
  <si>
    <t>MENDELU</t>
  </si>
  <si>
    <t>AMU v Praze</t>
  </si>
  <si>
    <t>AVU v Praze</t>
  </si>
  <si>
    <t>VŠUP v Praze</t>
  </si>
  <si>
    <t>JAMU</t>
  </si>
  <si>
    <t>VŠP Jihlava</t>
  </si>
  <si>
    <t>VŠTE</t>
  </si>
  <si>
    <t>2010</t>
  </si>
  <si>
    <t>2009</t>
  </si>
  <si>
    <t>2008</t>
  </si>
  <si>
    <t>Ukazatel K: Kvalitativní a výkonové ukazatele vysokých škol</t>
  </si>
  <si>
    <t>v tis. Kč</t>
  </si>
  <si>
    <t>Započítané body RIV (absolutně)</t>
  </si>
  <si>
    <t>Zaměstnanost absolventů (absolutní)</t>
  </si>
  <si>
    <t>Mezinárodní mobilita a internacionalizace</t>
  </si>
  <si>
    <t>Cizinci v příslušném typu studijního programu (bakalářském, magisterském, doktorském)</t>
  </si>
  <si>
    <t>„Samoplátci“ v příslušném typu studijního programu (bakalářském, magisterském, doktorském)</t>
  </si>
  <si>
    <t>Vyslaní v rámci mobilitních programů</t>
  </si>
  <si>
    <t>Přijatí v rámci mobilitních programů</t>
  </si>
  <si>
    <t>VŠ</t>
  </si>
  <si>
    <t>celkový počet vydaných jídel v menzách VŠ</t>
  </si>
  <si>
    <t>dotace</t>
  </si>
  <si>
    <t>teplých</t>
  </si>
  <si>
    <t>studených</t>
  </si>
  <si>
    <t>stud. přepočt.</t>
  </si>
  <si>
    <t>celkem tep. + st. přep.</t>
  </si>
  <si>
    <t>UK</t>
  </si>
  <si>
    <t>UJEP</t>
  </si>
  <si>
    <t>UPOL</t>
  </si>
  <si>
    <t>VFU</t>
  </si>
  <si>
    <t>VŠCHT</t>
  </si>
  <si>
    <t>ZU</t>
  </si>
  <si>
    <t>UPAR</t>
  </si>
  <si>
    <t>VUT</t>
  </si>
  <si>
    <t>TUO</t>
  </si>
  <si>
    <t>UTB</t>
  </si>
  <si>
    <t>ČZU</t>
  </si>
  <si>
    <t>AMU</t>
  </si>
  <si>
    <t>AVU</t>
  </si>
  <si>
    <t>VŠUP</t>
  </si>
  <si>
    <t>VŠPJ</t>
  </si>
  <si>
    <t>Normativ na jedno hlavní jídlo (v Kč)</t>
  </si>
  <si>
    <t>Roční příspěvek na stravování v Kč před zaokrouhlením</t>
  </si>
  <si>
    <t>Roční příspěvek na stravování (v tis. Kč)</t>
  </si>
  <si>
    <t>Počet studentů v DSPSP</t>
  </si>
  <si>
    <t>Univerzita Karlova v Praze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</si>
  <si>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</si>
  <si>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</si>
  <si>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</si>
  <si>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</si>
  <si>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Veterinární a farmaceutická univerzita Brno</t>
  </si>
  <si>
    <t>Ostravská univerzita v Ostravě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</si>
  <si>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</si>
  <si>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</si>
  <si>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</si>
  <si>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</si>
  <si>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</si>
  <si>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</si>
  <si>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</si>
  <si>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</si>
  <si>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</si>
  <si>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</si>
  <si>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</si>
  <si>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</si>
  <si>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</si>
  <si>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</si>
  <si>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</si>
  <si>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uměleckoprůmyslová v Praze</t>
  </si>
  <si>
    <t>Janáčkova akademie múzických umění v Brně</t>
  </si>
  <si>
    <t>Vysoká škola polytechnická Jihlava</t>
  </si>
  <si>
    <t>Vysoká škola technická a ekonomická v Českých Budějovicích</t>
  </si>
  <si>
    <t>Rok</t>
  </si>
  <si>
    <t>Jednotková roční výpočtová částka na jedno stipendium činí (Kč)</t>
  </si>
  <si>
    <t>Meziroční změna v počtu studentů</t>
  </si>
  <si>
    <t>Roční výpočtová částka (tis. Kč)</t>
  </si>
  <si>
    <t>Meziroční změna ve výpočtové částce</t>
  </si>
  <si>
    <t>Kód VŠ</t>
  </si>
  <si>
    <t>Název VŠ</t>
  </si>
  <si>
    <t>Počet stud. v DSPSP</t>
  </si>
  <si>
    <t>Výstup ze SIMS podle stavu k 31. 10. 2011</t>
  </si>
  <si>
    <t>Výpočtová částka (tis. Kč)</t>
  </si>
  <si>
    <t>Počet nároků VVŠ</t>
  </si>
  <si>
    <t>Počet nároků SVŠ (odhad)</t>
  </si>
  <si>
    <t>Součet</t>
  </si>
  <si>
    <t>VVŠ (tis. Kč)</t>
  </si>
  <si>
    <t>SVŠ (tis. Kč)</t>
  </si>
  <si>
    <t>Kód VVŠ</t>
  </si>
  <si>
    <t>Počet studentů</t>
  </si>
  <si>
    <t>tis. Kč</t>
  </si>
  <si>
    <t>Výstup SIMS k 31.10.2011</t>
  </si>
  <si>
    <t xml:space="preserve">Částka určená v rozpočtu </t>
  </si>
  <si>
    <t>2011</t>
  </si>
  <si>
    <r>
      <t xml:space="preserve">Zaměstnanost absolventů (absolutní), </t>
    </r>
    <r>
      <rPr>
        <b/>
        <u/>
        <sz val="8"/>
        <rFont val="Arial"/>
        <family val="2"/>
        <charset val="238"/>
      </rPr>
      <t>včetně</t>
    </r>
    <r>
      <rPr>
        <b/>
        <sz val="8"/>
        <rFont val="Arial"/>
        <family val="2"/>
        <charset val="238"/>
      </rPr>
      <t xml:space="preserve"> KEN</t>
    </r>
  </si>
  <si>
    <t>Jednotková sazba</t>
  </si>
  <si>
    <t>Ukazatel K (dříve B3) - kvalita a výkon</t>
  </si>
  <si>
    <t>Ukazatel A, výpočet na rok 2012</t>
  </si>
  <si>
    <t>Data podle SIMS ke dni 31.10.2011.</t>
  </si>
  <si>
    <t>Kategorie:</t>
  </si>
  <si>
    <t>B1</t>
  </si>
  <si>
    <t>bakalářská studia, první rok studia</t>
  </si>
  <si>
    <t>Počty přepočtených studentů magisterských studijních programů M5104 Stomatologie a M5111 Zubní lékařství, P5155 Stomatologie a zubní lékařství, které nejsou limitovány, jsou uvedeny v samostatné tabulce dole.</t>
  </si>
  <si>
    <t>M1</t>
  </si>
  <si>
    <t>magisterská studia pěti až šestiletá první, rok studia</t>
  </si>
  <si>
    <t>N1</t>
  </si>
  <si>
    <t>magisterská studia navazující na bakalářská studia, první rok studia</t>
  </si>
  <si>
    <t>P1</t>
  </si>
  <si>
    <t>doktorská studia, první rok studia</t>
  </si>
  <si>
    <t>SP2+</t>
  </si>
  <si>
    <t>všechny typy studia, druhé a další roky studia</t>
  </si>
  <si>
    <t>Kategorie</t>
  </si>
  <si>
    <t>Skutečný počet přepočt. studentů k 31. 10. 201 bez stud. programů 5104, 5111 a 5155</t>
  </si>
  <si>
    <t>Výsledek projednání - akceptovaný/ dohodnutý počet pro rok 2012 bez stud. programů 5104, 5111 a 5155</t>
  </si>
  <si>
    <t xml:space="preserve">Započtený počet přepočtených studentů bez SP 5104, 5111 a 5155 </t>
  </si>
  <si>
    <t>Stud. programy 5104, 5111 a 5155</t>
  </si>
  <si>
    <t>Započtený počet přepočt. studentů vč. 5104, 5111 a 5155</t>
  </si>
  <si>
    <t>Průměrný koef. ekon. náročnosti ke sl. 5</t>
  </si>
  <si>
    <t>Počet normativních studentů ke sl. 5</t>
  </si>
  <si>
    <t>Počet normativních studentů programů 5104, 5111 a 5155</t>
  </si>
  <si>
    <t>Počet normativních studentů celkem</t>
  </si>
  <si>
    <t>Částka na jednu VVŠ v tis. Kč</t>
  </si>
  <si>
    <t>Počet nevyužitých míst do limitu</t>
  </si>
  <si>
    <t>Počet nadlimitních přepočt. studentů</t>
  </si>
  <si>
    <t>UK Praha</t>
  </si>
  <si>
    <t>SUMA: B1</t>
  </si>
  <si>
    <t>SUMA: M1</t>
  </si>
  <si>
    <t>SUMA: N1</t>
  </si>
  <si>
    <t>SUMA: P1</t>
  </si>
  <si>
    <t>SUMA: SP2+</t>
  </si>
  <si>
    <t>JU České Budějovice</t>
  </si>
  <si>
    <t>JU Č.B.</t>
  </si>
  <si>
    <t>UJEP Ústí nad Labem</t>
  </si>
  <si>
    <t>UJEP Ústí n.L.</t>
  </si>
  <si>
    <t>MU Brno</t>
  </si>
  <si>
    <t>UP Olomouc</t>
  </si>
  <si>
    <t>OU Ostrava</t>
  </si>
  <si>
    <t>Univerzita Hr. Král.</t>
  </si>
  <si>
    <t>SU Opava</t>
  </si>
  <si>
    <t>ČVUT Praha</t>
  </si>
  <si>
    <t>ČVUT Praha *)</t>
  </si>
  <si>
    <t>ZČU Plzeň</t>
  </si>
  <si>
    <t>TU Liberec</t>
  </si>
  <si>
    <t>UPa Pardubice</t>
  </si>
  <si>
    <t>VUT Brno</t>
  </si>
  <si>
    <t>VŠB-TU Ostrava</t>
  </si>
  <si>
    <t>UTB Zlín</t>
  </si>
  <si>
    <t>VŠE Praha</t>
  </si>
  <si>
    <t>ČZU Praha</t>
  </si>
  <si>
    <t>Mendelu Brno</t>
  </si>
  <si>
    <t>MZLU Brno</t>
  </si>
  <si>
    <t>AMU Praha</t>
  </si>
  <si>
    <t>AVU Praha</t>
  </si>
  <si>
    <t>JAMU Brno</t>
  </si>
  <si>
    <t>VŠ polytech. Jihlava **)</t>
  </si>
  <si>
    <t>VŠ polytech. Jihlava</t>
  </si>
  <si>
    <t>VŠTE Č. Budějovice **)</t>
  </si>
  <si>
    <t>VŠTE Č. B.</t>
  </si>
  <si>
    <t>VŠTE Č. Budějovice</t>
  </si>
  <si>
    <t>Souhrn</t>
  </si>
  <si>
    <t>Souhrnné údaje</t>
  </si>
  <si>
    <t>Počet všech přepočtených studentů</t>
  </si>
  <si>
    <t>Celkem počet norm. stud.(bez UO)</t>
  </si>
  <si>
    <t>Stud. programy M5104, M5111 a 5155 - počet přepočtených studentů</t>
  </si>
  <si>
    <t>Počet přepočtených studentů zahrnutých do výpočtu</t>
  </si>
  <si>
    <t>Meziroční nárůst přepočtených studentů zahrnutých do výpočtu</t>
  </si>
  <si>
    <t>Počet normativních studentů</t>
  </si>
  <si>
    <t>Celková výpočtová částka před zaokrouhlením</t>
  </si>
  <si>
    <t>Průměrný koeficient ekonomické náročnosti</t>
  </si>
  <si>
    <t>Ukazatel A+K</t>
  </si>
  <si>
    <t>Průměrný normativ (ukaz. A+K ku počtu normativních studentů)</t>
  </si>
  <si>
    <t>Studijní programy 5104 Stomatologie, 5111 Zubní lékařství a 5155 Stomatologie a zubní lékařství</t>
  </si>
  <si>
    <t>Kód fakulty</t>
  </si>
  <si>
    <t>Název fakulty</t>
  </si>
  <si>
    <t>Nově přijatí</t>
  </si>
  <si>
    <t>Zvláštní</t>
  </si>
  <si>
    <t>Ostatní</t>
  </si>
  <si>
    <t>Půlroční</t>
  </si>
  <si>
    <t>Přepočtený počet studentů</t>
  </si>
  <si>
    <t>Normativní počet studentů</t>
  </si>
  <si>
    <t>UK v Praze</t>
  </si>
  <si>
    <t>1. lékařská fakulta</t>
  </si>
  <si>
    <t>Lékařská fakulta v Plzni</t>
  </si>
  <si>
    <t>Lékařská fakulta v Hradci Králové</t>
  </si>
  <si>
    <t>Lékařská fakulta</t>
  </si>
  <si>
    <t>UP v Olomouci</t>
  </si>
  <si>
    <t>Celkem všichni</t>
  </si>
  <si>
    <t>kontrola</t>
  </si>
  <si>
    <t>75:25 (1,1,1)</t>
  </si>
  <si>
    <t>Ukaz. A</t>
  </si>
  <si>
    <t>VVŠ</t>
  </si>
  <si>
    <t>% podíl v rámci ukazatele K</t>
  </si>
  <si>
    <t>Ukaz. K</t>
  </si>
  <si>
    <t>% podíl v rámci ukazatele A</t>
  </si>
  <si>
    <t>% podíl v rámci ukazatele B2+B3</t>
  </si>
  <si>
    <t>Ukaz. B3</t>
  </si>
  <si>
    <t>Ukaz. B2</t>
  </si>
  <si>
    <t>Ukazatel B3 váha 10 %</t>
  </si>
  <si>
    <t>Ukazatel K - 20 %</t>
  </si>
  <si>
    <t>Ukazatel B2 váha 10 %</t>
  </si>
  <si>
    <t>Ukazatel A - váha 80 %</t>
  </si>
  <si>
    <t>Vývoj v % bez -6,7%</t>
  </si>
  <si>
    <t>% podíl z celku</t>
  </si>
  <si>
    <r>
      <t xml:space="preserve">Rozpočet 2010 
</t>
    </r>
    <r>
      <rPr>
        <sz val="11"/>
        <rFont val="Arial"/>
        <family val="2"/>
        <charset val="238"/>
      </rPr>
      <t>(+ 800 mil. Kč)</t>
    </r>
  </si>
  <si>
    <r>
      <t xml:space="preserve">Rozpočet 2011 
</t>
    </r>
    <r>
      <rPr>
        <sz val="11"/>
        <rFont val="Arial"/>
        <family val="2"/>
        <charset val="238"/>
      </rPr>
      <t>(+ 1000 mil. Kč)</t>
    </r>
  </si>
  <si>
    <t>tis. Kč pro 
1. čtvrtletí 2012</t>
  </si>
  <si>
    <t>Rozpočet 2012</t>
  </si>
  <si>
    <r>
      <t xml:space="preserve">% podíl z celku </t>
    </r>
    <r>
      <rPr>
        <i/>
        <sz val="11"/>
        <color rgb="FF808080"/>
        <rFont val="Arial"/>
        <family val="2"/>
        <charset val="238"/>
      </rPr>
      <t>(sl. 6)</t>
    </r>
  </si>
  <si>
    <r>
      <t xml:space="preserve">Meziroční vývoj 
</t>
    </r>
    <r>
      <rPr>
        <i/>
        <sz val="11"/>
        <color rgb="FF808080"/>
        <rFont val="Arial"/>
        <family val="2"/>
        <charset val="238"/>
      </rPr>
      <t>(sl. 6 vs 3)</t>
    </r>
  </si>
  <si>
    <r>
      <t xml:space="preserve">% podíl z celku </t>
    </r>
    <r>
      <rPr>
        <i/>
        <sz val="11"/>
        <color rgb="FF808080"/>
        <rFont val="Arial"/>
        <family val="2"/>
        <charset val="238"/>
      </rPr>
      <t>(sl. 3)</t>
    </r>
  </si>
  <si>
    <r>
      <t xml:space="preserve">Meziroční vývoj 
</t>
    </r>
    <r>
      <rPr>
        <i/>
        <sz val="11"/>
        <color rgb="FF808080"/>
        <rFont val="Arial"/>
        <family val="2"/>
        <charset val="238"/>
      </rPr>
      <t>(sl. 3 vs 2)</t>
    </r>
  </si>
  <si>
    <t>Vědecký a umělecký výkon vysoké školy</t>
  </si>
  <si>
    <t>Kvalita studijních programů a uplatnění absolventů</t>
  </si>
  <si>
    <t>Podíl na K 
(v tis. Kč)</t>
  </si>
  <si>
    <t>Podíl na K 
(v%)</t>
  </si>
  <si>
    <t>Ukazatel K, výpočet na rok 2012</t>
  </si>
  <si>
    <t>Vlastní příjmy</t>
  </si>
  <si>
    <t xml:space="preserve">Rozpočet 2011 vs Rozpočet 2012 </t>
  </si>
  <si>
    <r>
      <t xml:space="preserve">Celkový rozpočet
</t>
    </r>
    <r>
      <rPr>
        <sz val="10"/>
        <color theme="1"/>
        <rFont val="Arial"/>
        <family val="2"/>
        <charset val="238"/>
      </rPr>
      <t>(v tis. Kč)</t>
    </r>
  </si>
  <si>
    <r>
      <t xml:space="preserve">Celkový rozpočet
</t>
    </r>
    <r>
      <rPr>
        <sz val="10"/>
        <color theme="1"/>
        <rFont val="Arial"/>
        <family val="2"/>
        <charset val="238"/>
      </rPr>
      <t>(meziroční změna v %)</t>
    </r>
  </si>
  <si>
    <r>
      <rPr>
        <sz val="10"/>
        <color theme="1"/>
        <rFont val="Arial"/>
        <family val="2"/>
        <charset val="238"/>
      </rPr>
      <t>Podíl VŠ na celkovém</t>
    </r>
    <r>
      <rPr>
        <b/>
        <sz val="10"/>
        <color theme="1"/>
        <rFont val="Arial"/>
        <family val="2"/>
        <charset val="238"/>
      </rPr>
      <t xml:space="preserve">
Ukaz. A</t>
    </r>
  </si>
  <si>
    <r>
      <rPr>
        <sz val="10"/>
        <color theme="1"/>
        <rFont val="Arial"/>
        <family val="2"/>
        <charset val="238"/>
      </rPr>
      <t>Podíl VŠ na celkovém</t>
    </r>
    <r>
      <rPr>
        <b/>
        <sz val="10"/>
        <color theme="1"/>
        <rFont val="Arial"/>
        <family val="2"/>
        <charset val="238"/>
      </rPr>
      <t xml:space="preserve">
Ukaz. K</t>
    </r>
    <r>
      <rPr>
        <sz val="6"/>
        <color indexed="8"/>
        <rFont val="Arial"/>
        <family val="2"/>
        <charset val="238"/>
      </rPr>
      <t/>
    </r>
  </si>
  <si>
    <r>
      <rPr>
        <sz val="10"/>
        <color theme="1"/>
        <rFont val="Arial"/>
        <family val="2"/>
        <charset val="238"/>
      </rPr>
      <t>Podílu VŠ na celk. rozpočtu</t>
    </r>
    <r>
      <rPr>
        <b/>
        <sz val="10"/>
        <color theme="1"/>
        <rFont val="Arial"/>
        <family val="2"/>
        <charset val="238"/>
      </rPr>
      <t xml:space="preserve">
(v tis. Kč)</t>
    </r>
  </si>
  <si>
    <t>Podpora tvůrčích činností</t>
  </si>
  <si>
    <t>A  (tis. Kč) =</t>
  </si>
  <si>
    <t>Průměrný normativ</t>
  </si>
  <si>
    <t xml:space="preserve">Výpočtové ubytovací stipendium na 1 studenta </t>
  </si>
  <si>
    <t>Měsíční sociální stipendium</t>
  </si>
  <si>
    <t>Výpočtová dotace na 1  jídlo</t>
  </si>
  <si>
    <t>Výpočtové stipendium v doktorském studiu</t>
  </si>
  <si>
    <t>Počet profesorů a docentů</t>
  </si>
  <si>
    <t xml:space="preserve">Váhy jednotlivých kritérií kvality a výkonu v rámci ukazatele K </t>
  </si>
  <si>
    <t>Zdroj: Zásady a pravidla financování veřejných vysokých škol pro rok 2012, 9.11.2011</t>
  </si>
  <si>
    <t xml:space="preserve"> </t>
  </si>
  <si>
    <t>11000</t>
  </si>
  <si>
    <t>12000</t>
  </si>
  <si>
    <t>13000</t>
  </si>
  <si>
    <t>Univerzita J. E. Purkyně v Ústí nad Labem</t>
  </si>
  <si>
    <t xml:space="preserve"> ---</t>
  </si>
  <si>
    <t>14000</t>
  </si>
  <si>
    <t>15000</t>
  </si>
  <si>
    <t>16000</t>
  </si>
  <si>
    <t>17000</t>
  </si>
  <si>
    <t>18000</t>
  </si>
  <si>
    <t>19000</t>
  </si>
  <si>
    <t>21000</t>
  </si>
  <si>
    <t>22000</t>
  </si>
  <si>
    <t>23000</t>
  </si>
  <si>
    <t>24000</t>
  </si>
  <si>
    <t>25000</t>
  </si>
  <si>
    <t>26000</t>
  </si>
  <si>
    <t>27000</t>
  </si>
  <si>
    <t>28000</t>
  </si>
  <si>
    <t>31000</t>
  </si>
  <si>
    <t>41000</t>
  </si>
  <si>
    <t>43000</t>
  </si>
  <si>
    <t>51000</t>
  </si>
  <si>
    <t>52000</t>
  </si>
  <si>
    <t>53000</t>
  </si>
  <si>
    <t>54000</t>
  </si>
  <si>
    <t>Janáčkova akademie múz umění v Brně</t>
  </si>
  <si>
    <t>55000</t>
  </si>
  <si>
    <t>56000</t>
  </si>
  <si>
    <t>Název VVŠ</t>
  </si>
  <si>
    <t>OPRAVA</t>
  </si>
  <si>
    <t>PO OPRAVĚ</t>
  </si>
  <si>
    <t>Podle dopisu NM č. j. 28317/2011-33 byl VFU zvýšen limit počtu v kat. M1 o 21 studií a snížen limit v kat. N1 o tutéž hodnotu.</t>
  </si>
  <si>
    <t>Podle dopisu NM č. j. 37813/2011-33 byl SU zvýšen limit počtu v kat. B1 o 1,5 studií a snížen limit v kat. M1 o tutéž hodnotu.</t>
  </si>
  <si>
    <t>Na žádost MENDELU č. j. 25383/2011-921 ze dne 30.11.2011 byl snížen skutečný počet přepočtených studentů v kat. P1 o 12 studií. Viz dopis vedoucí SOD 33 č. j. 39571/2011-33</t>
  </si>
  <si>
    <t xml:space="preserve">Na žádost UK č. j. 11858/2011-II snížen skutečný přepočtený počet studentů ve stud. programu M5111 Zubní lékařství v kategorii M1 o 18. </t>
  </si>
  <si>
    <t>Celková částka podle rozpisu rozpočtu (tis. Kč)</t>
  </si>
  <si>
    <t>Jednotková částka na jednu studentohodinu (Kč)</t>
  </si>
  <si>
    <t>Výpočtová částka před zaokrouhlením (tis. Kč)</t>
  </si>
  <si>
    <t>Upravený nárok</t>
  </si>
  <si>
    <t>Příspěvek na U3V    v r. 2012 (tis. Kč)</t>
  </si>
  <si>
    <t>Počet účastníků U3V</t>
  </si>
  <si>
    <t>Počet studento- hodin</t>
  </si>
  <si>
    <t>Vysoká škola chem.-technologická v Praze</t>
  </si>
  <si>
    <t>Vysoká škola báňská - TU Ostrava</t>
  </si>
  <si>
    <t>Vysoká škola techn. a ekonomická v Č. B.</t>
  </si>
  <si>
    <t>Celková částka vyčleněná na studium SSP (tis. Kč)</t>
  </si>
  <si>
    <t>Rozsah vykrytí kalkulovaných zvýšených nákladů (%)</t>
  </si>
  <si>
    <t>Počet studentů    se SP</t>
  </si>
  <si>
    <t>Kalkulované zvýšené náklady (Kč)</t>
  </si>
  <si>
    <t>Janáčkova akademie múz. umění v Brně</t>
  </si>
  <si>
    <t>Rozdělení</t>
  </si>
  <si>
    <t xml:space="preserve">ukazatel G </t>
  </si>
  <si>
    <t>ARVŠ 1,8%</t>
  </si>
  <si>
    <t xml:space="preserve">projekty </t>
  </si>
  <si>
    <t>1.kolo</t>
  </si>
  <si>
    <t>2.kolo</t>
  </si>
  <si>
    <t>Temat. okruh A (93 b.)</t>
  </si>
  <si>
    <t>Temat. okruhy  E,F,G</t>
  </si>
  <si>
    <t>Vysoká škola</t>
  </si>
  <si>
    <t>dotace IV</t>
  </si>
  <si>
    <t>počet projektů</t>
  </si>
  <si>
    <t>dotace NIV</t>
  </si>
  <si>
    <t>dotace celkem</t>
  </si>
  <si>
    <t>projekty celkem</t>
  </si>
  <si>
    <t>Univerzita Karlova v Praze *)</t>
  </si>
  <si>
    <t>Vysoká škola technická a ekonomická v Č. B.</t>
  </si>
  <si>
    <t>2.kolo výb. řízení</t>
  </si>
  <si>
    <r>
      <t xml:space="preserve">Rozdílová tabulka
</t>
    </r>
    <r>
      <rPr>
        <sz val="10"/>
        <color theme="1"/>
        <rFont val="Arial"/>
        <family val="2"/>
        <charset val="238"/>
      </rPr>
      <t>(rok 2012 vs rok 2011)</t>
    </r>
  </si>
  <si>
    <t>Ukazatel F - podpora financování zvýšených nákladů souvisejících se studiem studentů se specifickými potřebami</t>
  </si>
  <si>
    <t>Ukazatel F - podpora financování nákladů souvisejících se vzděláváním seniorů prostřednictvím tzv. Univerzit třetího věku</t>
  </si>
  <si>
    <t>Soukromé vysoké školy</t>
  </si>
  <si>
    <t>Počet studentů s nárokem na ubytovací stipendium závisí na údaji uvedeném v SIMS (k 31.10.2011 je to 11 728), který je generován automaticky dle zadaných parametrů, a dále na faktu, kolik studentů o stipendium skutečně požádá svoji vysokou školu. S ohledem na zkušenosti z předchozích let, kdy žádosti o stipendium podané soukromou vysokou školou dosahovaly cca 91% údajů v SIMS, byl i údaj pro rok 2012 v této míře upraven. Částka alokovaná na ubytovací stipendia pro studenty soukromých vysokých škol v roce 2012 je ve výši 57 282 tis. Kč.</t>
  </si>
  <si>
    <t>Ukazatel U - ubytovací stipendium na rok 2012</t>
  </si>
  <si>
    <t>Ukazatel J - dotace na ubytování a stravování studentů 2012</t>
  </si>
  <si>
    <t>Ukazatel C - stipendia pro doktorandy v roce 2012</t>
  </si>
  <si>
    <t>Ukazatel G - fond rozvoje vysokých škol (FRVŠ)</t>
  </si>
  <si>
    <t>Rozpočtový okruh 1, institucionální část rozpočtu</t>
  </si>
  <si>
    <r>
      <rPr>
        <b/>
        <sz val="14"/>
        <color theme="1"/>
        <rFont val="Arial"/>
        <family val="2"/>
        <charset val="238"/>
      </rPr>
      <t xml:space="preserve">Rok 2011 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(skutečný rozpočet - institucionální část)</t>
    </r>
  </si>
  <si>
    <r>
      <rPr>
        <b/>
        <sz val="14"/>
        <color theme="1"/>
        <rFont val="Arial"/>
        <family val="2"/>
        <charset val="238"/>
      </rPr>
      <t>Rok 2012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indexed="8"/>
        <rFont val="Arial"/>
        <family val="2"/>
        <charset val="238"/>
      </rPr>
      <t>(návrh rozpočtu 2012 - institucionální část)</t>
    </r>
  </si>
  <si>
    <t>Meziroční změna v roční výpočtové částce na jedno stipendium</t>
  </si>
  <si>
    <t>Příspěvek na studium SSP    v r. 2012 
(tis. Kč)</t>
  </si>
  <si>
    <t>Zahraniční studenti (mezinárodní dohody)</t>
  </si>
  <si>
    <t>Cestovní náhrady</t>
  </si>
  <si>
    <t>Bilance zdrojů pro rozdělení příspěvku a dotací vysokým školám v r.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</si>
</sst>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Kč&quot;;[Red]\-#,##0\ &quot;Kč&quot;"/>
    <numFmt numFmtId="8" formatCode="#,##0.00\ &quot;Kč&quot;;[Red]\-#,##0.00\ &quot;Kč&quot;"/>
    <numFmt numFmtId="164" formatCode="0.0%"/>
    <numFmt numFmtId="165" formatCode="#,##0\ &quot;Kč&quot;"/>
    <numFmt numFmtId="166" formatCode="0.0"/>
    <numFmt numFmtId="167" formatCode="#,##0_ ;[Red]\-#,##0\ ;\–\ "/>
    <numFmt numFmtId="168" formatCode="#,##0.0_ ;[Red]\-#,##0.0\ ;\–\ "/>
    <numFmt numFmtId="169" formatCode="0.000"/>
    <numFmt numFmtId="170" formatCode="#,##0.0"/>
    <numFmt numFmtId="171" formatCode="#,##0.0000"/>
    <numFmt numFmtId="172" formatCode="#,##0.00000"/>
    <numFmt numFmtId="173" formatCode="0.000%"/>
    <numFmt numFmtId="174" formatCode="#,##0.00_ ;[Red]\-#,##0.00\ "/>
    <numFmt numFmtId="175" formatCode="#,##0.000"/>
  </numFmts>
  <fonts count="7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 CE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name val="Times New Roman CE"/>
      <family val="1"/>
      <charset val="238"/>
    </font>
    <font>
      <b/>
      <sz val="16"/>
      <color rgb="FFFF0000"/>
      <name val="Arial CE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28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5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i/>
      <sz val="11"/>
      <color rgb="FF808080"/>
      <name val="Arial"/>
      <family val="2"/>
      <charset val="238"/>
    </font>
    <font>
      <i/>
      <sz val="11"/>
      <color rgb="FF808080"/>
      <name val="Arial"/>
      <family val="2"/>
      <charset val="238"/>
    </font>
    <font>
      <i/>
      <sz val="12"/>
      <color rgb="FF808080"/>
      <name val="Arial"/>
      <family val="2"/>
      <charset val="238"/>
    </font>
    <font>
      <b/>
      <i/>
      <sz val="12"/>
      <color rgb="FF808080"/>
      <name val="Arial"/>
      <family val="2"/>
      <charset val="238"/>
    </font>
    <font>
      <b/>
      <sz val="14"/>
      <color theme="1"/>
      <name val="Arial"/>
      <family val="2"/>
      <charset val="238"/>
    </font>
    <font>
      <sz val="6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5"/>
      <color theme="1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8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0" tint="-0.499984740745262"/>
      <name val="Arial"/>
      <family val="2"/>
      <charset val="238"/>
    </font>
    <font>
      <b/>
      <sz val="25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10"/>
      </right>
      <top style="double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10"/>
      </right>
      <top style="double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10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10"/>
      </bottom>
      <diagonal/>
    </border>
    <border>
      <left style="double">
        <color indexed="64"/>
      </left>
      <right/>
      <top/>
      <bottom style="double">
        <color indexed="10"/>
      </bottom>
      <diagonal/>
    </border>
    <border>
      <left style="double">
        <color rgb="FFFF0000"/>
      </left>
      <right style="double">
        <color rgb="FFFF0000"/>
      </right>
      <top/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 style="double">
        <color indexed="10"/>
      </bottom>
      <diagonal/>
    </border>
    <border>
      <left style="thin">
        <color indexed="64"/>
      </left>
      <right/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64"/>
      </right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10"/>
      </bottom>
      <diagonal/>
    </border>
    <border>
      <left style="double">
        <color indexed="64"/>
      </left>
      <right/>
      <top style="double">
        <color indexed="64"/>
      </top>
      <bottom style="double">
        <color indexed="10"/>
      </bottom>
      <diagonal/>
    </border>
    <border>
      <left style="double">
        <color rgb="FFFF0000"/>
      </left>
      <right style="double">
        <color rgb="FFFF0000"/>
      </right>
      <top style="double">
        <color indexed="64"/>
      </top>
      <bottom style="double">
        <color indexed="10"/>
      </bottom>
      <diagonal/>
    </border>
    <border>
      <left/>
      <right style="thin">
        <color indexed="64"/>
      </right>
      <top style="double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10"/>
      </bottom>
      <diagonal/>
    </border>
    <border>
      <left style="thin">
        <color indexed="64"/>
      </left>
      <right/>
      <top style="double">
        <color indexed="64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64"/>
      </top>
      <bottom style="double">
        <color indexed="10"/>
      </bottom>
      <diagonal/>
    </border>
    <border>
      <left/>
      <right style="double">
        <color indexed="64"/>
      </right>
      <top style="double">
        <color indexed="64"/>
      </top>
      <bottom style="double">
        <color indexed="1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3" fillId="0" borderId="0"/>
    <xf numFmtId="0" fontId="1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63" fillId="0" borderId="0"/>
    <xf numFmtId="0" fontId="11" fillId="0" borderId="0"/>
  </cellStyleXfs>
  <cellXfs count="1056">
    <xf numFmtId="0" fontId="0" fillId="0" borderId="0" xfId="0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1" fontId="4" fillId="0" borderId="37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164" fontId="11" fillId="0" borderId="0" xfId="3" applyNumberFormat="1" applyFont="1" applyFill="1" applyAlignment="1">
      <alignment vertical="center"/>
    </xf>
    <xf numFmtId="164" fontId="11" fillId="0" borderId="0" xfId="3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vertical="center"/>
    </xf>
    <xf numFmtId="164" fontId="19" fillId="0" borderId="0" xfId="5" applyNumberFormat="1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164" fontId="18" fillId="0" borderId="0" xfId="5" applyNumberFormat="1" applyFont="1" applyFill="1" applyBorder="1" applyAlignment="1" applyProtection="1">
      <alignment horizontal="right" vertical="center"/>
    </xf>
    <xf numFmtId="49" fontId="18" fillId="0" borderId="0" xfId="4" applyNumberFormat="1" applyFont="1" applyFill="1" applyBorder="1" applyAlignment="1" applyProtection="1">
      <alignment horizontal="left" vertical="center"/>
    </xf>
    <xf numFmtId="164" fontId="20" fillId="0" borderId="0" xfId="5" applyNumberFormat="1" applyFont="1" applyFill="1" applyBorder="1" applyAlignment="1" applyProtection="1">
      <alignment horizontal="right" vertical="center"/>
    </xf>
    <xf numFmtId="0" fontId="27" fillId="0" borderId="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0" fontId="27" fillId="0" borderId="0" xfId="3" applyFont="1"/>
    <xf numFmtId="0" fontId="27" fillId="0" borderId="0" xfId="3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/>
    <xf numFmtId="0" fontId="11" fillId="0" borderId="0" xfId="0" applyFont="1" applyAlignment="1">
      <alignment vertical="center"/>
    </xf>
    <xf numFmtId="0" fontId="11" fillId="0" borderId="0" xfId="36" applyFont="1" applyAlignment="1">
      <alignment vertical="center"/>
    </xf>
    <xf numFmtId="0" fontId="11" fillId="0" borderId="28" xfId="36" applyFont="1" applyBorder="1" applyAlignment="1">
      <alignment horizontal="center" vertical="center"/>
    </xf>
    <xf numFmtId="0" fontId="11" fillId="0" borderId="29" xfId="36" applyFont="1" applyBorder="1" applyAlignment="1">
      <alignment horizontal="centerContinuous" vertical="center"/>
    </xf>
    <xf numFmtId="0" fontId="11" fillId="0" borderId="31" xfId="36" applyFont="1" applyBorder="1" applyAlignment="1">
      <alignment horizontal="centerContinuous" vertical="center"/>
    </xf>
    <xf numFmtId="0" fontId="11" fillId="0" borderId="65" xfId="36" applyFont="1" applyBorder="1" applyAlignment="1">
      <alignment horizontal="centerContinuous" vertical="center"/>
    </xf>
    <xf numFmtId="0" fontId="11" fillId="0" borderId="39" xfId="36" applyFont="1" applyFill="1" applyBorder="1" applyAlignment="1">
      <alignment horizontal="center" vertical="center"/>
    </xf>
    <xf numFmtId="0" fontId="11" fillId="0" borderId="41" xfId="36" applyFont="1" applyBorder="1" applyAlignment="1">
      <alignment horizontal="center" vertical="center" wrapText="1"/>
    </xf>
    <xf numFmtId="0" fontId="11" fillId="0" borderId="23" xfId="36" applyFont="1" applyBorder="1" applyAlignment="1">
      <alignment horizontal="center" vertical="center" wrapText="1"/>
    </xf>
    <xf numFmtId="0" fontId="11" fillId="0" borderId="24" xfId="36" applyFont="1" applyFill="1" applyBorder="1" applyAlignment="1">
      <alignment horizontal="center" vertical="center" wrapText="1"/>
    </xf>
    <xf numFmtId="0" fontId="11" fillId="0" borderId="64" xfId="36" applyFont="1" applyBorder="1" applyAlignment="1">
      <alignment vertical="center"/>
    </xf>
    <xf numFmtId="3" fontId="11" fillId="0" borderId="15" xfId="36" applyNumberFormat="1" applyFont="1" applyBorder="1" applyAlignment="1">
      <alignment vertical="center"/>
    </xf>
    <xf numFmtId="3" fontId="11" fillId="0" borderId="17" xfId="36" applyNumberFormat="1" applyFont="1" applyFill="1" applyBorder="1" applyAlignment="1">
      <alignment vertical="center"/>
    </xf>
    <xf numFmtId="0" fontId="11" fillId="0" borderId="19" xfId="36" applyFont="1" applyBorder="1" applyAlignment="1">
      <alignment vertical="center"/>
    </xf>
    <xf numFmtId="0" fontId="11" fillId="0" borderId="56" xfId="36" applyFont="1" applyBorder="1" applyAlignment="1">
      <alignment vertical="center"/>
    </xf>
    <xf numFmtId="0" fontId="11" fillId="0" borderId="36" xfId="36" applyFont="1" applyBorder="1" applyAlignment="1">
      <alignment vertical="center"/>
    </xf>
    <xf numFmtId="3" fontId="11" fillId="0" borderId="0" xfId="36" applyNumberFormat="1" applyFont="1" applyAlignment="1">
      <alignment vertical="center"/>
    </xf>
    <xf numFmtId="4" fontId="11" fillId="0" borderId="62" xfId="36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3" fontId="34" fillId="0" borderId="4" xfId="0" applyNumberFormat="1" applyFont="1" applyBorder="1" applyAlignment="1">
      <alignment vertical="center"/>
    </xf>
    <xf numFmtId="170" fontId="20" fillId="0" borderId="0" xfId="5" applyNumberFormat="1" applyFont="1" applyFill="1" applyBorder="1" applyAlignment="1" applyProtection="1">
      <alignment horizontal="right" vertical="center"/>
    </xf>
    <xf numFmtId="167" fontId="11" fillId="0" borderId="0" xfId="4" applyNumberFormat="1" applyFont="1" applyFill="1" applyBorder="1" applyAlignment="1">
      <alignment vertical="center"/>
    </xf>
    <xf numFmtId="164" fontId="28" fillId="0" borderId="43" xfId="0" applyNumberFormat="1" applyFont="1" applyFill="1" applyBorder="1" applyAlignment="1">
      <alignment horizontal="right" vertical="center" wrapText="1"/>
    </xf>
    <xf numFmtId="0" fontId="36" fillId="0" borderId="0" xfId="3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0" fontId="11" fillId="0" borderId="0" xfId="3"/>
    <xf numFmtId="0" fontId="11" fillId="0" borderId="0" xfId="3" applyFill="1" applyAlignment="1">
      <alignment vertical="center"/>
    </xf>
    <xf numFmtId="170" fontId="38" fillId="0" borderId="0" xfId="3" applyNumberFormat="1" applyFont="1" applyAlignment="1">
      <alignment horizontal="right" vertical="center"/>
    </xf>
    <xf numFmtId="0" fontId="38" fillId="0" borderId="0" xfId="3" applyFont="1" applyFill="1" applyBorder="1" applyAlignment="1">
      <alignment vertical="center"/>
    </xf>
    <xf numFmtId="170" fontId="11" fillId="0" borderId="0" xfId="3" applyNumberFormat="1" applyAlignment="1">
      <alignment horizontal="center" vertical="center"/>
    </xf>
    <xf numFmtId="0" fontId="11" fillId="0" borderId="0" xfId="3" applyAlignment="1">
      <alignment vertical="center"/>
    </xf>
    <xf numFmtId="3" fontId="11" fillId="0" borderId="0" xfId="3" applyNumberFormat="1" applyAlignment="1">
      <alignment vertical="center"/>
    </xf>
    <xf numFmtId="0" fontId="11" fillId="0" borderId="0" xfId="3" applyAlignment="1">
      <alignment horizontal="center" vertical="center"/>
    </xf>
    <xf numFmtId="1" fontId="34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34" fillId="0" borderId="78" xfId="3" applyFont="1" applyFill="1" applyBorder="1" applyAlignment="1">
      <alignment horizontal="center" vertical="center" wrapText="1"/>
    </xf>
    <xf numFmtId="170" fontId="34" fillId="0" borderId="79" xfId="3" applyNumberFormat="1" applyFont="1" applyFill="1" applyBorder="1" applyAlignment="1">
      <alignment horizontal="center" vertical="center" wrapText="1"/>
    </xf>
    <xf numFmtId="0" fontId="11" fillId="0" borderId="81" xfId="3" applyFill="1" applyBorder="1" applyAlignment="1">
      <alignment horizontal="center" vertical="center" wrapText="1"/>
    </xf>
    <xf numFmtId="0" fontId="11" fillId="0" borderId="82" xfId="3" applyFill="1" applyBorder="1" applyAlignment="1">
      <alignment horizontal="center" vertical="center" wrapText="1"/>
    </xf>
    <xf numFmtId="0" fontId="11" fillId="0" borderId="78" xfId="3" applyFill="1" applyBorder="1" applyAlignment="1">
      <alignment horizontal="center" vertical="center" wrapText="1"/>
    </xf>
    <xf numFmtId="0" fontId="11" fillId="0" borderId="83" xfId="3" applyFill="1" applyBorder="1" applyAlignment="1">
      <alignment horizontal="center" vertical="center" wrapText="1"/>
    </xf>
    <xf numFmtId="170" fontId="34" fillId="0" borderId="78" xfId="3" applyNumberFormat="1" applyFont="1" applyFill="1" applyBorder="1" applyAlignment="1">
      <alignment horizontal="center" vertical="center" wrapText="1"/>
    </xf>
    <xf numFmtId="3" fontId="11" fillId="0" borderId="78" xfId="3" applyNumberFormat="1" applyFill="1" applyBorder="1" applyAlignment="1">
      <alignment horizontal="center" vertical="center" wrapText="1"/>
    </xf>
    <xf numFmtId="0" fontId="11" fillId="0" borderId="84" xfId="3" applyFill="1" applyBorder="1" applyAlignment="1">
      <alignment horizontal="center" vertical="center" wrapText="1"/>
    </xf>
    <xf numFmtId="170" fontId="34" fillId="0" borderId="82" xfId="3" applyNumberFormat="1" applyFont="1" applyFill="1" applyBorder="1" applyAlignment="1">
      <alignment horizontal="center" vertical="center" wrapText="1"/>
    </xf>
    <xf numFmtId="0" fontId="11" fillId="0" borderId="85" xfId="3" applyFill="1" applyBorder="1" applyAlignment="1">
      <alignment horizontal="center" vertical="center" wrapText="1"/>
    </xf>
    <xf numFmtId="0" fontId="11" fillId="0" borderId="86" xfId="3" applyFill="1" applyBorder="1" applyAlignment="1">
      <alignment horizontal="center" vertical="center" wrapText="1"/>
    </xf>
    <xf numFmtId="0" fontId="11" fillId="0" borderId="0" xfId="3" applyFill="1" applyAlignment="1">
      <alignment horizontal="center" vertical="center"/>
    </xf>
    <xf numFmtId="0" fontId="11" fillId="0" borderId="20" xfId="3" applyBorder="1" applyAlignment="1">
      <alignment horizontal="center" vertical="center"/>
    </xf>
    <xf numFmtId="0" fontId="11" fillId="0" borderId="21" xfId="3" applyBorder="1" applyAlignment="1">
      <alignment horizontal="center" vertical="center"/>
    </xf>
    <xf numFmtId="0" fontId="11" fillId="0" borderId="88" xfId="3" applyBorder="1" applyAlignment="1">
      <alignment horizontal="center" vertical="center"/>
    </xf>
    <xf numFmtId="0" fontId="11" fillId="0" borderId="89" xfId="3" applyBorder="1" applyAlignment="1">
      <alignment horizontal="center" vertical="center"/>
    </xf>
    <xf numFmtId="0" fontId="11" fillId="0" borderId="14" xfId="3" applyBorder="1" applyAlignment="1">
      <alignment horizontal="center" vertical="center"/>
    </xf>
    <xf numFmtId="3" fontId="11" fillId="0" borderId="20" xfId="3" applyNumberFormat="1" applyBorder="1" applyAlignment="1">
      <alignment horizontal="center" vertical="center"/>
    </xf>
    <xf numFmtId="0" fontId="11" fillId="0" borderId="13" xfId="3" applyBorder="1" applyAlignment="1">
      <alignment horizontal="center" vertical="center"/>
    </xf>
    <xf numFmtId="0" fontId="11" fillId="0" borderId="90" xfId="3" applyBorder="1" applyAlignment="1">
      <alignment horizontal="center" vertical="center"/>
    </xf>
    <xf numFmtId="0" fontId="11" fillId="0" borderId="91" xfId="3" applyBorder="1" applyAlignment="1">
      <alignment horizontal="center" vertical="center"/>
    </xf>
    <xf numFmtId="0" fontId="11" fillId="0" borderId="20" xfId="3" applyBorder="1"/>
    <xf numFmtId="0" fontId="11" fillId="0" borderId="21" xfId="3" applyBorder="1"/>
    <xf numFmtId="0" fontId="11" fillId="0" borderId="88" xfId="3" applyBorder="1"/>
    <xf numFmtId="0" fontId="11" fillId="0" borderId="89" xfId="3" applyBorder="1"/>
    <xf numFmtId="0" fontId="11" fillId="0" borderId="14" xfId="3" applyBorder="1"/>
    <xf numFmtId="3" fontId="11" fillId="0" borderId="20" xfId="3" applyNumberFormat="1" applyBorder="1"/>
    <xf numFmtId="0" fontId="11" fillId="0" borderId="13" xfId="3" applyBorder="1"/>
    <xf numFmtId="0" fontId="11" fillId="0" borderId="90" xfId="3" applyBorder="1"/>
    <xf numFmtId="0" fontId="11" fillId="0" borderId="91" xfId="3" applyBorder="1"/>
    <xf numFmtId="0" fontId="11" fillId="0" borderId="20" xfId="3" applyFill="1" applyBorder="1" applyAlignment="1">
      <alignment vertical="center"/>
    </xf>
    <xf numFmtId="0" fontId="11" fillId="0" borderId="21" xfId="3" applyFill="1" applyBorder="1" applyAlignment="1">
      <alignment vertical="center"/>
    </xf>
    <xf numFmtId="170" fontId="11" fillId="0" borderId="88" xfId="3" applyNumberFormat="1" applyBorder="1" applyAlignment="1">
      <alignment vertical="center"/>
    </xf>
    <xf numFmtId="170" fontId="11" fillId="0" borderId="89" xfId="3" applyNumberFormat="1" applyBorder="1" applyAlignment="1">
      <alignment vertical="center"/>
    </xf>
    <xf numFmtId="3" fontId="11" fillId="0" borderId="20" xfId="3" applyNumberFormat="1" applyBorder="1" applyAlignment="1">
      <alignment vertical="center"/>
    </xf>
    <xf numFmtId="3" fontId="11" fillId="0" borderId="14" xfId="3" applyNumberFormat="1" applyBorder="1" applyAlignment="1">
      <alignment vertical="center"/>
    </xf>
    <xf numFmtId="172" fontId="11" fillId="0" borderId="20" xfId="3" applyNumberFormat="1" applyBorder="1" applyAlignment="1">
      <alignment vertical="center"/>
    </xf>
    <xf numFmtId="170" fontId="11" fillId="0" borderId="20" xfId="3" applyNumberFormat="1" applyBorder="1"/>
    <xf numFmtId="170" fontId="11" fillId="0" borderId="13" xfId="3" applyNumberFormat="1" applyBorder="1"/>
    <xf numFmtId="170" fontId="11" fillId="0" borderId="89" xfId="3" applyNumberFormat="1" applyBorder="1"/>
    <xf numFmtId="3" fontId="11" fillId="0" borderId="90" xfId="3" applyNumberFormat="1" applyFill="1" applyBorder="1" applyAlignment="1">
      <alignment vertical="center"/>
    </xf>
    <xf numFmtId="3" fontId="11" fillId="0" borderId="91" xfId="3" applyNumberFormat="1" applyFill="1" applyBorder="1" applyAlignment="1">
      <alignment vertical="center"/>
    </xf>
    <xf numFmtId="0" fontId="39" fillId="0" borderId="54" xfId="3" applyFont="1" applyFill="1" applyBorder="1" applyAlignment="1">
      <alignment vertical="center"/>
    </xf>
    <xf numFmtId="0" fontId="11" fillId="0" borderId="52" xfId="3" applyFont="1" applyFill="1" applyBorder="1" applyAlignment="1">
      <alignment vertical="center"/>
    </xf>
    <xf numFmtId="170" fontId="11" fillId="0" borderId="88" xfId="3" applyNumberFormat="1" applyFill="1" applyBorder="1" applyAlignment="1">
      <alignment vertical="center"/>
    </xf>
    <xf numFmtId="4" fontId="11" fillId="0" borderId="20" xfId="3" applyNumberFormat="1" applyFill="1" applyBorder="1" applyAlignment="1">
      <alignment vertical="center"/>
    </xf>
    <xf numFmtId="172" fontId="11" fillId="0" borderId="20" xfId="3" applyNumberFormat="1" applyFill="1" applyBorder="1" applyAlignment="1">
      <alignment vertical="center"/>
    </xf>
    <xf numFmtId="4" fontId="11" fillId="0" borderId="20" xfId="3" applyNumberFormat="1" applyBorder="1" applyAlignment="1">
      <alignment vertical="center"/>
    </xf>
    <xf numFmtId="4" fontId="11" fillId="0" borderId="89" xfId="3" applyNumberFormat="1" applyBorder="1" applyAlignment="1">
      <alignment vertical="center"/>
    </xf>
    <xf numFmtId="0" fontId="11" fillId="0" borderId="54" xfId="3" applyFill="1" applyBorder="1" applyAlignment="1">
      <alignment vertical="center"/>
    </xf>
    <xf numFmtId="0" fontId="11" fillId="0" borderId="52" xfId="3" applyFill="1" applyBorder="1" applyAlignment="1">
      <alignment vertical="center"/>
    </xf>
    <xf numFmtId="4" fontId="11" fillId="0" borderId="20" xfId="3" applyNumberFormat="1" applyBorder="1"/>
    <xf numFmtId="4" fontId="11" fillId="0" borderId="89" xfId="3" applyNumberFormat="1" applyBorder="1"/>
    <xf numFmtId="0" fontId="34" fillId="8" borderId="2" xfId="3" applyFont="1" applyFill="1" applyBorder="1" applyAlignment="1">
      <alignment vertical="center"/>
    </xf>
    <xf numFmtId="0" fontId="34" fillId="8" borderId="3" xfId="3" applyFont="1" applyFill="1" applyBorder="1" applyAlignment="1">
      <alignment vertical="center"/>
    </xf>
    <xf numFmtId="170" fontId="11" fillId="8" borderId="93" xfId="3" applyNumberFormat="1" applyFill="1" applyBorder="1" applyAlignment="1"/>
    <xf numFmtId="3" fontId="11" fillId="8" borderId="2" xfId="3" applyNumberFormat="1" applyFill="1" applyBorder="1" applyAlignment="1"/>
    <xf numFmtId="3" fontId="11" fillId="8" borderId="68" xfId="3" applyNumberFormat="1" applyFill="1" applyBorder="1" applyAlignment="1"/>
    <xf numFmtId="3" fontId="11" fillId="8" borderId="94" xfId="3" applyNumberFormat="1" applyFill="1" applyBorder="1" applyAlignment="1"/>
    <xf numFmtId="3" fontId="11" fillId="8" borderId="95" xfId="3" applyNumberFormat="1" applyFill="1" applyBorder="1" applyAlignment="1"/>
    <xf numFmtId="3" fontId="11" fillId="8" borderId="96" xfId="3" applyNumberFormat="1" applyFill="1" applyBorder="1" applyAlignment="1"/>
    <xf numFmtId="3" fontId="11" fillId="8" borderId="97" xfId="3" applyNumberFormat="1" applyFill="1" applyBorder="1" applyAlignment="1"/>
    <xf numFmtId="0" fontId="11" fillId="0" borderId="15" xfId="3" applyBorder="1" applyAlignment="1">
      <alignment vertical="center"/>
    </xf>
    <xf numFmtId="0" fontId="11" fillId="0" borderId="20" xfId="3" applyBorder="1" applyAlignment="1">
      <alignment vertical="center"/>
    </xf>
    <xf numFmtId="0" fontId="11" fillId="0" borderId="54" xfId="3" applyBorder="1" applyAlignment="1">
      <alignment vertical="center"/>
    </xf>
    <xf numFmtId="3" fontId="11" fillId="0" borderId="14" xfId="3" applyNumberFormat="1" applyFill="1" applyBorder="1" applyAlignment="1">
      <alignment vertical="center"/>
    </xf>
    <xf numFmtId="0" fontId="11" fillId="0" borderId="15" xfId="3" applyFill="1" applyBorder="1" applyAlignment="1">
      <alignment vertical="center"/>
    </xf>
    <xf numFmtId="0" fontId="11" fillId="0" borderId="8" xfId="3" applyFill="1" applyBorder="1" applyAlignment="1">
      <alignment vertical="center"/>
    </xf>
    <xf numFmtId="0" fontId="39" fillId="0" borderId="20" xfId="3" applyFont="1" applyFill="1" applyBorder="1" applyAlignment="1">
      <alignment vertical="center"/>
    </xf>
    <xf numFmtId="0" fontId="11" fillId="0" borderId="15" xfId="3" applyFont="1" applyFill="1" applyBorder="1" applyAlignment="1">
      <alignment vertical="center"/>
    </xf>
    <xf numFmtId="0" fontId="11" fillId="0" borderId="20" xfId="3" applyFont="1" applyFill="1" applyBorder="1" applyAlignment="1">
      <alignment vertical="center"/>
    </xf>
    <xf numFmtId="0" fontId="11" fillId="0" borderId="54" xfId="3" applyFont="1" applyFill="1" applyBorder="1" applyAlignment="1">
      <alignment vertical="center"/>
    </xf>
    <xf numFmtId="170" fontId="11" fillId="8" borderId="98" xfId="3" applyNumberFormat="1" applyFill="1" applyBorder="1" applyAlignment="1"/>
    <xf numFmtId="170" fontId="11" fillId="8" borderId="99" xfId="3" applyNumberFormat="1" applyFill="1" applyBorder="1" applyAlignment="1"/>
    <xf numFmtId="0" fontId="34" fillId="6" borderId="100" xfId="3" applyFont="1" applyFill="1" applyBorder="1" applyAlignment="1">
      <alignment vertical="center"/>
    </xf>
    <xf numFmtId="0" fontId="34" fillId="6" borderId="101" xfId="3" applyFont="1" applyFill="1" applyBorder="1" applyAlignment="1">
      <alignment vertical="center"/>
    </xf>
    <xf numFmtId="3" fontId="11" fillId="6" borderId="102" xfId="3" applyNumberFormat="1" applyFill="1" applyBorder="1" applyAlignment="1">
      <alignment vertical="center"/>
    </xf>
    <xf numFmtId="170" fontId="11" fillId="6" borderId="103" xfId="3" applyNumberFormat="1" applyFill="1" applyBorder="1" applyAlignment="1">
      <alignment vertical="center"/>
    </xf>
    <xf numFmtId="170" fontId="11" fillId="6" borderId="104" xfId="3" applyNumberFormat="1" applyFill="1" applyBorder="1" applyAlignment="1">
      <alignment vertical="center"/>
    </xf>
    <xf numFmtId="3" fontId="11" fillId="6" borderId="105" xfId="3" applyNumberFormat="1" applyFill="1" applyBorder="1" applyAlignment="1">
      <alignment vertical="center"/>
    </xf>
    <xf numFmtId="3" fontId="11" fillId="6" borderId="106" xfId="3" applyNumberFormat="1" applyFill="1" applyBorder="1" applyAlignment="1">
      <alignment vertical="center"/>
    </xf>
    <xf numFmtId="3" fontId="11" fillId="6" borderId="107" xfId="3" applyNumberFormat="1" applyFill="1" applyBorder="1" applyAlignment="1">
      <alignment vertical="center"/>
    </xf>
    <xf numFmtId="3" fontId="11" fillId="6" borderId="108" xfId="3" applyNumberFormat="1" applyFill="1" applyBorder="1" applyAlignment="1">
      <alignment vertical="center"/>
    </xf>
    <xf numFmtId="3" fontId="11" fillId="6" borderId="109" xfId="3" applyNumberFormat="1" applyFill="1" applyBorder="1" applyAlignment="1">
      <alignment vertical="center"/>
    </xf>
    <xf numFmtId="3" fontId="11" fillId="6" borderId="110" xfId="3" applyNumberFormat="1" applyFill="1" applyBorder="1" applyAlignment="1">
      <alignment vertical="center"/>
    </xf>
    <xf numFmtId="0" fontId="34" fillId="6" borderId="111" xfId="3" applyFont="1" applyFill="1" applyBorder="1" applyAlignment="1">
      <alignment vertical="center"/>
    </xf>
    <xf numFmtId="0" fontId="34" fillId="6" borderId="112" xfId="3" applyFont="1" applyFill="1" applyBorder="1" applyAlignment="1">
      <alignment vertical="center"/>
    </xf>
    <xf numFmtId="3" fontId="11" fillId="6" borderId="113" xfId="3" applyNumberFormat="1" applyFill="1" applyBorder="1" applyAlignment="1">
      <alignment vertical="center"/>
    </xf>
    <xf numFmtId="170" fontId="11" fillId="6" borderId="114" xfId="3" applyNumberFormat="1" applyFill="1" applyBorder="1" applyAlignment="1">
      <alignment vertical="center"/>
    </xf>
    <xf numFmtId="170" fontId="11" fillId="6" borderId="115" xfId="3" applyNumberFormat="1" applyFill="1" applyBorder="1" applyAlignment="1">
      <alignment vertical="center"/>
    </xf>
    <xf numFmtId="3" fontId="11" fillId="6" borderId="116" xfId="3" applyNumberFormat="1" applyFill="1" applyBorder="1" applyAlignment="1">
      <alignment vertical="center"/>
    </xf>
    <xf numFmtId="3" fontId="11" fillId="6" borderId="117" xfId="3" applyNumberFormat="1" applyFill="1" applyBorder="1" applyAlignment="1">
      <alignment vertical="center"/>
    </xf>
    <xf numFmtId="3" fontId="11" fillId="6" borderId="118" xfId="3" applyNumberFormat="1" applyFill="1" applyBorder="1" applyAlignment="1">
      <alignment vertical="center"/>
    </xf>
    <xf numFmtId="3" fontId="11" fillId="6" borderId="119" xfId="3" applyNumberFormat="1" applyFill="1" applyBorder="1" applyAlignment="1">
      <alignment vertical="center"/>
    </xf>
    <xf numFmtId="3" fontId="11" fillId="6" borderId="120" xfId="3" applyNumberFormat="1" applyFill="1" applyBorder="1" applyAlignment="1">
      <alignment vertical="center"/>
    </xf>
    <xf numFmtId="3" fontId="11" fillId="6" borderId="121" xfId="3" applyNumberFormat="1" applyFill="1" applyBorder="1" applyAlignment="1">
      <alignment vertical="center"/>
    </xf>
    <xf numFmtId="170" fontId="11" fillId="6" borderId="122" xfId="3" applyNumberFormat="1" applyFill="1" applyBorder="1" applyAlignment="1">
      <alignment vertical="center"/>
    </xf>
    <xf numFmtId="170" fontId="11" fillId="6" borderId="123" xfId="3" applyNumberFormat="1" applyFill="1" applyBorder="1" applyAlignment="1">
      <alignment vertical="center"/>
    </xf>
    <xf numFmtId="3" fontId="11" fillId="6" borderId="124" xfId="3" applyNumberFormat="1" applyFill="1" applyBorder="1" applyAlignment="1">
      <alignment vertical="center"/>
    </xf>
    <xf numFmtId="3" fontId="11" fillId="6" borderId="111" xfId="3" applyNumberFormat="1" applyFill="1" applyBorder="1" applyAlignment="1">
      <alignment vertical="center"/>
    </xf>
    <xf numFmtId="3" fontId="11" fillId="6" borderId="112" xfId="3" applyNumberFormat="1" applyFill="1" applyBorder="1" applyAlignment="1">
      <alignment vertical="center"/>
    </xf>
    <xf numFmtId="3" fontId="11" fillId="6" borderId="125" xfId="3" applyNumberFormat="1" applyFill="1" applyBorder="1" applyAlignment="1">
      <alignment vertical="center"/>
    </xf>
    <xf numFmtId="3" fontId="11" fillId="6" borderId="126" xfId="3" applyNumberFormat="1" applyFill="1" applyBorder="1" applyAlignment="1">
      <alignment vertical="center"/>
    </xf>
    <xf numFmtId="3" fontId="11" fillId="0" borderId="0" xfId="3" applyNumberFormat="1"/>
    <xf numFmtId="0" fontId="36" fillId="0" borderId="0" xfId="3" applyFont="1" applyAlignment="1">
      <alignment vertical="center"/>
    </xf>
    <xf numFmtId="0" fontId="11" fillId="0" borderId="21" xfId="3" applyBorder="1" applyAlignment="1">
      <alignment vertical="center"/>
    </xf>
    <xf numFmtId="0" fontId="11" fillId="0" borderId="13" xfId="3" applyBorder="1" applyAlignment="1">
      <alignment vertical="center"/>
    </xf>
    <xf numFmtId="0" fontId="11" fillId="0" borderId="14" xfId="3" applyBorder="1" applyAlignment="1">
      <alignment vertical="center"/>
    </xf>
    <xf numFmtId="3" fontId="11" fillId="0" borderId="20" xfId="3" applyNumberFormat="1" applyFont="1" applyBorder="1" applyAlignment="1">
      <alignment vertical="center"/>
    </xf>
    <xf numFmtId="0" fontId="11" fillId="0" borderId="21" xfId="3" applyFont="1" applyFill="1" applyBorder="1"/>
    <xf numFmtId="0" fontId="11" fillId="0" borderId="13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3" fontId="11" fillId="0" borderId="20" xfId="3" applyNumberFormat="1" applyFont="1" applyFill="1" applyBorder="1"/>
    <xf numFmtId="170" fontId="11" fillId="0" borderId="20" xfId="3" applyNumberFormat="1" applyFont="1" applyBorder="1" applyAlignment="1">
      <alignment vertical="center"/>
    </xf>
    <xf numFmtId="0" fontId="11" fillId="0" borderId="13" xfId="3" applyFont="1" applyFill="1" applyBorder="1"/>
    <xf numFmtId="0" fontId="11" fillId="0" borderId="14" xfId="3" applyFont="1" applyFill="1" applyBorder="1"/>
    <xf numFmtId="3" fontId="11" fillId="0" borderId="20" xfId="3" applyNumberFormat="1" applyFont="1" applyFill="1" applyBorder="1" applyAlignment="1">
      <alignment vertical="center"/>
    </xf>
    <xf numFmtId="3" fontId="11" fillId="0" borderId="21" xfId="3" applyNumberFormat="1" applyBorder="1" applyAlignment="1">
      <alignment vertical="center"/>
    </xf>
    <xf numFmtId="10" fontId="11" fillId="0" borderId="20" xfId="3" applyNumberFormat="1" applyFont="1" applyBorder="1" applyAlignment="1">
      <alignment vertical="center"/>
    </xf>
    <xf numFmtId="0" fontId="11" fillId="0" borderId="0" xfId="3" applyFont="1" applyFill="1" applyAlignment="1">
      <alignment horizontal="center" vertical="center"/>
    </xf>
    <xf numFmtId="4" fontId="11" fillId="0" borderId="20" xfId="3" applyNumberFormat="1" applyFill="1" applyBorder="1"/>
    <xf numFmtId="0" fontId="11" fillId="0" borderId="2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/>
    <xf numFmtId="4" fontId="11" fillId="0" borderId="20" xfId="3" applyNumberFormat="1" applyFont="1" applyBorder="1" applyAlignment="1">
      <alignment vertical="center"/>
    </xf>
    <xf numFmtId="0" fontId="40" fillId="0" borderId="0" xfId="3" applyFont="1" applyAlignment="1">
      <alignment vertical="center"/>
    </xf>
    <xf numFmtId="1" fontId="11" fillId="0" borderId="0" xfId="3" applyNumberFormat="1" applyAlignment="1">
      <alignment vertical="center"/>
    </xf>
    <xf numFmtId="3" fontId="34" fillId="0" borderId="0" xfId="3" applyNumberFormat="1" applyFont="1" applyFill="1" applyAlignment="1">
      <alignment vertical="center"/>
    </xf>
    <xf numFmtId="0" fontId="34" fillId="9" borderId="20" xfId="3" applyFont="1" applyFill="1" applyBorder="1" applyAlignment="1">
      <alignment horizontal="center" vertical="center" wrapText="1"/>
    </xf>
    <xf numFmtId="3" fontId="34" fillId="9" borderId="20" xfId="3" applyNumberFormat="1" applyFont="1" applyFill="1" applyBorder="1" applyAlignment="1">
      <alignment horizontal="center" vertical="center" wrapText="1"/>
    </xf>
    <xf numFmtId="4" fontId="34" fillId="9" borderId="20" xfId="3" applyNumberFormat="1" applyFont="1" applyFill="1" applyBorder="1" applyAlignment="1">
      <alignment horizontal="center" vertical="center" wrapText="1"/>
    </xf>
    <xf numFmtId="0" fontId="34" fillId="9" borderId="20" xfId="3" applyFont="1" applyFill="1" applyBorder="1" applyAlignment="1">
      <alignment vertical="center"/>
    </xf>
    <xf numFmtId="3" fontId="34" fillId="9" borderId="20" xfId="3" applyNumberFormat="1" applyFont="1" applyFill="1" applyBorder="1" applyAlignment="1">
      <alignment vertical="center"/>
    </xf>
    <xf numFmtId="4" fontId="34" fillId="9" borderId="20" xfId="3" applyNumberFormat="1" applyFont="1" applyFill="1" applyBorder="1" applyAlignment="1">
      <alignment vertical="center"/>
    </xf>
    <xf numFmtId="0" fontId="34" fillId="3" borderId="20" xfId="3" applyFont="1" applyFill="1" applyBorder="1" applyAlignment="1">
      <alignment vertical="center"/>
    </xf>
    <xf numFmtId="3" fontId="34" fillId="3" borderId="20" xfId="3" applyNumberFormat="1" applyFont="1" applyFill="1" applyBorder="1" applyAlignment="1">
      <alignment vertical="center"/>
    </xf>
    <xf numFmtId="4" fontId="34" fillId="3" borderId="20" xfId="3" applyNumberFormat="1" applyFont="1" applyFill="1" applyBorder="1" applyAlignment="1">
      <alignment vertical="center"/>
    </xf>
    <xf numFmtId="0" fontId="34" fillId="7" borderId="20" xfId="3" applyFont="1" applyFill="1" applyBorder="1" applyAlignment="1">
      <alignment vertical="center"/>
    </xf>
    <xf numFmtId="3" fontId="34" fillId="7" borderId="20" xfId="3" applyNumberFormat="1" applyFont="1" applyFill="1" applyBorder="1" applyAlignment="1">
      <alignment vertical="center"/>
    </xf>
    <xf numFmtId="4" fontId="34" fillId="7" borderId="20" xfId="3" applyNumberFormat="1" applyFont="1" applyFill="1" applyBorder="1" applyAlignment="1">
      <alignment vertical="center"/>
    </xf>
    <xf numFmtId="0" fontId="34" fillId="10" borderId="20" xfId="3" applyFont="1" applyFill="1" applyBorder="1" applyAlignment="1">
      <alignment vertical="center"/>
    </xf>
    <xf numFmtId="3" fontId="34" fillId="10" borderId="20" xfId="3" applyNumberFormat="1" applyFont="1" applyFill="1" applyBorder="1" applyAlignment="1">
      <alignment vertical="center"/>
    </xf>
    <xf numFmtId="4" fontId="34" fillId="10" borderId="20" xfId="3" applyNumberFormat="1" applyFont="1" applyFill="1" applyBorder="1" applyAlignment="1">
      <alignment vertical="center"/>
    </xf>
    <xf numFmtId="0" fontId="34" fillId="10" borderId="23" xfId="3" applyFont="1" applyFill="1" applyBorder="1" applyAlignment="1">
      <alignment vertical="center"/>
    </xf>
    <xf numFmtId="3" fontId="34" fillId="10" borderId="23" xfId="3" applyNumberFormat="1" applyFont="1" applyFill="1" applyBorder="1" applyAlignment="1">
      <alignment vertical="center"/>
    </xf>
    <xf numFmtId="4" fontId="34" fillId="10" borderId="23" xfId="3" applyNumberFormat="1" applyFont="1" applyFill="1" applyBorder="1" applyAlignment="1">
      <alignment vertical="center"/>
    </xf>
    <xf numFmtId="0" fontId="34" fillId="0" borderId="56" xfId="3" applyFont="1" applyBorder="1" applyAlignment="1">
      <alignment vertical="center"/>
    </xf>
    <xf numFmtId="0" fontId="34" fillId="0" borderId="36" xfId="3" applyFont="1" applyBorder="1" applyAlignment="1">
      <alignment vertical="center"/>
    </xf>
    <xf numFmtId="3" fontId="34" fillId="0" borderId="36" xfId="3" applyNumberFormat="1" applyFont="1" applyBorder="1" applyAlignment="1">
      <alignment vertical="center"/>
    </xf>
    <xf numFmtId="4" fontId="11" fillId="0" borderId="0" xfId="3" applyNumberFormat="1"/>
    <xf numFmtId="172" fontId="11" fillId="0" borderId="0" xfId="3" applyNumberFormat="1"/>
    <xf numFmtId="170" fontId="9" fillId="0" borderId="0" xfId="3" applyNumberFormat="1" applyFont="1" applyFill="1" applyBorder="1" applyAlignment="1">
      <alignment horizontal="center" vertical="center" wrapText="1"/>
    </xf>
    <xf numFmtId="170" fontId="11" fillId="0" borderId="0" xfId="3" applyNumberFormat="1"/>
    <xf numFmtId="170" fontId="11" fillId="0" borderId="80" xfId="3" applyNumberFormat="1" applyFill="1" applyBorder="1" applyAlignment="1">
      <alignment horizontal="center" vertical="center" wrapText="1"/>
    </xf>
    <xf numFmtId="170" fontId="11" fillId="0" borderId="87" xfId="3" applyNumberFormat="1" applyBorder="1" applyAlignment="1">
      <alignment horizontal="center" vertical="center"/>
    </xf>
    <xf numFmtId="170" fontId="11" fillId="0" borderId="87" xfId="3" applyNumberFormat="1" applyBorder="1" applyAlignment="1">
      <alignment horizontal="center"/>
    </xf>
    <xf numFmtId="170" fontId="11" fillId="0" borderId="87" xfId="3" applyNumberFormat="1" applyBorder="1" applyAlignment="1">
      <alignment vertical="center"/>
    </xf>
    <xf numFmtId="170" fontId="11" fillId="0" borderId="87" xfId="3" applyNumberFormat="1" applyFill="1" applyBorder="1" applyAlignment="1">
      <alignment vertical="center"/>
    </xf>
    <xf numFmtId="170" fontId="11" fillId="8" borderId="92" xfId="3" applyNumberFormat="1" applyFill="1" applyBorder="1" applyAlignment="1"/>
    <xf numFmtId="170" fontId="11" fillId="6" borderId="102" xfId="3" applyNumberFormat="1" applyFill="1" applyBorder="1" applyAlignment="1">
      <alignment vertical="center"/>
    </xf>
    <xf numFmtId="170" fontId="11" fillId="6" borderId="113" xfId="3" applyNumberFormat="1" applyFill="1" applyBorder="1" applyAlignment="1">
      <alignment vertical="center"/>
    </xf>
    <xf numFmtId="170" fontId="11" fillId="6" borderId="121" xfId="3" applyNumberFormat="1" applyFill="1" applyBorder="1" applyAlignment="1">
      <alignment vertical="center"/>
    </xf>
    <xf numFmtId="170" fontId="11" fillId="0" borderId="13" xfId="3" applyNumberFormat="1" applyBorder="1" applyAlignment="1">
      <alignment horizontal="center" vertical="center"/>
    </xf>
    <xf numFmtId="170" fontId="11" fillId="0" borderId="0" xfId="3" applyNumberFormat="1" applyAlignment="1">
      <alignment vertical="center"/>
    </xf>
    <xf numFmtId="170" fontId="34" fillId="9" borderId="20" xfId="3" applyNumberFormat="1" applyFont="1" applyFill="1" applyBorder="1" applyAlignment="1">
      <alignment horizontal="center" vertical="center" wrapText="1"/>
    </xf>
    <xf numFmtId="170" fontId="34" fillId="9" borderId="20" xfId="3" applyNumberFormat="1" applyFont="1" applyFill="1" applyBorder="1" applyAlignment="1">
      <alignment vertical="center"/>
    </xf>
    <xf numFmtId="170" fontId="34" fillId="3" borderId="20" xfId="3" applyNumberFormat="1" applyFont="1" applyFill="1" applyBorder="1" applyAlignment="1">
      <alignment vertical="center"/>
    </xf>
    <xf numFmtId="170" fontId="34" fillId="7" borderId="20" xfId="3" applyNumberFormat="1" applyFont="1" applyFill="1" applyBorder="1" applyAlignment="1">
      <alignment vertical="center"/>
    </xf>
    <xf numFmtId="170" fontId="34" fillId="10" borderId="20" xfId="3" applyNumberFormat="1" applyFont="1" applyFill="1" applyBorder="1" applyAlignment="1">
      <alignment vertical="center"/>
    </xf>
    <xf numFmtId="170" fontId="34" fillId="10" borderId="23" xfId="3" applyNumberFormat="1" applyFont="1" applyFill="1" applyBorder="1" applyAlignment="1">
      <alignment vertical="center"/>
    </xf>
    <xf numFmtId="170" fontId="34" fillId="0" borderId="36" xfId="3" applyNumberFormat="1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5" xfId="0" applyFont="1" applyBorder="1" applyAlignment="1">
      <alignment vertical="center"/>
    </xf>
    <xf numFmtId="3" fontId="42" fillId="0" borderId="8" xfId="0" applyNumberFormat="1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0" xfId="0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2" fillId="0" borderId="2" xfId="0" applyNumberFormat="1" applyFont="1" applyBorder="1" applyAlignment="1">
      <alignment horizontal="center" vertical="center" wrapText="1"/>
    </xf>
    <xf numFmtId="3" fontId="42" fillId="0" borderId="71" xfId="0" applyNumberFormat="1" applyFont="1" applyBorder="1" applyAlignment="1">
      <alignment horizontal="center" vertical="center" wrapText="1"/>
    </xf>
    <xf numFmtId="0" fontId="42" fillId="0" borderId="0" xfId="0" applyFont="1"/>
    <xf numFmtId="0" fontId="42" fillId="0" borderId="38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3" fontId="42" fillId="0" borderId="20" xfId="0" applyNumberFormat="1" applyFont="1" applyBorder="1" applyAlignment="1">
      <alignment vertical="center"/>
    </xf>
    <xf numFmtId="10" fontId="46" fillId="0" borderId="23" xfId="0" applyNumberFormat="1" applyFont="1" applyBorder="1" applyAlignment="1">
      <alignment vertical="center"/>
    </xf>
    <xf numFmtId="10" fontId="46" fillId="0" borderId="26" xfId="0" applyNumberFormat="1" applyFont="1" applyBorder="1" applyAlignment="1">
      <alignment vertical="center"/>
    </xf>
    <xf numFmtId="0" fontId="42" fillId="0" borderId="0" xfId="0" applyFont="1" applyBorder="1"/>
    <xf numFmtId="0" fontId="47" fillId="0" borderId="0" xfId="0" applyFont="1"/>
    <xf numFmtId="3" fontId="11" fillId="0" borderId="43" xfId="1" applyNumberFormat="1" applyFont="1" applyFill="1" applyBorder="1" applyAlignment="1">
      <alignment horizontal="right" vertical="center"/>
    </xf>
    <xf numFmtId="0" fontId="11" fillId="0" borderId="51" xfId="36" applyFont="1" applyBorder="1" applyAlignment="1">
      <alignment vertical="center"/>
    </xf>
    <xf numFmtId="3" fontId="11" fillId="0" borderId="127" xfId="36" applyNumberFormat="1" applyFont="1" applyBorder="1" applyAlignment="1">
      <alignment vertical="center"/>
    </xf>
    <xf numFmtId="0" fontId="11" fillId="0" borderId="1" xfId="36" applyFont="1" applyBorder="1" applyAlignment="1">
      <alignment vertical="center"/>
    </xf>
    <xf numFmtId="3" fontId="11" fillId="0" borderId="2" xfId="36" applyNumberFormat="1" applyFont="1" applyBorder="1" applyAlignment="1">
      <alignment vertical="center"/>
    </xf>
    <xf numFmtId="4" fontId="11" fillId="0" borderId="4" xfId="36" applyNumberFormat="1" applyFont="1" applyFill="1" applyBorder="1" applyAlignment="1">
      <alignment vertical="center"/>
    </xf>
    <xf numFmtId="0" fontId="42" fillId="0" borderId="20" xfId="0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10" fontId="46" fillId="0" borderId="20" xfId="0" applyNumberFormat="1" applyFont="1" applyBorder="1" applyAlignment="1">
      <alignment vertical="center"/>
    </xf>
    <xf numFmtId="0" fontId="46" fillId="0" borderId="19" xfId="0" applyFont="1" applyFill="1" applyBorder="1" applyAlignment="1">
      <alignment vertical="center"/>
    </xf>
    <xf numFmtId="10" fontId="46" fillId="0" borderId="18" xfId="0" applyNumberFormat="1" applyFont="1" applyBorder="1" applyAlignment="1">
      <alignment vertical="center"/>
    </xf>
    <xf numFmtId="0" fontId="42" fillId="0" borderId="19" xfId="0" applyFont="1" applyFill="1" applyBorder="1" applyAlignment="1">
      <alignment vertical="center"/>
    </xf>
    <xf numFmtId="3" fontId="42" fillId="0" borderId="18" xfId="0" applyNumberFormat="1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6" fillId="0" borderId="22" xfId="0" applyFont="1" applyFill="1" applyBorder="1" applyAlignment="1">
      <alignment vertical="center"/>
    </xf>
    <xf numFmtId="0" fontId="46" fillId="0" borderId="23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63" xfId="0" applyFont="1" applyBorder="1" applyAlignment="1">
      <alignment vertical="center"/>
    </xf>
    <xf numFmtId="0" fontId="42" fillId="0" borderId="4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42" fillId="0" borderId="70" xfId="0" applyFont="1" applyBorder="1" applyAlignment="1">
      <alignment vertical="center"/>
    </xf>
    <xf numFmtId="0" fontId="42" fillId="0" borderId="53" xfId="0" applyFont="1" applyBorder="1" applyAlignment="1">
      <alignment vertical="center"/>
    </xf>
    <xf numFmtId="3" fontId="42" fillId="0" borderId="55" xfId="0" applyNumberFormat="1" applyFont="1" applyBorder="1" applyAlignment="1">
      <alignment vertical="center"/>
    </xf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2" fillId="0" borderId="36" xfId="0" applyFont="1" applyBorder="1" applyAlignment="1">
      <alignment vertical="center"/>
    </xf>
    <xf numFmtId="3" fontId="42" fillId="0" borderId="18" xfId="0" applyNumberFormat="1" applyFont="1" applyFill="1" applyBorder="1" applyAlignment="1">
      <alignment vertical="center"/>
    </xf>
    <xf numFmtId="0" fontId="47" fillId="0" borderId="0" xfId="0" applyFont="1" applyAlignment="1">
      <alignment vertical="center"/>
    </xf>
    <xf numFmtId="0" fontId="42" fillId="0" borderId="66" xfId="0" applyFont="1" applyBorder="1" applyAlignment="1">
      <alignment horizontal="center" vertical="center" wrapText="1"/>
    </xf>
    <xf numFmtId="0" fontId="42" fillId="0" borderId="66" xfId="0" applyFont="1" applyBorder="1" applyAlignment="1">
      <alignment vertical="center" wrapText="1"/>
    </xf>
    <xf numFmtId="3" fontId="42" fillId="0" borderId="66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3" fontId="42" fillId="0" borderId="72" xfId="0" applyNumberFormat="1" applyFont="1" applyBorder="1" applyAlignment="1">
      <alignment vertical="center"/>
    </xf>
    <xf numFmtId="3" fontId="42" fillId="0" borderId="73" xfId="0" applyNumberFormat="1" applyFont="1" applyBorder="1" applyAlignment="1">
      <alignment vertical="center"/>
    </xf>
    <xf numFmtId="3" fontId="42" fillId="0" borderId="66" xfId="0" applyNumberFormat="1" applyFont="1" applyBorder="1" applyAlignment="1">
      <alignment vertical="center"/>
    </xf>
    <xf numFmtId="3" fontId="42" fillId="0" borderId="74" xfId="0" applyNumberFormat="1" applyFont="1" applyBorder="1" applyAlignment="1">
      <alignment vertical="center"/>
    </xf>
    <xf numFmtId="0" fontId="42" fillId="0" borderId="67" xfId="0" applyFont="1" applyBorder="1" applyAlignment="1">
      <alignment horizontal="center" vertical="center" wrapText="1"/>
    </xf>
    <xf numFmtId="0" fontId="42" fillId="0" borderId="67" xfId="0" applyFont="1" applyBorder="1" applyAlignment="1">
      <alignment vertical="center" wrapText="1"/>
    </xf>
    <xf numFmtId="3" fontId="42" fillId="0" borderId="67" xfId="0" applyNumberFormat="1" applyFont="1" applyBorder="1" applyAlignment="1">
      <alignment vertical="center"/>
    </xf>
    <xf numFmtId="3" fontId="42" fillId="0" borderId="75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0" fontId="43" fillId="0" borderId="56" xfId="0" applyFont="1" applyFill="1" applyBorder="1" applyAlignment="1">
      <alignment vertical="center" wrapText="1"/>
    </xf>
    <xf numFmtId="0" fontId="43" fillId="0" borderId="3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2" fillId="0" borderId="28" xfId="0" applyFont="1" applyBorder="1" applyAlignment="1">
      <alignment horizontal="center" vertical="center" wrapText="1"/>
    </xf>
    <xf numFmtId="0" fontId="42" fillId="0" borderId="128" xfId="0" applyFont="1" applyBorder="1" applyAlignment="1">
      <alignment horizontal="center" vertical="center" wrapText="1"/>
    </xf>
    <xf numFmtId="0" fontId="42" fillId="0" borderId="72" xfId="0" applyFont="1" applyBorder="1" applyAlignment="1">
      <alignment vertical="center" wrapText="1"/>
    </xf>
    <xf numFmtId="3" fontId="42" fillId="0" borderId="72" xfId="0" applyNumberFormat="1" applyFont="1" applyBorder="1" applyAlignment="1">
      <alignment horizontal="right" vertical="center" wrapText="1"/>
    </xf>
    <xf numFmtId="0" fontId="42" fillId="0" borderId="129" xfId="0" applyFont="1" applyBorder="1" applyAlignment="1">
      <alignment horizontal="center" vertical="center" wrapText="1"/>
    </xf>
    <xf numFmtId="0" fontId="42" fillId="0" borderId="130" xfId="0" applyFont="1" applyBorder="1" applyAlignment="1">
      <alignment horizontal="center" vertical="center" wrapText="1"/>
    </xf>
    <xf numFmtId="0" fontId="42" fillId="0" borderId="131" xfId="0" applyFont="1" applyBorder="1" applyAlignment="1">
      <alignment vertical="center" wrapText="1"/>
    </xf>
    <xf numFmtId="3" fontId="42" fillId="0" borderId="131" xfId="0" applyNumberFormat="1" applyFont="1" applyBorder="1" applyAlignment="1">
      <alignment horizontal="right" vertical="center" wrapText="1"/>
    </xf>
    <xf numFmtId="3" fontId="42" fillId="0" borderId="26" xfId="0" applyNumberFormat="1" applyFont="1" applyBorder="1" applyAlignment="1">
      <alignment vertical="center"/>
    </xf>
    <xf numFmtId="1" fontId="49" fillId="0" borderId="37" xfId="1" applyNumberFormat="1" applyFont="1" applyFill="1" applyBorder="1" applyAlignment="1">
      <alignment horizontal="center" vertical="center"/>
    </xf>
    <xf numFmtId="1" fontId="49" fillId="0" borderId="24" xfId="1" applyNumberFormat="1" applyFont="1" applyFill="1" applyBorder="1" applyAlignment="1">
      <alignment horizontal="center" vertical="center"/>
    </xf>
    <xf numFmtId="164" fontId="20" fillId="0" borderId="0" xfId="4" applyNumberFormat="1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0" fillId="0" borderId="0" xfId="4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4" applyFill="1" applyBorder="1" applyAlignment="1">
      <alignment vertical="center"/>
    </xf>
    <xf numFmtId="0" fontId="20" fillId="0" borderId="0" xfId="4" applyFont="1" applyFill="1" applyBorder="1" applyAlignment="1">
      <alignment vertical="center" wrapText="1"/>
    </xf>
    <xf numFmtId="164" fontId="22" fillId="0" borderId="0" xfId="5" applyNumberFormat="1" applyFont="1" applyFill="1" applyBorder="1" applyAlignment="1" applyProtection="1">
      <alignment horizontal="right" vertical="center"/>
    </xf>
    <xf numFmtId="167" fontId="20" fillId="0" borderId="0" xfId="4" applyNumberFormat="1" applyFont="1" applyFill="1" applyBorder="1" applyAlignment="1">
      <alignment vertical="center"/>
    </xf>
    <xf numFmtId="0" fontId="1" fillId="0" borderId="0" xfId="6" applyFill="1" applyBorder="1"/>
    <xf numFmtId="0" fontId="11" fillId="0" borderId="0" xfId="7" applyFill="1" applyBorder="1"/>
    <xf numFmtId="10" fontId="20" fillId="0" borderId="0" xfId="4" applyNumberFormat="1" applyFont="1" applyFill="1" applyBorder="1" applyAlignment="1">
      <alignment vertical="center"/>
    </xf>
    <xf numFmtId="167" fontId="20" fillId="0" borderId="0" xfId="8" applyNumberFormat="1" applyFont="1" applyFill="1" applyBorder="1" applyAlignment="1" applyProtection="1">
      <alignment horizontal="right" vertical="center"/>
    </xf>
    <xf numFmtId="0" fontId="11" fillId="0" borderId="0" xfId="8" applyFill="1" applyBorder="1" applyAlignment="1">
      <alignment vertical="center"/>
    </xf>
    <xf numFmtId="169" fontId="23" fillId="0" borderId="0" xfId="4" applyNumberFormat="1" applyFont="1" applyFill="1" applyBorder="1" applyAlignment="1">
      <alignment horizontal="center" vertical="center"/>
    </xf>
    <xf numFmtId="169" fontId="24" fillId="0" borderId="0" xfId="4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vertical="center"/>
    </xf>
    <xf numFmtId="170" fontId="23" fillId="0" borderId="0" xfId="4" applyNumberFormat="1" applyFont="1" applyFill="1" applyBorder="1" applyAlignment="1">
      <alignment horizontal="center" vertical="center"/>
    </xf>
    <xf numFmtId="4" fontId="11" fillId="0" borderId="0" xfId="4" applyNumberFormat="1" applyFont="1" applyFill="1" applyBorder="1" applyAlignment="1">
      <alignment vertical="center"/>
    </xf>
    <xf numFmtId="170" fontId="11" fillId="0" borderId="0" xfId="4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3" fontId="11" fillId="0" borderId="47" xfId="4" applyNumberFormat="1" applyFont="1" applyFill="1" applyBorder="1" applyAlignment="1">
      <alignment vertical="center"/>
    </xf>
    <xf numFmtId="3" fontId="11" fillId="0" borderId="11" xfId="4" applyNumberFormat="1" applyFont="1" applyFill="1" applyBorder="1" applyAlignment="1">
      <alignment vertical="center"/>
    </xf>
    <xf numFmtId="10" fontId="55" fillId="0" borderId="8" xfId="4" applyNumberFormat="1" applyFont="1" applyFill="1" applyBorder="1" applyAlignment="1">
      <alignment vertical="center"/>
    </xf>
    <xf numFmtId="0" fontId="42" fillId="0" borderId="8" xfId="6" applyFont="1" applyFill="1" applyBorder="1" applyAlignment="1">
      <alignment vertical="center"/>
    </xf>
    <xf numFmtId="3" fontId="11" fillId="0" borderId="8" xfId="5" applyNumberFormat="1" applyFont="1" applyFill="1" applyBorder="1" applyAlignment="1" applyProtection="1">
      <alignment horizontal="right" vertical="center"/>
    </xf>
    <xf numFmtId="10" fontId="55" fillId="0" borderId="8" xfId="5" applyNumberFormat="1" applyFont="1" applyFill="1" applyBorder="1" applyAlignment="1" applyProtection="1">
      <alignment horizontal="right" vertical="center"/>
    </xf>
    <xf numFmtId="3" fontId="42" fillId="0" borderId="8" xfId="6" applyNumberFormat="1" applyFont="1" applyFill="1" applyBorder="1" applyAlignment="1">
      <alignment vertical="center"/>
    </xf>
    <xf numFmtId="10" fontId="55" fillId="0" borderId="10" xfId="5" applyNumberFormat="1" applyFont="1" applyFill="1" applyBorder="1" applyAlignment="1" applyProtection="1">
      <alignment horizontal="right" vertical="center"/>
    </xf>
    <xf numFmtId="10" fontId="55" fillId="0" borderId="10" xfId="4" applyNumberFormat="1" applyFont="1" applyFill="1" applyBorder="1" applyAlignment="1">
      <alignment vertical="center"/>
    </xf>
    <xf numFmtId="3" fontId="11" fillId="0" borderId="12" xfId="4" applyNumberFormat="1" applyFont="1" applyFill="1" applyBorder="1" applyAlignment="1">
      <alignment vertical="center"/>
    </xf>
    <xf numFmtId="3" fontId="11" fillId="0" borderId="19" xfId="4" applyNumberFormat="1" applyFont="1" applyFill="1" applyBorder="1" applyAlignment="1">
      <alignment vertical="center"/>
    </xf>
    <xf numFmtId="10" fontId="55" fillId="0" borderId="20" xfId="4" applyNumberFormat="1" applyFont="1" applyFill="1" applyBorder="1" applyAlignment="1">
      <alignment vertical="center"/>
    </xf>
    <xf numFmtId="0" fontId="42" fillId="0" borderId="20" xfId="6" applyFont="1" applyFill="1" applyBorder="1" applyAlignment="1">
      <alignment vertical="center"/>
    </xf>
    <xf numFmtId="3" fontId="11" fillId="0" borderId="20" xfId="5" applyNumberFormat="1" applyFont="1" applyFill="1" applyBorder="1" applyAlignment="1" applyProtection="1">
      <alignment horizontal="right" vertical="center"/>
    </xf>
    <xf numFmtId="10" fontId="55" fillId="0" borderId="20" xfId="5" applyNumberFormat="1" applyFont="1" applyFill="1" applyBorder="1" applyAlignment="1" applyProtection="1">
      <alignment horizontal="right" vertical="center"/>
    </xf>
    <xf numFmtId="3" fontId="42" fillId="0" borderId="20" xfId="6" applyNumberFormat="1" applyFont="1" applyFill="1" applyBorder="1" applyAlignment="1">
      <alignment vertical="center"/>
    </xf>
    <xf numFmtId="10" fontId="55" fillId="0" borderId="18" xfId="5" applyNumberFormat="1" applyFont="1" applyFill="1" applyBorder="1" applyAlignment="1" applyProtection="1">
      <alignment horizontal="right" vertical="center"/>
    </xf>
    <xf numFmtId="10" fontId="55" fillId="0" borderId="18" xfId="4" applyNumberFormat="1" applyFont="1" applyFill="1" applyBorder="1" applyAlignment="1">
      <alignment vertical="center"/>
    </xf>
    <xf numFmtId="3" fontId="11" fillId="0" borderId="63" xfId="4" applyNumberFormat="1" applyFont="1" applyFill="1" applyBorder="1" applyAlignment="1">
      <alignment vertical="center"/>
    </xf>
    <xf numFmtId="3" fontId="11" fillId="0" borderId="22" xfId="4" applyNumberFormat="1" applyFont="1" applyFill="1" applyBorder="1" applyAlignment="1">
      <alignment vertical="center"/>
    </xf>
    <xf numFmtId="10" fontId="55" fillId="0" borderId="23" xfId="4" applyNumberFormat="1" applyFont="1" applyFill="1" applyBorder="1" applyAlignment="1">
      <alignment vertical="center"/>
    </xf>
    <xf numFmtId="0" fontId="42" fillId="0" borderId="23" xfId="6" applyFont="1" applyFill="1" applyBorder="1" applyAlignment="1">
      <alignment vertical="center"/>
    </xf>
    <xf numFmtId="3" fontId="11" fillId="0" borderId="23" xfId="5" applyNumberFormat="1" applyFont="1" applyFill="1" applyBorder="1" applyAlignment="1" applyProtection="1">
      <alignment horizontal="right" vertical="center"/>
    </xf>
    <xf numFmtId="10" fontId="55" fillId="0" borderId="23" xfId="5" applyNumberFormat="1" applyFont="1" applyFill="1" applyBorder="1" applyAlignment="1" applyProtection="1">
      <alignment horizontal="right" vertical="center"/>
    </xf>
    <xf numFmtId="3" fontId="42" fillId="0" borderId="23" xfId="6" applyNumberFormat="1" applyFont="1" applyFill="1" applyBorder="1" applyAlignment="1">
      <alignment vertical="center"/>
    </xf>
    <xf numFmtId="10" fontId="55" fillId="0" borderId="26" xfId="5" applyNumberFormat="1" applyFont="1" applyFill="1" applyBorder="1" applyAlignment="1" applyProtection="1">
      <alignment horizontal="right" vertical="center"/>
    </xf>
    <xf numFmtId="10" fontId="55" fillId="0" borderId="26" xfId="4" applyNumberFormat="1" applyFont="1" applyFill="1" applyBorder="1" applyAlignment="1">
      <alignment vertical="center"/>
    </xf>
    <xf numFmtId="3" fontId="42" fillId="0" borderId="41" xfId="6" applyNumberFormat="1" applyFont="1" applyFill="1" applyBorder="1" applyAlignment="1">
      <alignment vertical="center"/>
    </xf>
    <xf numFmtId="3" fontId="55" fillId="0" borderId="37" xfId="6" applyNumberFormat="1" applyFont="1" applyFill="1" applyBorder="1" applyAlignment="1">
      <alignment vertical="center"/>
    </xf>
    <xf numFmtId="3" fontId="42" fillId="0" borderId="37" xfId="6" applyNumberFormat="1" applyFont="1" applyFill="1" applyBorder="1" applyAlignment="1">
      <alignment vertical="center"/>
    </xf>
    <xf numFmtId="3" fontId="45" fillId="0" borderId="37" xfId="6" applyNumberFormat="1" applyFont="1" applyFill="1" applyBorder="1" applyAlignment="1">
      <alignment vertical="center"/>
    </xf>
    <xf numFmtId="9" fontId="45" fillId="0" borderId="24" xfId="6" applyNumberFormat="1" applyFont="1" applyFill="1" applyBorder="1" applyAlignment="1">
      <alignment vertical="center"/>
    </xf>
    <xf numFmtId="9" fontId="55" fillId="0" borderId="24" xfId="6" applyNumberFormat="1" applyFont="1" applyFill="1" applyBorder="1" applyAlignment="1">
      <alignment vertical="center"/>
    </xf>
    <xf numFmtId="0" fontId="43" fillId="0" borderId="0" xfId="6" applyFont="1" applyAlignment="1">
      <alignment vertical="center"/>
    </xf>
    <xf numFmtId="0" fontId="42" fillId="0" borderId="0" xfId="6" applyFont="1" applyAlignment="1">
      <alignment vertical="center"/>
    </xf>
    <xf numFmtId="3" fontId="43" fillId="0" borderId="0" xfId="6" applyNumberFormat="1" applyFont="1" applyAlignment="1">
      <alignment vertical="center"/>
    </xf>
    <xf numFmtId="3" fontId="42" fillId="0" borderId="0" xfId="6" applyNumberFormat="1" applyFont="1" applyAlignment="1">
      <alignment vertical="center"/>
    </xf>
    <xf numFmtId="3" fontId="42" fillId="0" borderId="13" xfId="6" applyNumberFormat="1" applyFont="1" applyBorder="1" applyAlignment="1">
      <alignment vertical="center"/>
    </xf>
    <xf numFmtId="0" fontId="42" fillId="0" borderId="14" xfId="6" applyFont="1" applyBorder="1" applyAlignment="1">
      <alignment vertical="center"/>
    </xf>
    <xf numFmtId="3" fontId="42" fillId="0" borderId="21" xfId="6" applyNumberFormat="1" applyFont="1" applyBorder="1" applyAlignment="1">
      <alignment vertical="center"/>
    </xf>
    <xf numFmtId="0" fontId="42" fillId="0" borderId="0" xfId="6" applyFont="1" applyAlignment="1">
      <alignment horizontal="center" vertical="center" wrapText="1"/>
    </xf>
    <xf numFmtId="0" fontId="42" fillId="0" borderId="0" xfId="6" applyFont="1" applyAlignment="1">
      <alignment vertical="center" wrapText="1"/>
    </xf>
    <xf numFmtId="0" fontId="42" fillId="0" borderId="53" xfId="6" applyFont="1" applyFill="1" applyBorder="1" applyAlignment="1">
      <alignment vertical="center"/>
    </xf>
    <xf numFmtId="0" fontId="42" fillId="0" borderId="52" xfId="6" applyFont="1" applyFill="1" applyBorder="1" applyAlignment="1">
      <alignment vertical="center"/>
    </xf>
    <xf numFmtId="0" fontId="42" fillId="0" borderId="0" xfId="6" applyFont="1" applyFill="1" applyBorder="1" applyAlignment="1">
      <alignment vertical="center"/>
    </xf>
    <xf numFmtId="0" fontId="42" fillId="0" borderId="33" xfId="6" applyFont="1" applyFill="1" applyBorder="1" applyAlignment="1">
      <alignment vertical="center"/>
    </xf>
    <xf numFmtId="173" fontId="42" fillId="0" borderId="0" xfId="6" applyNumberFormat="1" applyFont="1" applyFill="1" applyBorder="1" applyAlignment="1">
      <alignment vertical="center"/>
    </xf>
    <xf numFmtId="3" fontId="42" fillId="0" borderId="0" xfId="6" applyNumberFormat="1" applyFont="1" applyFill="1" applyBorder="1" applyAlignment="1">
      <alignment vertical="center"/>
    </xf>
    <xf numFmtId="0" fontId="42" fillId="0" borderId="56" xfId="6" applyFont="1" applyFill="1" applyBorder="1" applyAlignment="1">
      <alignment vertical="center"/>
    </xf>
    <xf numFmtId="0" fontId="43" fillId="0" borderId="21" xfId="6" applyFont="1" applyFill="1" applyBorder="1" applyAlignment="1">
      <alignment vertical="center"/>
    </xf>
    <xf numFmtId="3" fontId="43" fillId="0" borderId="13" xfId="6" applyNumberFormat="1" applyFont="1" applyFill="1" applyBorder="1" applyAlignment="1">
      <alignment vertical="center"/>
    </xf>
    <xf numFmtId="0" fontId="56" fillId="0" borderId="0" xfId="6" applyFont="1" applyAlignment="1">
      <alignment vertical="center"/>
    </xf>
    <xf numFmtId="10" fontId="42" fillId="0" borderId="0" xfId="35" applyNumberFormat="1" applyFont="1" applyFill="1" applyBorder="1" applyAlignment="1">
      <alignment vertical="center"/>
    </xf>
    <xf numFmtId="173" fontId="42" fillId="0" borderId="33" xfId="6" applyNumberFormat="1" applyFont="1" applyFill="1" applyBorder="1" applyAlignment="1">
      <alignment vertical="center"/>
    </xf>
    <xf numFmtId="10" fontId="42" fillId="0" borderId="59" xfId="6" applyNumberFormat="1" applyFont="1" applyBorder="1" applyAlignment="1">
      <alignment vertical="center"/>
    </xf>
    <xf numFmtId="3" fontId="43" fillId="0" borderId="21" xfId="6" applyNumberFormat="1" applyFont="1" applyFill="1" applyBorder="1" applyAlignment="1">
      <alignment vertical="center"/>
    </xf>
    <xf numFmtId="164" fontId="43" fillId="0" borderId="13" xfId="35" applyNumberFormat="1" applyFont="1" applyFill="1" applyBorder="1" applyAlignment="1">
      <alignment vertical="center"/>
    </xf>
    <xf numFmtId="3" fontId="42" fillId="14" borderId="8" xfId="6" applyNumberFormat="1" applyFont="1" applyFill="1" applyBorder="1" applyAlignment="1">
      <alignment vertical="center"/>
    </xf>
    <xf numFmtId="3" fontId="42" fillId="14" borderId="20" xfId="6" applyNumberFormat="1" applyFont="1" applyFill="1" applyBorder="1" applyAlignment="1">
      <alignment vertical="center"/>
    </xf>
    <xf numFmtId="3" fontId="42" fillId="14" borderId="23" xfId="6" applyNumberFormat="1" applyFont="1" applyFill="1" applyBorder="1" applyAlignment="1">
      <alignment vertical="center"/>
    </xf>
    <xf numFmtId="3" fontId="42" fillId="14" borderId="37" xfId="6" applyNumberFormat="1" applyFont="1" applyFill="1" applyBorder="1" applyAlignment="1">
      <alignment vertical="center"/>
    </xf>
    <xf numFmtId="3" fontId="42" fillId="4" borderId="8" xfId="6" applyNumberFormat="1" applyFont="1" applyFill="1" applyBorder="1" applyAlignment="1">
      <alignment vertical="center"/>
    </xf>
    <xf numFmtId="3" fontId="42" fillId="4" borderId="20" xfId="6" applyNumberFormat="1" applyFont="1" applyFill="1" applyBorder="1" applyAlignment="1">
      <alignment vertical="center"/>
    </xf>
    <xf numFmtId="3" fontId="42" fillId="4" borderId="23" xfId="6" applyNumberFormat="1" applyFont="1" applyFill="1" applyBorder="1" applyAlignment="1">
      <alignment vertical="center"/>
    </xf>
    <xf numFmtId="3" fontId="42" fillId="4" borderId="37" xfId="6" applyNumberFormat="1" applyFont="1" applyFill="1" applyBorder="1" applyAlignment="1">
      <alignment vertical="center"/>
    </xf>
    <xf numFmtId="3" fontId="42" fillId="0" borderId="56" xfId="6" applyNumberFormat="1" applyFont="1" applyFill="1" applyBorder="1" applyAlignment="1">
      <alignment vertical="center"/>
    </xf>
    <xf numFmtId="0" fontId="0" fillId="0" borderId="13" xfId="0" applyFill="1" applyBorder="1"/>
    <xf numFmtId="3" fontId="20" fillId="0" borderId="34" xfId="4" applyNumberFormat="1" applyFont="1" applyFill="1" applyBorder="1" applyAlignment="1" applyProtection="1">
      <alignment horizontal="right" vertical="center"/>
    </xf>
    <xf numFmtId="164" fontId="18" fillId="0" borderId="132" xfId="5" applyNumberFormat="1" applyFont="1" applyFill="1" applyBorder="1" applyAlignment="1" applyProtection="1">
      <alignment horizontal="right" vertical="center"/>
    </xf>
    <xf numFmtId="3" fontId="20" fillId="0" borderId="34" xfId="4" applyNumberFormat="1" applyFont="1" applyFill="1" applyBorder="1" applyAlignment="1">
      <alignment horizontal="right" vertical="center"/>
    </xf>
    <xf numFmtId="3" fontId="20" fillId="0" borderId="35" xfId="4" applyNumberFormat="1" applyFont="1" applyFill="1" applyBorder="1" applyAlignment="1" applyProtection="1">
      <alignment horizontal="right" vertical="center"/>
    </xf>
    <xf numFmtId="164" fontId="18" fillId="0" borderId="27" xfId="5" applyNumberFormat="1" applyFont="1" applyFill="1" applyBorder="1" applyAlignment="1" applyProtection="1">
      <alignment horizontal="right" vertical="center"/>
    </xf>
    <xf numFmtId="49" fontId="18" fillId="0" borderId="27" xfId="4" applyNumberFormat="1" applyFont="1" applyFill="1" applyBorder="1" applyAlignment="1" applyProtection="1">
      <alignment horizontal="left" vertical="center"/>
    </xf>
    <xf numFmtId="0" fontId="20" fillId="0" borderId="27" xfId="4" applyFont="1" applyFill="1" applyBorder="1" applyAlignment="1">
      <alignment vertical="center"/>
    </xf>
    <xf numFmtId="164" fontId="18" fillId="0" borderId="133" xfId="5" applyNumberFormat="1" applyFont="1" applyFill="1" applyBorder="1" applyAlignment="1" applyProtection="1">
      <alignment horizontal="right" vertical="center"/>
    </xf>
    <xf numFmtId="0" fontId="0" fillId="0" borderId="56" xfId="0" applyFill="1" applyBorder="1"/>
    <xf numFmtId="0" fontId="0" fillId="0" borderId="36" xfId="0" applyFill="1" applyBorder="1"/>
    <xf numFmtId="164" fontId="18" fillId="0" borderId="36" xfId="4" applyNumberFormat="1" applyFont="1" applyFill="1" applyBorder="1" applyAlignment="1">
      <alignment horizontal="center" vertical="center"/>
    </xf>
    <xf numFmtId="164" fontId="20" fillId="0" borderId="56" xfId="4" applyNumberFormat="1" applyFont="1" applyFill="1" applyBorder="1" applyAlignment="1">
      <alignment horizontal="center" vertical="center"/>
    </xf>
    <xf numFmtId="164" fontId="20" fillId="0" borderId="36" xfId="4" applyNumberFormat="1" applyFont="1" applyFill="1" applyBorder="1" applyAlignment="1">
      <alignment horizontal="center" vertical="center"/>
    </xf>
    <xf numFmtId="164" fontId="18" fillId="0" borderId="36" xfId="4" applyNumberFormat="1" applyFont="1" applyFill="1" applyBorder="1" applyAlignment="1" applyProtection="1">
      <alignment vertical="center" wrapText="1"/>
    </xf>
    <xf numFmtId="164" fontId="18" fillId="16" borderId="71" xfId="5" applyNumberFormat="1" applyFont="1" applyFill="1" applyBorder="1" applyAlignment="1" applyProtection="1">
      <alignment horizontal="right" vertical="center"/>
    </xf>
    <xf numFmtId="164" fontId="20" fillId="0" borderId="56" xfId="4" applyNumberFormat="1" applyFont="1" applyFill="1" applyBorder="1" applyAlignment="1">
      <alignment vertical="center"/>
    </xf>
    <xf numFmtId="164" fontId="18" fillId="0" borderId="36" xfId="5" applyNumberFormat="1" applyFont="1" applyFill="1" applyBorder="1" applyAlignment="1" applyProtection="1">
      <alignment horizontal="right" vertical="center"/>
    </xf>
    <xf numFmtId="164" fontId="20" fillId="0" borderId="36" xfId="4" applyNumberFormat="1" applyFont="1" applyFill="1" applyBorder="1" applyAlignment="1">
      <alignment vertical="center"/>
    </xf>
    <xf numFmtId="164" fontId="18" fillId="2" borderId="36" xfId="5" applyNumberFormat="1" applyFont="1" applyFill="1" applyBorder="1" applyAlignment="1" applyProtection="1">
      <alignment horizontal="right" vertical="center"/>
    </xf>
    <xf numFmtId="164" fontId="18" fillId="2" borderId="71" xfId="5" applyNumberFormat="1" applyFont="1" applyFill="1" applyBorder="1" applyAlignment="1" applyProtection="1">
      <alignment horizontal="right" vertical="center"/>
    </xf>
    <xf numFmtId="3" fontId="58" fillId="17" borderId="71" xfId="6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9" fontId="19" fillId="0" borderId="43" xfId="0" applyNumberFormat="1" applyFont="1" applyFill="1" applyBorder="1" applyAlignment="1">
      <alignment horizontal="right" vertical="center" wrapText="1"/>
    </xf>
    <xf numFmtId="0" fontId="27" fillId="0" borderId="12" xfId="0" applyFont="1" applyFill="1" applyBorder="1" applyAlignment="1">
      <alignment vertical="center" wrapText="1"/>
    </xf>
    <xf numFmtId="164" fontId="27" fillId="0" borderId="43" xfId="0" applyNumberFormat="1" applyFont="1" applyFill="1" applyBorder="1" applyAlignment="1">
      <alignment horizontal="right" vertical="center" wrapText="1"/>
    </xf>
    <xf numFmtId="0" fontId="27" fillId="0" borderId="63" xfId="0" applyFont="1" applyFill="1" applyBorder="1" applyAlignment="1">
      <alignment vertical="center" wrapText="1"/>
    </xf>
    <xf numFmtId="164" fontId="27" fillId="0" borderId="45" xfId="0" applyNumberFormat="1" applyFont="1" applyFill="1" applyBorder="1" applyAlignment="1">
      <alignment horizontal="right" vertical="center" wrapText="1"/>
    </xf>
    <xf numFmtId="0" fontId="19" fillId="12" borderId="12" xfId="0" applyFont="1" applyFill="1" applyBorder="1" applyAlignment="1">
      <alignment horizontal="justify" vertical="center" wrapText="1"/>
    </xf>
    <xf numFmtId="164" fontId="19" fillId="12" borderId="43" xfId="0" applyNumberFormat="1" applyFont="1" applyFill="1" applyBorder="1" applyAlignment="1">
      <alignment horizontal="right" vertical="center" wrapText="1"/>
    </xf>
    <xf numFmtId="0" fontId="19" fillId="11" borderId="12" xfId="0" applyFont="1" applyFill="1" applyBorder="1" applyAlignment="1">
      <alignment vertical="center" wrapText="1"/>
    </xf>
    <xf numFmtId="164" fontId="19" fillId="11" borderId="43" xfId="0" applyNumberFormat="1" applyFont="1" applyFill="1" applyBorder="1" applyAlignment="1">
      <alignment horizontal="right" vertical="center" wrapText="1"/>
    </xf>
    <xf numFmtId="0" fontId="19" fillId="4" borderId="12" xfId="0" applyFont="1" applyFill="1" applyBorder="1" applyAlignment="1">
      <alignment vertical="center" wrapText="1"/>
    </xf>
    <xf numFmtId="164" fontId="19" fillId="4" borderId="43" xfId="0" applyNumberFormat="1" applyFont="1" applyFill="1" applyBorder="1" applyAlignment="1">
      <alignment horizontal="right" vertical="center" wrapText="1"/>
    </xf>
    <xf numFmtId="49" fontId="20" fillId="0" borderId="34" xfId="4" applyNumberFormat="1" applyFont="1" applyFill="1" applyBorder="1" applyAlignment="1" applyProtection="1">
      <alignment horizontal="center" vertical="center"/>
    </xf>
    <xf numFmtId="49" fontId="18" fillId="0" borderId="132" xfId="4" applyNumberFormat="1" applyFont="1" applyFill="1" applyBorder="1" applyAlignment="1" applyProtection="1">
      <alignment horizontal="left" vertical="center"/>
    </xf>
    <xf numFmtId="49" fontId="20" fillId="0" borderId="35" xfId="4" applyNumberFormat="1" applyFont="1" applyFill="1" applyBorder="1" applyAlignment="1" applyProtection="1">
      <alignment horizontal="center" vertical="center"/>
    </xf>
    <xf numFmtId="49" fontId="18" fillId="0" borderId="133" xfId="4" applyNumberFormat="1" applyFont="1" applyFill="1" applyBorder="1" applyAlignment="1" applyProtection="1">
      <alignment horizontal="left" vertical="center"/>
    </xf>
    <xf numFmtId="0" fontId="0" fillId="0" borderId="5" xfId="0" applyFill="1" applyBorder="1"/>
    <xf numFmtId="0" fontId="0" fillId="0" borderId="6" xfId="0" applyFill="1" applyBorder="1"/>
    <xf numFmtId="164" fontId="18" fillId="0" borderId="6" xfId="5" applyNumberFormat="1" applyFont="1" applyFill="1" applyBorder="1" applyAlignment="1" applyProtection="1">
      <alignment horizontal="right" vertical="center"/>
    </xf>
    <xf numFmtId="0" fontId="20" fillId="0" borderId="6" xfId="4" applyFont="1" applyFill="1" applyBorder="1" applyAlignment="1">
      <alignment horizontal="center" vertical="center" wrapText="1"/>
    </xf>
    <xf numFmtId="164" fontId="18" fillId="0" borderId="42" xfId="5" applyNumberFormat="1" applyFont="1" applyFill="1" applyBorder="1" applyAlignment="1" applyProtection="1">
      <alignment horizontal="right" vertical="center"/>
    </xf>
    <xf numFmtId="164" fontId="18" fillId="15" borderId="137" xfId="5" applyNumberFormat="1" applyFont="1" applyFill="1" applyBorder="1" applyAlignment="1" applyProtection="1">
      <alignment horizontal="right" vertical="center"/>
    </xf>
    <xf numFmtId="164" fontId="18" fillId="0" borderId="138" xfId="5" applyNumberFormat="1" applyFont="1" applyFill="1" applyBorder="1" applyAlignment="1" applyProtection="1">
      <alignment horizontal="right" vertical="center"/>
    </xf>
    <xf numFmtId="164" fontId="18" fillId="0" borderId="139" xfId="5" applyNumberFormat="1" applyFont="1" applyFill="1" applyBorder="1" applyAlignment="1" applyProtection="1">
      <alignment horizontal="right" vertical="center"/>
    </xf>
    <xf numFmtId="164" fontId="18" fillId="0" borderId="140" xfId="5" applyNumberFormat="1" applyFont="1" applyFill="1" applyBorder="1" applyAlignment="1" applyProtection="1">
      <alignment horizontal="right" vertical="center"/>
    </xf>
    <xf numFmtId="49" fontId="20" fillId="0" borderId="70" xfId="4" applyNumberFormat="1" applyFont="1" applyFill="1" applyBorder="1" applyAlignment="1" applyProtection="1">
      <alignment horizontal="center" vertical="center"/>
    </xf>
    <xf numFmtId="49" fontId="18" fillId="0" borderId="141" xfId="4" applyNumberFormat="1" applyFont="1" applyFill="1" applyBorder="1" applyAlignment="1" applyProtection="1">
      <alignment horizontal="left" vertical="center"/>
    </xf>
    <xf numFmtId="167" fontId="20" fillId="0" borderId="33" xfId="8" applyNumberFormat="1" applyFont="1" applyFill="1" applyBorder="1" applyAlignment="1" applyProtection="1">
      <alignment horizontal="right" vertical="center"/>
    </xf>
    <xf numFmtId="164" fontId="20" fillId="0" borderId="59" xfId="5" applyNumberFormat="1" applyFont="1" applyFill="1" applyBorder="1" applyAlignment="1" applyProtection="1">
      <alignment horizontal="right" vertical="center"/>
    </xf>
    <xf numFmtId="167" fontId="20" fillId="0" borderId="16" xfId="8" applyNumberFormat="1" applyFont="1" applyFill="1" applyBorder="1" applyAlignment="1" applyProtection="1">
      <alignment horizontal="right" vertical="center"/>
    </xf>
    <xf numFmtId="164" fontId="20" fillId="0" borderId="48" xfId="5" applyNumberFormat="1" applyFont="1" applyFill="1" applyBorder="1" applyAlignment="1" applyProtection="1">
      <alignment horizontal="right" vertical="center"/>
    </xf>
    <xf numFmtId="167" fontId="20" fillId="0" borderId="48" xfId="8" applyNumberFormat="1" applyFont="1" applyFill="1" applyBorder="1" applyAlignment="1" applyProtection="1">
      <alignment horizontal="right" vertical="center"/>
    </xf>
    <xf numFmtId="164" fontId="20" fillId="0" borderId="60" xfId="5" applyNumberFormat="1" applyFont="1" applyFill="1" applyBorder="1" applyAlignment="1" applyProtection="1">
      <alignment horizontal="right" vertical="center"/>
    </xf>
    <xf numFmtId="167" fontId="20" fillId="0" borderId="21" xfId="8" applyNumberFormat="1" applyFont="1" applyFill="1" applyBorder="1" applyAlignment="1" applyProtection="1">
      <alignment horizontal="right" vertical="center"/>
    </xf>
    <xf numFmtId="167" fontId="20" fillId="0" borderId="13" xfId="8" applyNumberFormat="1" applyFont="1" applyFill="1" applyBorder="1" applyAlignment="1" applyProtection="1">
      <alignment horizontal="right" vertical="center"/>
    </xf>
    <xf numFmtId="164" fontId="20" fillId="0" borderId="13" xfId="5" applyNumberFormat="1" applyFont="1" applyFill="1" applyBorder="1" applyAlignment="1" applyProtection="1">
      <alignment horizontal="right" vertical="center"/>
    </xf>
    <xf numFmtId="164" fontId="20" fillId="0" borderId="14" xfId="5" applyNumberFormat="1" applyFont="1" applyFill="1" applyBorder="1" applyAlignment="1" applyProtection="1">
      <alignment horizontal="right" vertical="center"/>
    </xf>
    <xf numFmtId="164" fontId="20" fillId="0" borderId="144" xfId="8" applyNumberFormat="1" applyFont="1" applyFill="1" applyBorder="1" applyAlignment="1" applyProtection="1">
      <alignment horizontal="right" vertical="center"/>
    </xf>
    <xf numFmtId="164" fontId="20" fillId="0" borderId="145" xfId="5" applyNumberFormat="1" applyFont="1" applyFill="1" applyBorder="1" applyAlignment="1" applyProtection="1">
      <alignment horizontal="right" vertical="center"/>
    </xf>
    <xf numFmtId="164" fontId="20" fillId="0" borderId="146" xfId="5" applyNumberFormat="1" applyFont="1" applyFill="1" applyBorder="1" applyAlignment="1" applyProtection="1">
      <alignment horizontal="right" vertical="center"/>
    </xf>
    <xf numFmtId="164" fontId="20" fillId="0" borderId="147" xfId="8" applyNumberFormat="1" applyFont="1" applyFill="1" applyBorder="1" applyAlignment="1" applyProtection="1">
      <alignment horizontal="right" vertical="center"/>
    </xf>
    <xf numFmtId="164" fontId="20" fillId="0" borderId="139" xfId="5" applyNumberFormat="1" applyFont="1" applyFill="1" applyBorder="1" applyAlignment="1" applyProtection="1">
      <alignment horizontal="right" vertical="center"/>
    </xf>
    <xf numFmtId="164" fontId="20" fillId="0" borderId="148" xfId="5" applyNumberFormat="1" applyFont="1" applyFill="1" applyBorder="1" applyAlignment="1" applyProtection="1">
      <alignment horizontal="right" vertical="center"/>
    </xf>
    <xf numFmtId="164" fontId="20" fillId="0" borderId="149" xfId="8" applyNumberFormat="1" applyFont="1" applyFill="1" applyBorder="1" applyAlignment="1" applyProtection="1">
      <alignment horizontal="right" vertical="center"/>
    </xf>
    <xf numFmtId="164" fontId="20" fillId="0" borderId="150" xfId="5" applyNumberFormat="1" applyFont="1" applyFill="1" applyBorder="1" applyAlignment="1" applyProtection="1">
      <alignment horizontal="right" vertical="center"/>
    </xf>
    <xf numFmtId="164" fontId="20" fillId="0" borderId="151" xfId="5" applyNumberFormat="1" applyFont="1" applyFill="1" applyBorder="1" applyAlignment="1" applyProtection="1">
      <alignment horizontal="right" vertical="center"/>
    </xf>
    <xf numFmtId="164" fontId="18" fillId="0" borderId="153" xfId="5" applyNumberFormat="1" applyFont="1" applyFill="1" applyBorder="1" applyAlignment="1" applyProtection="1">
      <alignment horizontal="right" vertical="center"/>
    </xf>
    <xf numFmtId="164" fontId="18" fillId="0" borderId="145" xfId="5" applyNumberFormat="1" applyFont="1" applyFill="1" applyBorder="1" applyAlignment="1" applyProtection="1">
      <alignment horizontal="right" vertical="center"/>
    </xf>
    <xf numFmtId="164" fontId="18" fillId="0" borderId="154" xfId="5" applyNumberFormat="1" applyFont="1" applyFill="1" applyBorder="1" applyAlignment="1" applyProtection="1">
      <alignment horizontal="right" vertical="center"/>
    </xf>
    <xf numFmtId="164" fontId="18" fillId="15" borderId="152" xfId="5" applyNumberFormat="1" applyFont="1" applyFill="1" applyBorder="1" applyAlignment="1" applyProtection="1">
      <alignment horizontal="right" vertical="center"/>
    </xf>
    <xf numFmtId="167" fontId="20" fillId="0" borderId="35" xfId="8" applyNumberFormat="1" applyFont="1" applyFill="1" applyBorder="1" applyAlignment="1" applyProtection="1">
      <alignment horizontal="right" vertical="center"/>
    </xf>
    <xf numFmtId="164" fontId="20" fillId="0" borderId="155" xfId="5" applyNumberFormat="1" applyFont="1" applyFill="1" applyBorder="1" applyAlignment="1" applyProtection="1">
      <alignment horizontal="right" vertical="center"/>
    </xf>
    <xf numFmtId="167" fontId="20" fillId="0" borderId="57" xfId="8" applyNumberFormat="1" applyFont="1" applyFill="1" applyBorder="1" applyAlignment="1" applyProtection="1">
      <alignment horizontal="right" vertical="center"/>
    </xf>
    <xf numFmtId="164" fontId="20" fillId="0" borderId="154" xfId="5" applyNumberFormat="1" applyFont="1" applyFill="1" applyBorder="1" applyAlignment="1" applyProtection="1">
      <alignment horizontal="right" vertical="center"/>
    </xf>
    <xf numFmtId="167" fontId="20" fillId="0" borderId="27" xfId="8" applyNumberFormat="1" applyFont="1" applyFill="1" applyBorder="1" applyAlignment="1" applyProtection="1">
      <alignment horizontal="right" vertical="center"/>
    </xf>
    <xf numFmtId="164" fontId="20" fillId="0" borderId="140" xfId="5" applyNumberFormat="1" applyFont="1" applyFill="1" applyBorder="1" applyAlignment="1" applyProtection="1">
      <alignment horizontal="right" vertical="center"/>
    </xf>
    <xf numFmtId="49" fontId="18" fillId="0" borderId="12" xfId="4" applyNumberFormat="1" applyFont="1" applyFill="1" applyBorder="1" applyAlignment="1" applyProtection="1">
      <alignment horizontal="center" vertical="center"/>
    </xf>
    <xf numFmtId="49" fontId="18" fillId="0" borderId="44" xfId="4" applyNumberFormat="1" applyFont="1" applyFill="1" applyBorder="1" applyAlignment="1" applyProtection="1">
      <alignment horizontal="left" vertical="center"/>
    </xf>
    <xf numFmtId="49" fontId="20" fillId="0" borderId="47" xfId="4" applyNumberFormat="1" applyFont="1" applyFill="1" applyBorder="1" applyAlignment="1" applyProtection="1">
      <alignment horizontal="center" vertical="center"/>
    </xf>
    <xf numFmtId="49" fontId="18" fillId="0" borderId="156" xfId="4" applyNumberFormat="1" applyFont="1" applyFill="1" applyBorder="1" applyAlignment="1" applyProtection="1">
      <alignment horizontal="left" vertical="center"/>
    </xf>
    <xf numFmtId="0" fontId="20" fillId="11" borderId="157" xfId="4" applyFont="1" applyFill="1" applyBorder="1" applyAlignment="1">
      <alignment horizontal="center" vertical="center"/>
    </xf>
    <xf numFmtId="0" fontId="20" fillId="11" borderId="158" xfId="4" applyFont="1" applyFill="1" applyBorder="1" applyAlignment="1">
      <alignment horizontal="center" vertical="center"/>
    </xf>
    <xf numFmtId="168" fontId="20" fillId="0" borderId="134" xfId="4" applyNumberFormat="1" applyFont="1" applyFill="1" applyBorder="1" applyAlignment="1" applyProtection="1">
      <alignment horizontal="right" vertical="center"/>
    </xf>
    <xf numFmtId="167" fontId="20" fillId="0" borderId="134" xfId="4" applyNumberFormat="1" applyFont="1" applyFill="1" applyBorder="1" applyAlignment="1" applyProtection="1">
      <alignment horizontal="right" vertical="center"/>
    </xf>
    <xf numFmtId="168" fontId="20" fillId="0" borderId="161" xfId="4" applyNumberFormat="1" applyFont="1" applyFill="1" applyBorder="1" applyAlignment="1" applyProtection="1">
      <alignment horizontal="right" vertical="center"/>
    </xf>
    <xf numFmtId="168" fontId="20" fillId="0" borderId="162" xfId="4" applyNumberFormat="1" applyFont="1" applyFill="1" applyBorder="1" applyAlignment="1" applyProtection="1">
      <alignment horizontal="right" vertical="center"/>
    </xf>
    <xf numFmtId="168" fontId="20" fillId="0" borderId="143" xfId="4" applyNumberFormat="1" applyFont="1" applyFill="1" applyBorder="1" applyAlignment="1" applyProtection="1">
      <alignment horizontal="right" vertical="center"/>
    </xf>
    <xf numFmtId="167" fontId="20" fillId="0" borderId="143" xfId="4" applyNumberFormat="1" applyFont="1" applyFill="1" applyBorder="1" applyAlignment="1" applyProtection="1">
      <alignment horizontal="right" vertical="center"/>
    </xf>
    <xf numFmtId="168" fontId="20" fillId="0" borderId="163" xfId="4" applyNumberFormat="1" applyFont="1" applyFill="1" applyBorder="1" applyAlignment="1" applyProtection="1">
      <alignment horizontal="right" vertical="center"/>
    </xf>
    <xf numFmtId="168" fontId="20" fillId="0" borderId="142" xfId="4" applyNumberFormat="1" applyFont="1" applyFill="1" applyBorder="1" applyAlignment="1" applyProtection="1">
      <alignment horizontal="right" vertical="center"/>
    </xf>
    <xf numFmtId="167" fontId="20" fillId="0" borderId="142" xfId="4" applyNumberFormat="1" applyFont="1" applyFill="1" applyBorder="1" applyAlignment="1" applyProtection="1">
      <alignment horizontal="right" vertical="center"/>
    </xf>
    <xf numFmtId="164" fontId="20" fillId="0" borderId="144" xfId="5" applyNumberFormat="1" applyFont="1" applyFill="1" applyBorder="1" applyAlignment="1" applyProtection="1">
      <alignment horizontal="right" vertical="center"/>
    </xf>
    <xf numFmtId="0" fontId="0" fillId="0" borderId="161" xfId="0" applyFill="1" applyBorder="1"/>
    <xf numFmtId="0" fontId="0" fillId="0" borderId="134" xfId="0" applyFill="1" applyBorder="1"/>
    <xf numFmtId="0" fontId="0" fillId="0" borderId="166" xfId="0" applyFill="1" applyBorder="1"/>
    <xf numFmtId="0" fontId="0" fillId="0" borderId="135" xfId="0" applyFill="1" applyBorder="1"/>
    <xf numFmtId="0" fontId="20" fillId="0" borderId="167" xfId="4" applyFont="1" applyFill="1" applyBorder="1" applyAlignment="1">
      <alignment horizontal="center" vertical="center" wrapText="1"/>
    </xf>
    <xf numFmtId="0" fontId="20" fillId="0" borderId="136" xfId="4" applyFont="1" applyFill="1" applyBorder="1" applyAlignment="1">
      <alignment horizontal="center" vertical="center" wrapText="1"/>
    </xf>
    <xf numFmtId="0" fontId="20" fillId="11" borderId="171" xfId="4" applyFont="1" applyFill="1" applyBorder="1" applyAlignment="1">
      <alignment horizontal="center" vertical="center"/>
    </xf>
    <xf numFmtId="0" fontId="0" fillId="0" borderId="173" xfId="0" applyFill="1" applyBorder="1"/>
    <xf numFmtId="168" fontId="20" fillId="0" borderId="166" xfId="4" applyNumberFormat="1" applyFont="1" applyFill="1" applyBorder="1" applyAlignment="1" applyProtection="1">
      <alignment horizontal="right" vertical="center"/>
    </xf>
    <xf numFmtId="168" fontId="20" fillId="0" borderId="135" xfId="4" applyNumberFormat="1" applyFont="1" applyFill="1" applyBorder="1" applyAlignment="1" applyProtection="1">
      <alignment horizontal="right" vertical="center"/>
    </xf>
    <xf numFmtId="167" fontId="20" fillId="0" borderId="135" xfId="4" applyNumberFormat="1" applyFont="1" applyFill="1" applyBorder="1" applyAlignment="1" applyProtection="1">
      <alignment horizontal="right" vertical="center"/>
    </xf>
    <xf numFmtId="164" fontId="18" fillId="0" borderId="168" xfId="5" applyNumberFormat="1" applyFont="1" applyFill="1" applyBorder="1" applyAlignment="1" applyProtection="1">
      <alignment horizontal="right" vertical="center"/>
    </xf>
    <xf numFmtId="164" fontId="18" fillId="0" borderId="159" xfId="5" applyNumberFormat="1" applyFont="1" applyFill="1" applyBorder="1" applyAlignment="1" applyProtection="1">
      <alignment horizontal="right" vertical="center"/>
    </xf>
    <xf numFmtId="164" fontId="18" fillId="0" borderId="169" xfId="5" applyNumberFormat="1" applyFont="1" applyFill="1" applyBorder="1" applyAlignment="1" applyProtection="1">
      <alignment horizontal="right" vertical="center"/>
    </xf>
    <xf numFmtId="0" fontId="0" fillId="0" borderId="9" xfId="0" applyFill="1" applyBorder="1"/>
    <xf numFmtId="0" fontId="20" fillId="0" borderId="33" xfId="4" applyFont="1" applyFill="1" applyBorder="1" applyAlignment="1">
      <alignment vertical="center"/>
    </xf>
    <xf numFmtId="0" fontId="20" fillId="0" borderId="57" xfId="4" applyFont="1" applyFill="1" applyBorder="1" applyAlignment="1">
      <alignment vertical="center"/>
    </xf>
    <xf numFmtId="0" fontId="0" fillId="0" borderId="172" xfId="0" applyFill="1" applyBorder="1"/>
    <xf numFmtId="0" fontId="20" fillId="0" borderId="150" xfId="4" applyFont="1" applyFill="1" applyBorder="1" applyAlignment="1">
      <alignment vertical="center"/>
    </xf>
    <xf numFmtId="0" fontId="20" fillId="0" borderId="155" xfId="4" applyFont="1" applyFill="1" applyBorder="1" applyAlignment="1">
      <alignment vertical="center"/>
    </xf>
    <xf numFmtId="164" fontId="20" fillId="0" borderId="150" xfId="4" applyNumberFormat="1" applyFont="1" applyFill="1" applyBorder="1" applyAlignment="1">
      <alignment horizontal="center" vertical="center"/>
    </xf>
    <xf numFmtId="0" fontId="20" fillId="0" borderId="150" xfId="4" applyFont="1" applyFill="1" applyBorder="1" applyAlignment="1">
      <alignment horizontal="center" vertical="center"/>
    </xf>
    <xf numFmtId="0" fontId="20" fillId="0" borderId="155" xfId="4" applyFont="1" applyFill="1" applyBorder="1" applyAlignment="1">
      <alignment horizontal="center" vertical="center"/>
    </xf>
    <xf numFmtId="164" fontId="20" fillId="0" borderId="174" xfId="5" applyNumberFormat="1" applyFont="1" applyFill="1" applyBorder="1" applyAlignment="1" applyProtection="1">
      <alignment horizontal="right" vertical="center"/>
    </xf>
    <xf numFmtId="164" fontId="20" fillId="0" borderId="159" xfId="5" applyNumberFormat="1" applyFont="1" applyFill="1" applyBorder="1" applyAlignment="1" applyProtection="1">
      <alignment horizontal="right" vertical="center"/>
    </xf>
    <xf numFmtId="164" fontId="20" fillId="0" borderId="175" xfId="5" applyNumberFormat="1" applyFont="1" applyFill="1" applyBorder="1" applyAlignment="1" applyProtection="1">
      <alignment horizontal="right" vertical="center"/>
    </xf>
    <xf numFmtId="167" fontId="20" fillId="0" borderId="21" xfId="4" applyNumberFormat="1" applyFont="1" applyFill="1" applyBorder="1" applyAlignment="1" applyProtection="1">
      <alignment horizontal="right" vertical="center"/>
    </xf>
    <xf numFmtId="167" fontId="20" fillId="0" borderId="33" xfId="4" applyNumberFormat="1" applyFont="1" applyFill="1" applyBorder="1" applyAlignment="1" applyProtection="1">
      <alignment horizontal="right" vertical="center"/>
    </xf>
    <xf numFmtId="167" fontId="20" fillId="0" borderId="16" xfId="4" applyNumberFormat="1" applyFont="1" applyFill="1" applyBorder="1" applyAlignment="1" applyProtection="1">
      <alignment horizontal="right" vertical="center"/>
    </xf>
    <xf numFmtId="167" fontId="20" fillId="0" borderId="149" xfId="4" applyNumberFormat="1" applyFont="1" applyFill="1" applyBorder="1" applyAlignment="1" applyProtection="1">
      <alignment horizontal="right" vertical="center"/>
    </xf>
    <xf numFmtId="167" fontId="20" fillId="0" borderId="150" xfId="4" applyNumberFormat="1" applyFont="1" applyFill="1" applyBorder="1" applyAlignment="1" applyProtection="1">
      <alignment horizontal="right" vertical="center"/>
    </xf>
    <xf numFmtId="167" fontId="20" fillId="0" borderId="151" xfId="4" applyNumberFormat="1" applyFont="1" applyFill="1" applyBorder="1" applyAlignment="1" applyProtection="1">
      <alignment horizontal="right" vertical="center"/>
    </xf>
    <xf numFmtId="164" fontId="20" fillId="0" borderId="44" xfId="5" applyNumberFormat="1" applyFont="1" applyFill="1" applyBorder="1" applyAlignment="1" applyProtection="1">
      <alignment horizontal="right" vertical="center"/>
    </xf>
    <xf numFmtId="164" fontId="20" fillId="0" borderId="132" xfId="5" applyNumberFormat="1" applyFont="1" applyFill="1" applyBorder="1" applyAlignment="1" applyProtection="1">
      <alignment horizontal="right" vertical="center"/>
    </xf>
    <xf numFmtId="164" fontId="20" fillId="0" borderId="156" xfId="5" applyNumberFormat="1" applyFont="1" applyFill="1" applyBorder="1" applyAlignment="1" applyProtection="1">
      <alignment horizontal="right" vertical="center"/>
    </xf>
    <xf numFmtId="3" fontId="20" fillId="0" borderId="150" xfId="5" applyNumberFormat="1" applyFont="1" applyFill="1" applyBorder="1" applyAlignment="1" applyProtection="1">
      <alignment horizontal="right" vertical="center"/>
    </xf>
    <xf numFmtId="3" fontId="20" fillId="0" borderId="151" xfId="5" applyNumberFormat="1" applyFont="1" applyFill="1" applyBorder="1" applyAlignment="1" applyProtection="1">
      <alignment horizontal="right" vertical="center"/>
    </xf>
    <xf numFmtId="167" fontId="20" fillId="0" borderId="57" xfId="4" applyNumberFormat="1" applyFont="1" applyFill="1" applyBorder="1" applyAlignment="1" applyProtection="1">
      <alignment horizontal="right" vertical="center"/>
    </xf>
    <xf numFmtId="164" fontId="20" fillId="0" borderId="169" xfId="5" applyNumberFormat="1" applyFont="1" applyFill="1" applyBorder="1" applyAlignment="1" applyProtection="1">
      <alignment horizontal="right" vertical="center"/>
    </xf>
    <xf numFmtId="167" fontId="20" fillId="0" borderId="155" xfId="4" applyNumberFormat="1" applyFont="1" applyFill="1" applyBorder="1" applyAlignment="1" applyProtection="1">
      <alignment horizontal="right" vertical="center"/>
    </xf>
    <xf numFmtId="3" fontId="20" fillId="0" borderId="155" xfId="5" applyNumberFormat="1" applyFont="1" applyFill="1" applyBorder="1" applyAlignment="1" applyProtection="1">
      <alignment horizontal="right" vertical="center"/>
    </xf>
    <xf numFmtId="164" fontId="20" fillId="0" borderId="133" xfId="5" applyNumberFormat="1" applyFont="1" applyFill="1" applyBorder="1" applyAlignment="1" applyProtection="1">
      <alignment horizontal="right" vertical="center"/>
    </xf>
    <xf numFmtId="167" fontId="20" fillId="0" borderId="12" xfId="4" applyNumberFormat="1" applyFont="1" applyFill="1" applyBorder="1" applyAlignment="1" applyProtection="1">
      <alignment horizontal="right" vertical="center"/>
    </xf>
    <xf numFmtId="167" fontId="20" fillId="0" borderId="34" xfId="4" applyNumberFormat="1" applyFont="1" applyFill="1" applyBorder="1" applyAlignment="1" applyProtection="1">
      <alignment horizontal="right" vertical="center"/>
    </xf>
    <xf numFmtId="167" fontId="20" fillId="0" borderId="47" xfId="4" applyNumberFormat="1" applyFont="1" applyFill="1" applyBorder="1" applyAlignment="1" applyProtection="1">
      <alignment horizontal="right" vertical="center"/>
    </xf>
    <xf numFmtId="167" fontId="20" fillId="0" borderId="35" xfId="4" applyNumberFormat="1" applyFont="1" applyFill="1" applyBorder="1" applyAlignment="1" applyProtection="1">
      <alignment horizontal="right" vertical="center"/>
    </xf>
    <xf numFmtId="164" fontId="20" fillId="0" borderId="69" xfId="5" applyNumberFormat="1" applyFont="1" applyFill="1" applyBorder="1" applyAlignment="1" applyProtection="1">
      <alignment horizontal="right" vertical="center"/>
    </xf>
    <xf numFmtId="164" fontId="20" fillId="0" borderId="27" xfId="5" applyNumberFormat="1" applyFont="1" applyFill="1" applyBorder="1" applyAlignment="1" applyProtection="1">
      <alignment horizontal="right" vertical="center"/>
    </xf>
    <xf numFmtId="164" fontId="18" fillId="16" borderId="152" xfId="5" applyNumberFormat="1" applyFont="1" applyFill="1" applyBorder="1" applyAlignment="1" applyProtection="1">
      <alignment horizontal="right" vertical="center"/>
    </xf>
    <xf numFmtId="164" fontId="18" fillId="2" borderId="68" xfId="5" applyNumberFormat="1" applyFont="1" applyFill="1" applyBorder="1" applyAlignment="1" applyProtection="1">
      <alignment horizontal="right" vertical="center"/>
    </xf>
    <xf numFmtId="164" fontId="18" fillId="0" borderId="7" xfId="5" applyNumberFormat="1" applyFont="1" applyFill="1" applyBorder="1" applyAlignment="1" applyProtection="1">
      <alignment horizontal="right" vertical="center"/>
    </xf>
    <xf numFmtId="164" fontId="18" fillId="0" borderId="59" xfId="5" applyNumberFormat="1" applyFont="1" applyFill="1" applyBorder="1" applyAlignment="1" applyProtection="1">
      <alignment horizontal="right" vertical="center"/>
    </xf>
    <xf numFmtId="164" fontId="18" fillId="0" borderId="69" xfId="5" applyNumberFormat="1" applyFont="1" applyFill="1" applyBorder="1" applyAlignment="1" applyProtection="1">
      <alignment horizontal="right" vertical="center"/>
    </xf>
    <xf numFmtId="0" fontId="20" fillId="0" borderId="34" xfId="4" applyFont="1" applyFill="1" applyBorder="1" applyAlignment="1">
      <alignment vertical="center"/>
    </xf>
    <xf numFmtId="0" fontId="20" fillId="0" borderId="35" xfId="4" applyFont="1" applyFill="1" applyBorder="1" applyAlignment="1">
      <alignment vertical="center"/>
    </xf>
    <xf numFmtId="164" fontId="20" fillId="0" borderId="3" xfId="4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/>
    </xf>
    <xf numFmtId="9" fontId="18" fillId="17" borderId="176" xfId="5" applyFont="1" applyFill="1" applyBorder="1" applyAlignment="1">
      <alignment horizontal="center" vertical="center"/>
    </xf>
    <xf numFmtId="10" fontId="18" fillId="0" borderId="164" xfId="5" applyNumberFormat="1" applyFont="1" applyFill="1" applyBorder="1" applyAlignment="1" applyProtection="1">
      <alignment horizontal="right" vertical="center"/>
    </xf>
    <xf numFmtId="3" fontId="20" fillId="0" borderId="165" xfId="4" applyNumberFormat="1" applyFont="1" applyFill="1" applyBorder="1" applyAlignment="1">
      <alignment vertical="center"/>
    </xf>
    <xf numFmtId="10" fontId="20" fillId="0" borderId="161" xfId="5" applyNumberFormat="1" applyFont="1" applyFill="1" applyBorder="1" applyAlignment="1" applyProtection="1">
      <alignment horizontal="right" vertical="center"/>
    </xf>
    <xf numFmtId="3" fontId="20" fillId="0" borderId="139" xfId="4" applyNumberFormat="1" applyFont="1" applyFill="1" applyBorder="1" applyAlignment="1">
      <alignment vertical="center"/>
    </xf>
    <xf numFmtId="10" fontId="20" fillId="0" borderId="166" xfId="5" applyNumberFormat="1" applyFont="1" applyFill="1" applyBorder="1" applyAlignment="1" applyProtection="1">
      <alignment horizontal="right" vertical="center"/>
    </xf>
    <xf numFmtId="3" fontId="20" fillId="0" borderId="140" xfId="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42" fillId="0" borderId="10" xfId="0" applyNumberFormat="1" applyFont="1" applyFill="1" applyBorder="1" applyAlignment="1">
      <alignment vertical="center"/>
    </xf>
    <xf numFmtId="171" fontId="11" fillId="0" borderId="62" xfId="36" applyNumberFormat="1" applyFont="1" applyFill="1" applyBorder="1" applyAlignment="1">
      <alignment vertical="center"/>
    </xf>
    <xf numFmtId="3" fontId="59" fillId="0" borderId="0" xfId="0" applyNumberFormat="1" applyFont="1" applyAlignment="1">
      <alignment vertical="center"/>
    </xf>
    <xf numFmtId="3" fontId="42" fillId="0" borderId="17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3" fontId="42" fillId="0" borderId="26" xfId="0" applyNumberFormat="1" applyFont="1" applyFill="1" applyBorder="1" applyAlignment="1">
      <alignment vertical="center"/>
    </xf>
    <xf numFmtId="3" fontId="59" fillId="0" borderId="0" xfId="36" applyNumberFormat="1" applyFont="1" applyFill="1" applyAlignment="1">
      <alignment vertical="center"/>
    </xf>
    <xf numFmtId="0" fontId="20" fillId="0" borderId="0" xfId="3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0" fillId="0" borderId="15" xfId="0" applyFont="1" applyFill="1" applyBorder="1" applyAlignment="1"/>
    <xf numFmtId="0" fontId="30" fillId="0" borderId="20" xfId="0" applyFont="1" applyFill="1" applyBorder="1" applyAlignment="1"/>
    <xf numFmtId="170" fontId="38" fillId="0" borderId="0" xfId="3" applyNumberFormat="1" applyFont="1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3" fontId="63" fillId="0" borderId="0" xfId="37" applyNumberFormat="1" applyAlignment="1">
      <alignment vertical="center" wrapText="1"/>
    </xf>
    <xf numFmtId="0" fontId="63" fillId="0" borderId="0" xfId="37" applyAlignment="1">
      <alignment vertical="center"/>
    </xf>
    <xf numFmtId="0" fontId="63" fillId="0" borderId="0" xfId="37" applyAlignment="1">
      <alignment vertical="center" wrapText="1"/>
    </xf>
    <xf numFmtId="3" fontId="11" fillId="0" borderId="20" xfId="3" applyNumberFormat="1" applyFill="1" applyBorder="1" applyAlignment="1">
      <alignment vertical="center"/>
    </xf>
    <xf numFmtId="0" fontId="60" fillId="0" borderId="0" xfId="0" applyFont="1" applyAlignment="1"/>
    <xf numFmtId="0" fontId="42" fillId="0" borderId="21" xfId="0" applyFont="1" applyBorder="1" applyAlignment="1"/>
    <xf numFmtId="0" fontId="42" fillId="0" borderId="13" xfId="0" applyFont="1" applyBorder="1" applyAlignment="1"/>
    <xf numFmtId="0" fontId="42" fillId="0" borderId="14" xfId="0" applyFont="1" applyBorder="1" applyAlignment="1"/>
    <xf numFmtId="3" fontId="42" fillId="0" borderId="20" xfId="0" applyNumberFormat="1" applyFont="1" applyBorder="1"/>
    <xf numFmtId="174" fontId="42" fillId="0" borderId="20" xfId="0" applyNumberFormat="1" applyFont="1" applyBorder="1" applyAlignment="1">
      <alignment horizontal="right"/>
    </xf>
    <xf numFmtId="0" fontId="42" fillId="0" borderId="0" xfId="0" applyFont="1" applyBorder="1" applyAlignment="1">
      <alignment horizontal="left"/>
    </xf>
    <xf numFmtId="174" fontId="42" fillId="0" borderId="0" xfId="0" applyNumberFormat="1" applyFont="1" applyBorder="1" applyAlignment="1">
      <alignment horizontal="right"/>
    </xf>
    <xf numFmtId="0" fontId="43" fillId="0" borderId="23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49" fontId="30" fillId="0" borderId="64" xfId="0" applyNumberFormat="1" applyFont="1" applyFill="1" applyBorder="1" applyAlignment="1">
      <alignment horizontal="center"/>
    </xf>
    <xf numFmtId="3" fontId="11" fillId="0" borderId="15" xfId="4" applyNumberFormat="1" applyFont="1" applyFill="1" applyBorder="1" applyAlignment="1">
      <alignment horizontal="right" indent="1"/>
    </xf>
    <xf numFmtId="3" fontId="11" fillId="0" borderId="16" xfId="4" applyNumberFormat="1" applyFont="1" applyFill="1" applyBorder="1" applyAlignment="1">
      <alignment horizontal="right" indent="1"/>
    </xf>
    <xf numFmtId="3" fontId="43" fillId="0" borderId="77" xfId="0" applyNumberFormat="1" applyFont="1" applyBorder="1" applyAlignment="1">
      <alignment horizontal="right" indent="1"/>
    </xf>
    <xf numFmtId="175" fontId="42" fillId="0" borderId="0" xfId="0" applyNumberFormat="1" applyFont="1"/>
    <xf numFmtId="49" fontId="30" fillId="0" borderId="19" xfId="0" applyNumberFormat="1" applyFont="1" applyFill="1" applyBorder="1" applyAlignment="1">
      <alignment horizontal="center"/>
    </xf>
    <xf numFmtId="3" fontId="11" fillId="0" borderId="20" xfId="4" applyNumberFormat="1" applyFont="1" applyFill="1" applyBorder="1" applyAlignment="1">
      <alignment horizontal="right" indent="1"/>
    </xf>
    <xf numFmtId="3" fontId="11" fillId="0" borderId="21" xfId="4" applyNumberFormat="1" applyFont="1" applyFill="1" applyBorder="1" applyAlignment="1">
      <alignment horizontal="right" indent="1"/>
    </xf>
    <xf numFmtId="3" fontId="42" fillId="0" borderId="0" xfId="0" applyNumberFormat="1" applyFont="1"/>
    <xf numFmtId="3" fontId="42" fillId="0" borderId="20" xfId="0" applyNumberFormat="1" applyFont="1" applyFill="1" applyBorder="1" applyAlignment="1">
      <alignment horizontal="right" indent="1"/>
    </xf>
    <xf numFmtId="3" fontId="42" fillId="0" borderId="21" xfId="0" applyNumberFormat="1" applyFont="1" applyFill="1" applyBorder="1" applyAlignment="1">
      <alignment horizontal="right" indent="1"/>
    </xf>
    <xf numFmtId="49" fontId="30" fillId="0" borderId="51" xfId="0" applyNumberFormat="1" applyFont="1" applyFill="1" applyBorder="1" applyAlignment="1">
      <alignment horizontal="center"/>
    </xf>
    <xf numFmtId="0" fontId="30" fillId="0" borderId="54" xfId="0" applyFont="1" applyFill="1" applyBorder="1" applyAlignment="1"/>
    <xf numFmtId="3" fontId="42" fillId="0" borderId="54" xfId="0" applyNumberFormat="1" applyFont="1" applyFill="1" applyBorder="1" applyAlignment="1">
      <alignment horizontal="right" indent="1"/>
    </xf>
    <xf numFmtId="3" fontId="42" fillId="0" borderId="52" xfId="0" applyNumberFormat="1" applyFont="1" applyFill="1" applyBorder="1" applyAlignment="1">
      <alignment horizontal="right" indent="1"/>
    </xf>
    <xf numFmtId="0" fontId="43" fillId="0" borderId="56" xfId="0" applyFont="1" applyBorder="1" applyAlignment="1"/>
    <xf numFmtId="0" fontId="43" fillId="0" borderId="68" xfId="0" applyFont="1" applyBorder="1" applyAlignment="1"/>
    <xf numFmtId="3" fontId="43" fillId="0" borderId="2" xfId="0" applyNumberFormat="1" applyFont="1" applyFill="1" applyBorder="1" applyAlignment="1">
      <alignment horizontal="right" indent="1"/>
    </xf>
    <xf numFmtId="3" fontId="43" fillId="0" borderId="3" xfId="0" applyNumberFormat="1" applyFont="1" applyFill="1" applyBorder="1" applyAlignment="1">
      <alignment horizontal="right" indent="1"/>
    </xf>
    <xf numFmtId="3" fontId="43" fillId="0" borderId="62" xfId="0" applyNumberFormat="1" applyFont="1" applyBorder="1" applyAlignment="1">
      <alignment horizontal="right" indent="1"/>
    </xf>
    <xf numFmtId="0" fontId="65" fillId="0" borderId="0" xfId="0" applyFont="1"/>
    <xf numFmtId="0" fontId="65" fillId="0" borderId="0" xfId="0" applyFont="1" applyAlignment="1">
      <alignment horizontal="center"/>
    </xf>
    <xf numFmtId="0" fontId="43" fillId="0" borderId="179" xfId="0" applyFont="1" applyFill="1" applyBorder="1" applyAlignment="1">
      <alignment horizontal="center" vertical="center" wrapText="1"/>
    </xf>
    <xf numFmtId="0" fontId="43" fillId="0" borderId="180" xfId="0" applyFont="1" applyFill="1" applyBorder="1" applyAlignment="1">
      <alignment horizontal="center" vertical="center" wrapText="1"/>
    </xf>
    <xf numFmtId="0" fontId="9" fillId="0" borderId="0" xfId="37" applyFont="1" applyAlignment="1">
      <alignment vertical="center"/>
    </xf>
    <xf numFmtId="3" fontId="11" fillId="0" borderId="0" xfId="37" applyNumberFormat="1" applyFont="1" applyAlignment="1">
      <alignment vertical="center" wrapText="1"/>
    </xf>
    <xf numFmtId="0" fontId="11" fillId="0" borderId="0" xfId="37" applyFont="1" applyAlignment="1">
      <alignment vertical="center"/>
    </xf>
    <xf numFmtId="0" fontId="11" fillId="0" borderId="0" xfId="37" applyFont="1" applyAlignment="1">
      <alignment vertical="center" wrapText="1"/>
    </xf>
    <xf numFmtId="0" fontId="11" fillId="0" borderId="56" xfId="37" applyFont="1" applyBorder="1" applyAlignment="1">
      <alignment vertical="center"/>
    </xf>
    <xf numFmtId="0" fontId="11" fillId="0" borderId="68" xfId="37" applyFont="1" applyBorder="1" applyAlignment="1">
      <alignment vertical="center"/>
    </xf>
    <xf numFmtId="3" fontId="11" fillId="0" borderId="4" xfId="37" applyNumberFormat="1" applyFont="1" applyBorder="1" applyAlignment="1">
      <alignment vertical="center" wrapText="1"/>
    </xf>
    <xf numFmtId="0" fontId="11" fillId="0" borderId="5" xfId="37" applyFont="1" applyBorder="1" applyAlignment="1">
      <alignment vertical="center"/>
    </xf>
    <xf numFmtId="0" fontId="11" fillId="0" borderId="7" xfId="37" applyFont="1" applyBorder="1" applyAlignment="1">
      <alignment vertical="center"/>
    </xf>
    <xf numFmtId="3" fontId="11" fillId="0" borderId="10" xfId="37" applyNumberFormat="1" applyFont="1" applyBorder="1" applyAlignment="1">
      <alignment vertical="center"/>
    </xf>
    <xf numFmtId="0" fontId="11" fillId="0" borderId="12" xfId="37" applyFont="1" applyBorder="1" applyAlignment="1">
      <alignment vertical="center"/>
    </xf>
    <xf numFmtId="0" fontId="11" fillId="0" borderId="14" xfId="37" applyFont="1" applyBorder="1" applyAlignment="1">
      <alignment vertical="center"/>
    </xf>
    <xf numFmtId="3" fontId="11" fillId="0" borderId="18" xfId="37" applyNumberFormat="1" applyFont="1" applyBorder="1" applyAlignment="1">
      <alignment vertical="center"/>
    </xf>
    <xf numFmtId="0" fontId="11" fillId="0" borderId="63" xfId="37" applyFont="1" applyBorder="1" applyAlignment="1">
      <alignment vertical="center"/>
    </xf>
    <xf numFmtId="0" fontId="11" fillId="0" borderId="188" xfId="37" applyFont="1" applyBorder="1" applyAlignment="1">
      <alignment vertical="center"/>
    </xf>
    <xf numFmtId="3" fontId="11" fillId="0" borderId="26" xfId="37" applyNumberFormat="1" applyFont="1" applyBorder="1" applyAlignment="1">
      <alignment vertical="center"/>
    </xf>
    <xf numFmtId="3" fontId="11" fillId="0" borderId="0" xfId="37" applyNumberFormat="1" applyFont="1" applyAlignment="1">
      <alignment vertical="center"/>
    </xf>
    <xf numFmtId="0" fontId="11" fillId="0" borderId="1" xfId="37" applyFont="1" applyBorder="1" applyAlignment="1">
      <alignment horizontal="center" vertical="center" wrapText="1"/>
    </xf>
    <xf numFmtId="0" fontId="11" fillId="0" borderId="2" xfId="37" applyFont="1" applyBorder="1" applyAlignment="1">
      <alignment vertical="center"/>
    </xf>
    <xf numFmtId="3" fontId="34" fillId="0" borderId="2" xfId="37" applyNumberFormat="1" applyFont="1" applyBorder="1" applyAlignment="1">
      <alignment horizontal="center" vertical="center" wrapText="1"/>
    </xf>
    <xf numFmtId="0" fontId="34" fillId="0" borderId="2" xfId="37" applyFont="1" applyBorder="1" applyAlignment="1">
      <alignment horizontal="center" vertical="center" wrapText="1"/>
    </xf>
    <xf numFmtId="0" fontId="34" fillId="0" borderId="4" xfId="37" applyFont="1" applyBorder="1" applyAlignment="1">
      <alignment horizontal="center" vertical="center" wrapText="1"/>
    </xf>
    <xf numFmtId="3" fontId="34" fillId="0" borderId="15" xfId="37" applyNumberFormat="1" applyFont="1" applyBorder="1" applyAlignment="1">
      <alignment vertical="center" wrapText="1"/>
    </xf>
    <xf numFmtId="0" fontId="11" fillId="0" borderId="15" xfId="37" applyFont="1" applyBorder="1" applyAlignment="1">
      <alignment vertical="center"/>
    </xf>
    <xf numFmtId="0" fontId="11" fillId="0" borderId="17" xfId="37" applyFont="1" applyBorder="1" applyAlignment="1">
      <alignment vertical="center"/>
    </xf>
    <xf numFmtId="3" fontId="34" fillId="0" borderId="20" xfId="37" applyNumberFormat="1" applyFont="1" applyBorder="1" applyAlignment="1">
      <alignment vertical="center" wrapText="1"/>
    </xf>
    <xf numFmtId="0" fontId="11" fillId="0" borderId="20" xfId="37" applyFont="1" applyBorder="1" applyAlignment="1">
      <alignment vertical="center"/>
    </xf>
    <xf numFmtId="0" fontId="11" fillId="0" borderId="18" xfId="37" applyFont="1" applyBorder="1" applyAlignment="1">
      <alignment vertical="center"/>
    </xf>
    <xf numFmtId="0" fontId="34" fillId="0" borderId="20" xfId="37" applyFont="1" applyBorder="1" applyAlignment="1">
      <alignment vertical="center" wrapText="1"/>
    </xf>
    <xf numFmtId="3" fontId="34" fillId="0" borderId="54" xfId="37" applyNumberFormat="1" applyFont="1" applyBorder="1" applyAlignment="1">
      <alignment vertical="center" wrapText="1"/>
    </xf>
    <xf numFmtId="0" fontId="11" fillId="0" borderId="54" xfId="37" applyFont="1" applyBorder="1" applyAlignment="1">
      <alignment vertical="center"/>
    </xf>
    <xf numFmtId="0" fontId="11" fillId="0" borderId="55" xfId="37" applyFont="1" applyBorder="1" applyAlignment="1">
      <alignment vertical="center"/>
    </xf>
    <xf numFmtId="0" fontId="11" fillId="0" borderId="22" xfId="37" applyFont="1" applyBorder="1" applyAlignment="1">
      <alignment vertical="center"/>
    </xf>
    <xf numFmtId="3" fontId="34" fillId="0" borderId="23" xfId="37" applyNumberFormat="1" applyFont="1" applyBorder="1" applyAlignment="1">
      <alignment vertical="center" wrapText="1"/>
    </xf>
    <xf numFmtId="0" fontId="11" fillId="0" borderId="23" xfId="37" applyFont="1" applyBorder="1" applyAlignment="1">
      <alignment vertical="center"/>
    </xf>
    <xf numFmtId="0" fontId="11" fillId="0" borderId="26" xfId="37" applyFont="1" applyBorder="1" applyAlignment="1">
      <alignment vertical="center"/>
    </xf>
    <xf numFmtId="0" fontId="11" fillId="0" borderId="1" xfId="37" applyFont="1" applyBorder="1" applyAlignment="1">
      <alignment vertical="center"/>
    </xf>
    <xf numFmtId="0" fontId="34" fillId="0" borderId="2" xfId="37" applyFont="1" applyBorder="1" applyAlignment="1">
      <alignment vertical="center"/>
    </xf>
    <xf numFmtId="3" fontId="34" fillId="0" borderId="37" xfId="37" applyNumberFormat="1" applyFont="1" applyBorder="1" applyAlignment="1">
      <alignment vertical="center" wrapText="1"/>
    </xf>
    <xf numFmtId="0" fontId="11" fillId="0" borderId="37" xfId="37" applyFont="1" applyBorder="1" applyAlignment="1">
      <alignment vertical="center"/>
    </xf>
    <xf numFmtId="3" fontId="34" fillId="0" borderId="2" xfId="37" applyNumberFormat="1" applyFont="1" applyBorder="1" applyAlignment="1">
      <alignment vertical="center" wrapText="1"/>
    </xf>
    <xf numFmtId="0" fontId="11" fillId="0" borderId="4" xfId="37" applyFont="1" applyBorder="1" applyAlignment="1">
      <alignment vertical="center"/>
    </xf>
    <xf numFmtId="0" fontId="42" fillId="0" borderId="11" xfId="0" applyFont="1" applyBorder="1"/>
    <xf numFmtId="0" fontId="42" fillId="0" borderId="19" xfId="0" applyFont="1" applyBorder="1"/>
    <xf numFmtId="0" fontId="11" fillId="0" borderId="23" xfId="37" applyFont="1" applyBorder="1" applyAlignment="1">
      <alignment vertical="center" wrapText="1"/>
    </xf>
    <xf numFmtId="0" fontId="66" fillId="0" borderId="0" xfId="0" applyFont="1" applyAlignment="1">
      <alignment vertical="center"/>
    </xf>
    <xf numFmtId="0" fontId="42" fillId="0" borderId="21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166" fontId="42" fillId="0" borderId="20" xfId="0" applyNumberFormat="1" applyFont="1" applyBorder="1" applyAlignment="1">
      <alignment horizontal="right" vertical="center"/>
    </xf>
    <xf numFmtId="166" fontId="42" fillId="0" borderId="0" xfId="0" applyNumberFormat="1" applyFont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49" fontId="30" fillId="0" borderId="78" xfId="0" applyNumberFormat="1" applyFont="1" applyFill="1" applyBorder="1" applyAlignment="1">
      <alignment horizontal="center" vertical="center"/>
    </xf>
    <xf numFmtId="0" fontId="30" fillId="0" borderId="78" xfId="0" applyFont="1" applyFill="1" applyBorder="1" applyAlignment="1">
      <alignment vertical="center"/>
    </xf>
    <xf numFmtId="3" fontId="42" fillId="0" borderId="78" xfId="0" applyNumberFormat="1" applyFont="1" applyBorder="1" applyAlignment="1">
      <alignment horizontal="right" vertical="center"/>
    </xf>
    <xf numFmtId="3" fontId="42" fillId="0" borderId="79" xfId="0" applyNumberFormat="1" applyFont="1" applyBorder="1" applyAlignment="1">
      <alignment horizontal="right" vertical="center"/>
    </xf>
    <xf numFmtId="3" fontId="43" fillId="0" borderId="182" xfId="0" applyNumberFormat="1" applyFont="1" applyBorder="1" applyAlignment="1">
      <alignment horizontal="right" vertical="center"/>
    </xf>
    <xf numFmtId="49" fontId="30" fillId="0" borderId="20" xfId="0" applyNumberFormat="1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vertical="center"/>
    </xf>
    <xf numFmtId="3" fontId="42" fillId="0" borderId="20" xfId="0" applyNumberFormat="1" applyFont="1" applyBorder="1" applyAlignment="1">
      <alignment horizontal="right" vertical="center"/>
    </xf>
    <xf numFmtId="3" fontId="42" fillId="0" borderId="21" xfId="0" applyNumberFormat="1" applyFont="1" applyBorder="1" applyAlignment="1">
      <alignment horizontal="right" vertical="center"/>
    </xf>
    <xf numFmtId="3" fontId="43" fillId="0" borderId="18" xfId="0" applyNumberFormat="1" applyFont="1" applyBorder="1" applyAlignment="1">
      <alignment horizontal="right" vertical="center"/>
    </xf>
    <xf numFmtId="3" fontId="42" fillId="0" borderId="20" xfId="0" applyNumberFormat="1" applyFont="1" applyFill="1" applyBorder="1" applyAlignment="1">
      <alignment horizontal="right" vertical="center"/>
    </xf>
    <xf numFmtId="3" fontId="42" fillId="0" borderId="21" xfId="0" applyNumberFormat="1" applyFont="1" applyFill="1" applyBorder="1" applyAlignment="1">
      <alignment horizontal="right" vertical="center"/>
    </xf>
    <xf numFmtId="3" fontId="43" fillId="0" borderId="18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vertical="center"/>
    </xf>
    <xf numFmtId="49" fontId="30" fillId="0" borderId="54" xfId="0" applyNumberFormat="1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vertical="center"/>
    </xf>
    <xf numFmtId="0" fontId="43" fillId="0" borderId="183" xfId="0" applyFont="1" applyFill="1" applyBorder="1" applyAlignment="1">
      <alignment horizontal="center" vertical="center"/>
    </xf>
    <xf numFmtId="0" fontId="67" fillId="0" borderId="184" xfId="0" applyFont="1" applyFill="1" applyBorder="1" applyAlignment="1">
      <alignment vertical="center"/>
    </xf>
    <xf numFmtId="3" fontId="43" fillId="0" borderId="185" xfId="0" applyNumberFormat="1" applyFont="1" applyFill="1" applyBorder="1" applyAlignment="1">
      <alignment horizontal="right" vertical="center"/>
    </xf>
    <xf numFmtId="3" fontId="43" fillId="0" borderId="186" xfId="0" applyNumberFormat="1" applyFont="1" applyFill="1" applyBorder="1" applyAlignment="1">
      <alignment horizontal="right" vertical="center"/>
    </xf>
    <xf numFmtId="3" fontId="43" fillId="0" borderId="187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vertical="center"/>
    </xf>
    <xf numFmtId="0" fontId="65" fillId="0" borderId="0" xfId="0" applyFont="1" applyFill="1" applyAlignment="1">
      <alignment vertical="center"/>
    </xf>
    <xf numFmtId="3" fontId="68" fillId="0" borderId="0" xfId="0" applyNumberFormat="1" applyFont="1" applyFill="1" applyAlignment="1">
      <alignment vertical="center"/>
    </xf>
    <xf numFmtId="0" fontId="65" fillId="0" borderId="0" xfId="0" applyFont="1" applyAlignment="1">
      <alignment vertical="center"/>
    </xf>
    <xf numFmtId="164" fontId="68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4" fillId="0" borderId="0" xfId="37" applyFont="1" applyAlignment="1">
      <alignment horizontal="right" vertical="center" wrapText="1"/>
    </xf>
    <xf numFmtId="0" fontId="69" fillId="0" borderId="0" xfId="0" applyFont="1" applyBorder="1" applyAlignment="1">
      <alignment horizontal="left"/>
    </xf>
    <xf numFmtId="174" fontId="69" fillId="0" borderId="0" xfId="0" applyNumberFormat="1" applyFont="1" applyBorder="1" applyAlignment="1">
      <alignment horizontal="right"/>
    </xf>
    <xf numFmtId="0" fontId="8" fillId="5" borderId="9" xfId="1" applyFont="1" applyFill="1" applyBorder="1" applyAlignment="1">
      <alignment vertical="center"/>
    </xf>
    <xf numFmtId="0" fontId="8" fillId="5" borderId="31" xfId="1" applyFont="1" applyFill="1" applyBorder="1" applyAlignment="1">
      <alignment vertical="center"/>
    </xf>
    <xf numFmtId="0" fontId="8" fillId="5" borderId="21" xfId="1" applyFont="1" applyFill="1" applyBorder="1" applyAlignment="1">
      <alignment vertical="center"/>
    </xf>
    <xf numFmtId="0" fontId="8" fillId="5" borderId="13" xfId="1" applyFont="1" applyFill="1" applyBorder="1" applyAlignment="1">
      <alignment vertical="center"/>
    </xf>
    <xf numFmtId="0" fontId="8" fillId="5" borderId="25" xfId="1" applyFont="1" applyFill="1" applyBorder="1" applyAlignment="1">
      <alignment vertical="center"/>
    </xf>
    <xf numFmtId="0" fontId="8" fillId="5" borderId="53" xfId="1" applyFont="1" applyFill="1" applyBorder="1" applyAlignment="1">
      <alignment vertical="center"/>
    </xf>
    <xf numFmtId="0" fontId="8" fillId="5" borderId="34" xfId="1" applyFont="1" applyFill="1" applyBorder="1" applyAlignment="1">
      <alignment vertical="center"/>
    </xf>
    <xf numFmtId="0" fontId="8" fillId="5" borderId="0" xfId="1" applyFont="1" applyFill="1" applyBorder="1" applyAlignment="1">
      <alignment vertical="center"/>
    </xf>
    <xf numFmtId="0" fontId="7" fillId="5" borderId="0" xfId="1" applyFont="1" applyFill="1" applyBorder="1" applyAlignment="1">
      <alignment vertical="center"/>
    </xf>
    <xf numFmtId="0" fontId="6" fillId="5" borderId="0" xfId="1" applyFont="1" applyFill="1" applyBorder="1" applyAlignment="1">
      <alignment vertical="center"/>
    </xf>
    <xf numFmtId="3" fontId="8" fillId="5" borderId="0" xfId="1" applyNumberFormat="1" applyFont="1" applyFill="1" applyBorder="1" applyAlignment="1">
      <alignment horizontal="center" vertical="center"/>
    </xf>
    <xf numFmtId="10" fontId="50" fillId="5" borderId="0" xfId="1" applyNumberFormat="1" applyFont="1" applyFill="1" applyBorder="1" applyAlignment="1">
      <alignment horizontal="center" vertical="center"/>
    </xf>
    <xf numFmtId="0" fontId="12" fillId="5" borderId="0" xfId="1" applyFont="1" applyFill="1" applyBorder="1" applyAlignment="1">
      <alignment vertical="center"/>
    </xf>
    <xf numFmtId="10" fontId="8" fillId="5" borderId="0" xfId="1" applyNumberFormat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vertical="center"/>
    </xf>
    <xf numFmtId="0" fontId="8" fillId="5" borderId="8" xfId="1" applyFont="1" applyFill="1" applyBorder="1" applyAlignment="1">
      <alignment vertical="center"/>
    </xf>
    <xf numFmtId="3" fontId="6" fillId="5" borderId="38" xfId="1" applyNumberFormat="1" applyFont="1" applyFill="1" applyBorder="1" applyAlignment="1">
      <alignment vertical="center"/>
    </xf>
    <xf numFmtId="164" fontId="50" fillId="5" borderId="38" xfId="1" applyNumberFormat="1" applyFont="1" applyFill="1" applyBorder="1" applyAlignment="1">
      <alignment vertical="center"/>
    </xf>
    <xf numFmtId="164" fontId="50" fillId="5" borderId="39" xfId="1" applyNumberFormat="1" applyFont="1" applyFill="1" applyBorder="1" applyAlignment="1">
      <alignment vertical="center"/>
    </xf>
    <xf numFmtId="0" fontId="8" fillId="5" borderId="19" xfId="1" applyFont="1" applyFill="1" applyBorder="1" applyAlignment="1">
      <alignment vertical="center"/>
    </xf>
    <xf numFmtId="0" fontId="8" fillId="5" borderId="20" xfId="1" applyFont="1" applyFill="1" applyBorder="1" applyAlignment="1">
      <alignment vertical="center" wrapText="1"/>
    </xf>
    <xf numFmtId="3" fontId="6" fillId="5" borderId="20" xfId="1" applyNumberFormat="1" applyFont="1" applyFill="1" applyBorder="1" applyAlignment="1">
      <alignment vertical="center"/>
    </xf>
    <xf numFmtId="164" fontId="50" fillId="5" borderId="20" xfId="1" applyNumberFormat="1" applyFont="1" applyFill="1" applyBorder="1" applyAlignment="1">
      <alignment vertical="center"/>
    </xf>
    <xf numFmtId="3" fontId="6" fillId="5" borderId="20" xfId="1" applyNumberFormat="1" applyFont="1" applyFill="1" applyBorder="1" applyAlignment="1">
      <alignment horizontal="center" vertical="center"/>
    </xf>
    <xf numFmtId="164" fontId="50" fillId="5" borderId="20" xfId="1" applyNumberFormat="1" applyFont="1" applyFill="1" applyBorder="1" applyAlignment="1">
      <alignment horizontal="center" vertical="center"/>
    </xf>
    <xf numFmtId="164" fontId="50" fillId="5" borderId="18" xfId="1" applyNumberFormat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vertical="center"/>
    </xf>
    <xf numFmtId="0" fontId="8" fillId="5" borderId="23" xfId="1" applyFont="1" applyFill="1" applyBorder="1" applyAlignment="1">
      <alignment vertical="center" wrapText="1"/>
    </xf>
    <xf numFmtId="3" fontId="6" fillId="5" borderId="23" xfId="1" applyNumberFormat="1" applyFont="1" applyFill="1" applyBorder="1" applyAlignment="1">
      <alignment vertical="center"/>
    </xf>
    <xf numFmtId="164" fontId="50" fillId="5" borderId="23" xfId="1" applyNumberFormat="1" applyFont="1" applyFill="1" applyBorder="1" applyAlignment="1">
      <alignment vertical="center"/>
    </xf>
    <xf numFmtId="164" fontId="50" fillId="5" borderId="26" xfId="1" applyNumberFormat="1" applyFont="1" applyFill="1" applyBorder="1" applyAlignment="1">
      <alignment horizontal="right" vertical="center"/>
    </xf>
    <xf numFmtId="0" fontId="13" fillId="5" borderId="41" xfId="1" applyFont="1" applyFill="1" applyBorder="1" applyAlignment="1">
      <alignment vertical="center"/>
    </xf>
    <xf numFmtId="0" fontId="13" fillId="5" borderId="37" xfId="1" applyFont="1" applyFill="1" applyBorder="1" applyAlignment="1">
      <alignment vertical="center" wrapText="1"/>
    </xf>
    <xf numFmtId="3" fontId="12" fillId="5" borderId="37" xfId="1" applyNumberFormat="1" applyFont="1" applyFill="1" applyBorder="1" applyAlignment="1">
      <alignment horizontal="right" vertical="center"/>
    </xf>
    <xf numFmtId="164" fontId="51" fillId="5" borderId="37" xfId="1" applyNumberFormat="1" applyFont="1" applyFill="1" applyBorder="1" applyAlignment="1">
      <alignment horizontal="right" vertical="center"/>
    </xf>
    <xf numFmtId="164" fontId="52" fillId="5" borderId="24" xfId="1" applyNumberFormat="1" applyFont="1" applyFill="1" applyBorder="1" applyAlignment="1">
      <alignment horizontal="right" vertical="center"/>
    </xf>
    <xf numFmtId="3" fontId="8" fillId="5" borderId="0" xfId="1" applyNumberFormat="1" applyFont="1" applyFill="1" applyBorder="1" applyAlignment="1">
      <alignment horizontal="right" vertical="center"/>
    </xf>
    <xf numFmtId="10" fontId="8" fillId="5" borderId="0" xfId="1" applyNumberFormat="1" applyFont="1" applyFill="1" applyBorder="1" applyAlignment="1">
      <alignment horizontal="right" vertical="center"/>
    </xf>
    <xf numFmtId="164" fontId="50" fillId="5" borderId="0" xfId="1" applyNumberFormat="1" applyFont="1" applyFill="1" applyBorder="1" applyAlignment="1">
      <alignment horizontal="right" vertical="center"/>
    </xf>
    <xf numFmtId="3" fontId="6" fillId="5" borderId="8" xfId="1" applyNumberFormat="1" applyFont="1" applyFill="1" applyBorder="1" applyAlignment="1">
      <alignment horizontal="right" vertical="center"/>
    </xf>
    <xf numFmtId="164" fontId="50" fillId="5" borderId="8" xfId="1" applyNumberFormat="1" applyFont="1" applyFill="1" applyBorder="1" applyAlignment="1">
      <alignment horizontal="right" vertical="center"/>
    </xf>
    <xf numFmtId="164" fontId="50" fillId="5" borderId="42" xfId="1" applyNumberFormat="1" applyFont="1" applyFill="1" applyBorder="1" applyAlignment="1">
      <alignment horizontal="right" vertical="center"/>
    </xf>
    <xf numFmtId="0" fontId="8" fillId="5" borderId="20" xfId="1" applyFont="1" applyFill="1" applyBorder="1" applyAlignment="1">
      <alignment vertical="center"/>
    </xf>
    <xf numFmtId="3" fontId="6" fillId="5" borderId="20" xfId="1" applyNumberFormat="1" applyFont="1" applyFill="1" applyBorder="1" applyAlignment="1">
      <alignment horizontal="right" vertical="center"/>
    </xf>
    <xf numFmtId="164" fontId="50" fillId="5" borderId="20" xfId="1" applyNumberFormat="1" applyFont="1" applyFill="1" applyBorder="1" applyAlignment="1">
      <alignment horizontal="right" vertical="center"/>
    </xf>
    <xf numFmtId="164" fontId="50" fillId="5" borderId="44" xfId="1" applyNumberFormat="1" applyFont="1" applyFill="1" applyBorder="1" applyAlignment="1">
      <alignment horizontal="right" vertical="center"/>
    </xf>
    <xf numFmtId="0" fontId="8" fillId="5" borderId="23" xfId="1" applyFont="1" applyFill="1" applyBorder="1" applyAlignment="1">
      <alignment vertical="center"/>
    </xf>
    <xf numFmtId="3" fontId="6" fillId="5" borderId="23" xfId="1" applyNumberFormat="1" applyFont="1" applyFill="1" applyBorder="1" applyAlignment="1">
      <alignment horizontal="right" vertical="center"/>
    </xf>
    <xf numFmtId="164" fontId="50" fillId="5" borderId="23" xfId="1" applyNumberFormat="1" applyFont="1" applyFill="1" applyBorder="1" applyAlignment="1">
      <alignment horizontal="right" vertical="center"/>
    </xf>
    <xf numFmtId="164" fontId="50" fillId="5" borderId="46" xfId="1" applyNumberFormat="1" applyFont="1" applyFill="1" applyBorder="1" applyAlignment="1">
      <alignment horizontal="right" vertical="center"/>
    </xf>
    <xf numFmtId="164" fontId="50" fillId="5" borderId="10" xfId="1" applyNumberFormat="1" applyFont="1" applyFill="1" applyBorder="1" applyAlignment="1">
      <alignment horizontal="right" vertical="center"/>
    </xf>
    <xf numFmtId="0" fontId="8" fillId="5" borderId="47" xfId="1" applyFont="1" applyFill="1" applyBorder="1" applyAlignment="1">
      <alignment vertical="center"/>
    </xf>
    <xf numFmtId="0" fontId="8" fillId="5" borderId="48" xfId="1" applyFont="1" applyFill="1" applyBorder="1" applyAlignment="1">
      <alignment vertical="center"/>
    </xf>
    <xf numFmtId="0" fontId="8" fillId="5" borderId="1" xfId="1" applyFont="1" applyFill="1" applyBorder="1" applyAlignment="1">
      <alignment vertical="center"/>
    </xf>
    <xf numFmtId="0" fontId="8" fillId="5" borderId="3" xfId="1" applyFont="1" applyFill="1" applyBorder="1" applyAlignment="1">
      <alignment vertical="center"/>
    </xf>
    <xf numFmtId="0" fontId="6" fillId="5" borderId="3" xfId="1" applyFont="1" applyFill="1" applyBorder="1" applyAlignment="1">
      <alignment vertical="center"/>
    </xf>
    <xf numFmtId="0" fontId="6" fillId="5" borderId="36" xfId="1" applyFont="1" applyFill="1" applyBorder="1" applyAlignment="1">
      <alignment vertical="center"/>
    </xf>
    <xf numFmtId="3" fontId="6" fillId="5" borderId="2" xfId="1" applyNumberFormat="1" applyFont="1" applyFill="1" applyBorder="1" applyAlignment="1">
      <alignment horizontal="right" vertical="center"/>
    </xf>
    <xf numFmtId="164" fontId="50" fillId="5" borderId="2" xfId="1" applyNumberFormat="1" applyFont="1" applyFill="1" applyBorder="1" applyAlignment="1">
      <alignment horizontal="right" vertical="center"/>
    </xf>
    <xf numFmtId="164" fontId="50" fillId="5" borderId="4" xfId="1" applyNumberFormat="1" applyFont="1" applyFill="1" applyBorder="1" applyAlignment="1">
      <alignment horizontal="right" vertical="center"/>
    </xf>
    <xf numFmtId="3" fontId="6" fillId="5" borderId="15" xfId="1" applyNumberFormat="1" applyFont="1" applyFill="1" applyBorder="1" applyAlignment="1">
      <alignment horizontal="right" vertical="center"/>
    </xf>
    <xf numFmtId="164" fontId="50" fillId="5" borderId="17" xfId="1" applyNumberFormat="1" applyFont="1" applyFill="1" applyBorder="1" applyAlignment="1">
      <alignment horizontal="right" vertical="center"/>
    </xf>
    <xf numFmtId="0" fontId="8" fillId="5" borderId="49" xfId="1" applyFont="1" applyFill="1" applyBorder="1" applyAlignment="1">
      <alignment vertical="center"/>
    </xf>
    <xf numFmtId="3" fontId="6" fillId="5" borderId="13" xfId="1" applyNumberFormat="1" applyFont="1" applyFill="1" applyBorder="1" applyAlignment="1">
      <alignment horizontal="right" vertical="center"/>
    </xf>
    <xf numFmtId="164" fontId="50" fillId="5" borderId="18" xfId="1" applyNumberFormat="1" applyFont="1" applyFill="1" applyBorder="1" applyAlignment="1">
      <alignment horizontal="right" vertical="center"/>
    </xf>
    <xf numFmtId="0" fontId="8" fillId="5" borderId="32" xfId="1" applyFont="1" applyFill="1" applyBorder="1" applyAlignment="1">
      <alignment vertical="center"/>
    </xf>
    <xf numFmtId="0" fontId="8" fillId="5" borderId="50" xfId="1" applyFont="1" applyFill="1" applyBorder="1" applyAlignment="1">
      <alignment vertical="center"/>
    </xf>
    <xf numFmtId="0" fontId="8" fillId="5" borderId="51" xfId="1" applyFont="1" applyFill="1" applyBorder="1" applyAlignment="1">
      <alignment vertical="center"/>
    </xf>
    <xf numFmtId="0" fontId="8" fillId="5" borderId="52" xfId="1" applyFont="1" applyFill="1" applyBorder="1" applyAlignment="1">
      <alignment vertical="center"/>
    </xf>
    <xf numFmtId="3" fontId="6" fillId="5" borderId="54" xfId="1" applyNumberFormat="1" applyFont="1" applyFill="1" applyBorder="1" applyAlignment="1">
      <alignment horizontal="right" vertical="center"/>
    </xf>
    <xf numFmtId="164" fontId="50" fillId="5" borderId="54" xfId="1" applyNumberFormat="1" applyFont="1" applyFill="1" applyBorder="1" applyAlignment="1">
      <alignment horizontal="right" vertical="center"/>
    </xf>
    <xf numFmtId="164" fontId="50" fillId="5" borderId="55" xfId="1" applyNumberFormat="1" applyFont="1" applyFill="1" applyBorder="1" applyAlignment="1">
      <alignment horizontal="right" vertical="center"/>
    </xf>
    <xf numFmtId="0" fontId="8" fillId="5" borderId="56" xfId="1" applyFont="1" applyFill="1" applyBorder="1" applyAlignment="1">
      <alignment vertical="center"/>
    </xf>
    <xf numFmtId="0" fontId="8" fillId="5" borderId="36" xfId="1" applyFont="1" applyFill="1" applyBorder="1" applyAlignment="1">
      <alignment vertical="center"/>
    </xf>
    <xf numFmtId="3" fontId="6" fillId="5" borderId="2" xfId="3" applyNumberFormat="1" applyFont="1" applyFill="1" applyBorder="1" applyAlignment="1">
      <alignment horizontal="right" vertical="center"/>
    </xf>
    <xf numFmtId="0" fontId="8" fillId="5" borderId="29" xfId="1" applyFont="1" applyFill="1" applyBorder="1" applyAlignment="1">
      <alignment vertical="center"/>
    </xf>
    <xf numFmtId="0" fontId="8" fillId="5" borderId="6" xfId="1" applyFont="1" applyFill="1" applyBorder="1" applyAlignment="1">
      <alignment vertical="center"/>
    </xf>
    <xf numFmtId="0" fontId="8" fillId="5" borderId="64" xfId="1" applyFont="1" applyFill="1" applyBorder="1" applyAlignment="1">
      <alignment vertical="center"/>
    </xf>
    <xf numFmtId="0" fontId="8" fillId="5" borderId="16" xfId="1" applyFont="1" applyFill="1" applyBorder="1" applyAlignment="1">
      <alignment vertical="center"/>
    </xf>
    <xf numFmtId="0" fontId="8" fillId="5" borderId="33" xfId="1" applyFont="1" applyFill="1" applyBorder="1" applyAlignment="1">
      <alignment vertical="center"/>
    </xf>
    <xf numFmtId="164" fontId="50" fillId="5" borderId="15" xfId="1" applyNumberFormat="1" applyFont="1" applyFill="1" applyBorder="1" applyAlignment="1">
      <alignment horizontal="right" vertical="center"/>
    </xf>
    <xf numFmtId="0" fontId="8" fillId="5" borderId="57" xfId="1" applyFont="1" applyFill="1" applyBorder="1" applyAlignment="1">
      <alignment vertical="center"/>
    </xf>
    <xf numFmtId="0" fontId="8" fillId="5" borderId="40" xfId="1" applyFont="1" applyFill="1" applyBorder="1" applyAlignment="1">
      <alignment vertical="center"/>
    </xf>
    <xf numFmtId="3" fontId="6" fillId="5" borderId="37" xfId="1" applyNumberFormat="1" applyFont="1" applyFill="1" applyBorder="1" applyAlignment="1">
      <alignment horizontal="right" vertical="center"/>
    </xf>
    <xf numFmtId="0" fontId="6" fillId="5" borderId="29" xfId="1" applyFont="1" applyFill="1" applyBorder="1" applyAlignment="1">
      <alignment vertical="center"/>
    </xf>
    <xf numFmtId="0" fontId="6" fillId="5" borderId="31" xfId="1" applyFont="1" applyFill="1" applyBorder="1" applyAlignment="1">
      <alignment vertical="center"/>
    </xf>
    <xf numFmtId="3" fontId="6" fillId="5" borderId="29" xfId="1" applyNumberFormat="1" applyFont="1" applyFill="1" applyBorder="1" applyAlignment="1">
      <alignment horizontal="right" vertical="center"/>
    </xf>
    <xf numFmtId="3" fontId="6" fillId="5" borderId="38" xfId="1" applyNumberFormat="1" applyFont="1" applyFill="1" applyBorder="1" applyAlignment="1">
      <alignment horizontal="right" vertical="center"/>
    </xf>
    <xf numFmtId="0" fontId="13" fillId="5" borderId="1" xfId="1" applyFont="1" applyFill="1" applyBorder="1" applyAlignment="1">
      <alignment vertical="center"/>
    </xf>
    <xf numFmtId="0" fontId="13" fillId="5" borderId="3" xfId="1" applyFont="1" applyFill="1" applyBorder="1" applyAlignment="1">
      <alignment vertical="center" wrapText="1"/>
    </xf>
    <xf numFmtId="0" fontId="12" fillId="5" borderId="3" xfId="1" applyFont="1" applyFill="1" applyBorder="1" applyAlignment="1">
      <alignment vertical="center"/>
    </xf>
    <xf numFmtId="0" fontId="12" fillId="5" borderId="36" xfId="1" applyFont="1" applyFill="1" applyBorder="1" applyAlignment="1">
      <alignment vertical="center" wrapText="1"/>
    </xf>
    <xf numFmtId="3" fontId="12" fillId="5" borderId="2" xfId="1" applyNumberFormat="1" applyFont="1" applyFill="1" applyBorder="1" applyAlignment="1">
      <alignment horizontal="right" vertical="center"/>
    </xf>
    <xf numFmtId="164" fontId="51" fillId="5" borderId="2" xfId="1" applyNumberFormat="1" applyFont="1" applyFill="1" applyBorder="1" applyAlignment="1">
      <alignment horizontal="right" vertical="center"/>
    </xf>
    <xf numFmtId="164" fontId="52" fillId="5" borderId="4" xfId="1" applyNumberFormat="1" applyFont="1" applyFill="1" applyBorder="1" applyAlignment="1">
      <alignment horizontal="right" vertical="center"/>
    </xf>
    <xf numFmtId="0" fontId="6" fillId="5" borderId="0" xfId="1" applyFont="1" applyFill="1" applyBorder="1" applyAlignment="1">
      <alignment horizontal="right" vertical="center"/>
    </xf>
    <xf numFmtId="3" fontId="13" fillId="5" borderId="11" xfId="1" applyNumberFormat="1" applyFont="1" applyFill="1" applyBorder="1" applyAlignment="1">
      <alignment vertical="center"/>
    </xf>
    <xf numFmtId="3" fontId="13" fillId="5" borderId="8" xfId="1" applyNumberFormat="1" applyFont="1" applyFill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3" fontId="14" fillId="5" borderId="6" xfId="1" applyNumberFormat="1" applyFont="1" applyFill="1" applyBorder="1" applyAlignment="1">
      <alignment vertical="center"/>
    </xf>
    <xf numFmtId="0" fontId="14" fillId="5" borderId="6" xfId="1" applyFont="1" applyFill="1" applyBorder="1" applyAlignment="1">
      <alignment vertical="center"/>
    </xf>
    <xf numFmtId="3" fontId="9" fillId="5" borderId="8" xfId="1" applyNumberFormat="1" applyFont="1" applyFill="1" applyBorder="1" applyAlignment="1">
      <alignment horizontal="right" vertical="center"/>
    </xf>
    <xf numFmtId="164" fontId="51" fillId="5" borderId="8" xfId="1" applyNumberFormat="1" applyFont="1" applyFill="1" applyBorder="1" applyAlignment="1">
      <alignment horizontal="right" vertical="center"/>
    </xf>
    <xf numFmtId="164" fontId="52" fillId="5" borderId="10" xfId="1" applyNumberFormat="1" applyFont="1" applyFill="1" applyBorder="1" applyAlignment="1">
      <alignment horizontal="right" vertical="center"/>
    </xf>
    <xf numFmtId="0" fontId="12" fillId="5" borderId="19" xfId="1" applyFont="1" applyFill="1" applyBorder="1" applyAlignment="1">
      <alignment vertical="center"/>
    </xf>
    <xf numFmtId="0" fontId="12" fillId="5" borderId="20" xfId="1" applyFont="1" applyFill="1" applyBorder="1" applyAlignment="1">
      <alignment vertical="center"/>
    </xf>
    <xf numFmtId="0" fontId="14" fillId="5" borderId="21" xfId="1" applyFont="1" applyFill="1" applyBorder="1" applyAlignment="1">
      <alignment vertical="center"/>
    </xf>
    <xf numFmtId="0" fontId="9" fillId="5" borderId="13" xfId="1" applyFont="1" applyFill="1" applyBorder="1" applyAlignment="1">
      <alignment vertical="center"/>
    </xf>
    <xf numFmtId="3" fontId="9" fillId="5" borderId="20" xfId="1" applyNumberFormat="1" applyFont="1" applyFill="1" applyBorder="1" applyAlignment="1">
      <alignment horizontal="right" vertical="center"/>
    </xf>
    <xf numFmtId="3" fontId="14" fillId="5" borderId="20" xfId="1" applyNumberFormat="1" applyFont="1" applyFill="1" applyBorder="1" applyAlignment="1">
      <alignment horizontal="right" vertical="center"/>
    </xf>
    <xf numFmtId="164" fontId="51" fillId="5" borderId="20" xfId="1" applyNumberFormat="1" applyFont="1" applyFill="1" applyBorder="1" applyAlignment="1">
      <alignment horizontal="right" vertical="center"/>
    </xf>
    <xf numFmtId="164" fontId="51" fillId="5" borderId="18" xfId="1" applyNumberFormat="1" applyFont="1" applyFill="1" applyBorder="1" applyAlignment="1">
      <alignment horizontal="right" vertical="center"/>
    </xf>
    <xf numFmtId="0" fontId="9" fillId="5" borderId="19" xfId="1" applyFont="1" applyFill="1" applyBorder="1" applyAlignment="1">
      <alignment vertical="center"/>
    </xf>
    <xf numFmtId="0" fontId="9" fillId="5" borderId="20" xfId="1" applyFont="1" applyFill="1" applyBorder="1" applyAlignment="1">
      <alignment vertical="center"/>
    </xf>
    <xf numFmtId="164" fontId="52" fillId="5" borderId="18" xfId="1" applyNumberFormat="1" applyFont="1" applyFill="1" applyBorder="1" applyAlignment="1">
      <alignment horizontal="right" vertical="center"/>
    </xf>
    <xf numFmtId="0" fontId="9" fillId="5" borderId="22" xfId="1" applyFont="1" applyFill="1" applyBorder="1" applyAlignment="1">
      <alignment vertical="center"/>
    </xf>
    <xf numFmtId="0" fontId="9" fillId="5" borderId="23" xfId="1" applyFont="1" applyFill="1" applyBorder="1" applyAlignment="1">
      <alignment vertical="center"/>
    </xf>
    <xf numFmtId="3" fontId="9" fillId="5" borderId="23" xfId="1" applyNumberFormat="1" applyFont="1" applyFill="1" applyBorder="1" applyAlignment="1">
      <alignment horizontal="right" vertical="center"/>
    </xf>
    <xf numFmtId="3" fontId="14" fillId="5" borderId="23" xfId="1" applyNumberFormat="1" applyFont="1" applyFill="1" applyBorder="1" applyAlignment="1">
      <alignment horizontal="right" vertical="center"/>
    </xf>
    <xf numFmtId="164" fontId="51" fillId="5" borderId="23" xfId="1" applyNumberFormat="1" applyFont="1" applyFill="1" applyBorder="1" applyAlignment="1">
      <alignment horizontal="right" vertical="center"/>
    </xf>
    <xf numFmtId="3" fontId="52" fillId="5" borderId="26" xfId="1" applyNumberFormat="1" applyFont="1" applyFill="1" applyBorder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vertical="center"/>
    </xf>
    <xf numFmtId="0" fontId="6" fillId="5" borderId="0" xfId="1" applyFont="1" applyFill="1" applyAlignment="1">
      <alignment vertical="center"/>
    </xf>
    <xf numFmtId="164" fontId="6" fillId="5" borderId="0" xfId="1" applyNumberFormat="1" applyFont="1" applyFill="1" applyBorder="1" applyAlignment="1">
      <alignment horizontal="right" vertical="center"/>
    </xf>
    <xf numFmtId="164" fontId="6" fillId="5" borderId="0" xfId="1" applyNumberFormat="1" applyFont="1" applyFill="1" applyAlignment="1">
      <alignment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/>
    </xf>
    <xf numFmtId="0" fontId="9" fillId="5" borderId="38" xfId="1" applyFont="1" applyFill="1" applyBorder="1" applyAlignment="1">
      <alignment horizontal="center" vertical="center"/>
    </xf>
    <xf numFmtId="0" fontId="9" fillId="5" borderId="38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165" fontId="4" fillId="5" borderId="8" xfId="2" applyNumberFormat="1" applyFont="1" applyFill="1" applyBorder="1" applyAlignment="1">
      <alignment horizontal="center" vertical="center"/>
    </xf>
    <xf numFmtId="3" fontId="4" fillId="5" borderId="8" xfId="1" applyNumberFormat="1" applyFont="1" applyFill="1" applyBorder="1" applyAlignment="1">
      <alignment horizontal="center" vertical="center" wrapText="1"/>
    </xf>
    <xf numFmtId="3" fontId="4" fillId="5" borderId="9" xfId="1" applyNumberFormat="1" applyFont="1" applyFill="1" applyBorder="1" applyAlignment="1">
      <alignment horizontal="center" vertical="center" wrapText="1"/>
    </xf>
    <xf numFmtId="164" fontId="6" fillId="5" borderId="9" xfId="1" applyNumberFormat="1" applyFont="1" applyFill="1" applyBorder="1" applyAlignment="1">
      <alignment horizontal="center" vertical="center"/>
    </xf>
    <xf numFmtId="164" fontId="6" fillId="5" borderId="10" xfId="1" applyNumberFormat="1" applyFont="1" applyFill="1" applyBorder="1" applyAlignment="1">
      <alignment horizontal="center" vertical="center"/>
    </xf>
    <xf numFmtId="165" fontId="4" fillId="5" borderId="15" xfId="2" applyNumberFormat="1" applyFont="1" applyFill="1" applyBorder="1" applyAlignment="1">
      <alignment horizontal="center" vertical="center"/>
    </xf>
    <xf numFmtId="3" fontId="4" fillId="5" borderId="15" xfId="1" applyNumberFormat="1" applyFont="1" applyFill="1" applyBorder="1" applyAlignment="1">
      <alignment horizontal="center" vertical="center" wrapText="1"/>
    </xf>
    <xf numFmtId="3" fontId="4" fillId="5" borderId="16" xfId="1" applyNumberFormat="1" applyFont="1" applyFill="1" applyBorder="1" applyAlignment="1">
      <alignment horizontal="center" vertical="center" wrapText="1"/>
    </xf>
    <xf numFmtId="164" fontId="6" fillId="5" borderId="16" xfId="1" applyNumberFormat="1" applyFont="1" applyFill="1" applyBorder="1" applyAlignment="1">
      <alignment horizontal="center" vertical="center"/>
    </xf>
    <xf numFmtId="6" fontId="4" fillId="5" borderId="20" xfId="1" applyNumberFormat="1" applyFont="1" applyFill="1" applyBorder="1" applyAlignment="1">
      <alignment horizontal="center" vertical="center"/>
    </xf>
    <xf numFmtId="164" fontId="6" fillId="5" borderId="18" xfId="1" applyNumberFormat="1" applyFont="1" applyFill="1" applyBorder="1" applyAlignment="1">
      <alignment horizontal="center" vertical="center"/>
    </xf>
    <xf numFmtId="6" fontId="4" fillId="5" borderId="23" xfId="3" applyNumberFormat="1" applyFont="1" applyFill="1" applyBorder="1" applyAlignment="1">
      <alignment horizontal="center" vertical="center"/>
    </xf>
    <xf numFmtId="3" fontId="4" fillId="5" borderId="23" xfId="1" applyNumberFormat="1" applyFont="1" applyFill="1" applyBorder="1" applyAlignment="1">
      <alignment horizontal="center" vertical="center" wrapText="1"/>
    </xf>
    <xf numFmtId="3" fontId="4" fillId="5" borderId="25" xfId="1" applyNumberFormat="1" applyFont="1" applyFill="1" applyBorder="1" applyAlignment="1">
      <alignment horizontal="center" vertical="center" wrapText="1"/>
    </xf>
    <xf numFmtId="164" fontId="6" fillId="5" borderId="25" xfId="1" applyNumberFormat="1" applyFont="1" applyFill="1" applyBorder="1" applyAlignment="1">
      <alignment horizontal="center" vertical="center"/>
    </xf>
    <xf numFmtId="8" fontId="4" fillId="5" borderId="23" xfId="1" applyNumberFormat="1" applyFont="1" applyFill="1" applyBorder="1" applyAlignment="1">
      <alignment horizontal="center" vertical="center"/>
    </xf>
    <xf numFmtId="164" fontId="6" fillId="5" borderId="26" xfId="1" applyNumberFormat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left" vertical="center" wrapText="1"/>
    </xf>
    <xf numFmtId="0" fontId="50" fillId="5" borderId="132" xfId="1" applyFont="1" applyFill="1" applyBorder="1" applyAlignment="1">
      <alignment vertical="center"/>
    </xf>
    <xf numFmtId="0" fontId="50" fillId="5" borderId="0" xfId="3" applyFont="1" applyFill="1" applyBorder="1" applyAlignment="1">
      <alignment horizontal="right"/>
    </xf>
    <xf numFmtId="166" fontId="50" fillId="5" borderId="132" xfId="1" applyNumberFormat="1" applyFont="1" applyFill="1" applyBorder="1" applyAlignment="1">
      <alignment horizontal="right" vertical="center"/>
    </xf>
    <xf numFmtId="164" fontId="50" fillId="5" borderId="132" xfId="1" applyNumberFormat="1" applyFont="1" applyFill="1" applyBorder="1" applyAlignment="1">
      <alignment horizontal="right" vertical="center"/>
    </xf>
    <xf numFmtId="0" fontId="15" fillId="5" borderId="0" xfId="1" applyFont="1" applyFill="1" applyBorder="1" applyAlignment="1">
      <alignment vertical="center"/>
    </xf>
    <xf numFmtId="0" fontId="50" fillId="5" borderId="132" xfId="1" applyFont="1" applyFill="1" applyBorder="1" applyAlignment="1">
      <alignment horizontal="right" vertical="center"/>
    </xf>
    <xf numFmtId="0" fontId="12" fillId="5" borderId="57" xfId="1" applyFont="1" applyFill="1" applyBorder="1" applyAlignment="1">
      <alignment horizontal="left" vertical="center"/>
    </xf>
    <xf numFmtId="0" fontId="12" fillId="5" borderId="27" xfId="1" applyFont="1" applyFill="1" applyBorder="1" applyAlignment="1">
      <alignment horizontal="left" vertical="center"/>
    </xf>
    <xf numFmtId="0" fontId="9" fillId="5" borderId="21" xfId="1" applyFont="1" applyFill="1" applyBorder="1" applyAlignment="1">
      <alignment horizontal="left" vertical="center"/>
    </xf>
    <xf numFmtId="0" fontId="9" fillId="5" borderId="13" xfId="1" applyFont="1" applyFill="1" applyBorder="1" applyAlignment="1">
      <alignment horizontal="left" vertical="center"/>
    </xf>
    <xf numFmtId="0" fontId="9" fillId="5" borderId="25" xfId="1" applyFont="1" applyFill="1" applyBorder="1" applyAlignment="1">
      <alignment horizontal="left" vertical="center"/>
    </xf>
    <xf numFmtId="0" fontId="9" fillId="5" borderId="40" xfId="1" applyFont="1" applyFill="1" applyBorder="1" applyAlignment="1">
      <alignment horizontal="left" vertical="center"/>
    </xf>
    <xf numFmtId="0" fontId="6" fillId="5" borderId="21" xfId="1" applyFont="1" applyFill="1" applyBorder="1" applyAlignment="1">
      <alignment horizontal="left" vertical="center"/>
    </xf>
    <xf numFmtId="0" fontId="6" fillId="5" borderId="13" xfId="1" applyFont="1" applyFill="1" applyBorder="1" applyAlignment="1">
      <alignment horizontal="left" vertical="center"/>
    </xf>
    <xf numFmtId="0" fontId="6" fillId="5" borderId="25" xfId="1" applyFont="1" applyFill="1" applyBorder="1" applyAlignment="1">
      <alignment horizontal="left" vertical="center"/>
    </xf>
    <xf numFmtId="0" fontId="6" fillId="5" borderId="40" xfId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12" fillId="5" borderId="36" xfId="1" applyFont="1" applyFill="1" applyBorder="1" applyAlignment="1">
      <alignment horizontal="left" vertical="center"/>
    </xf>
    <xf numFmtId="0" fontId="6" fillId="5" borderId="9" xfId="1" applyFont="1" applyFill="1" applyBorder="1" applyAlignment="1">
      <alignment horizontal="left" vertical="center"/>
    </xf>
    <xf numFmtId="0" fontId="6" fillId="5" borderId="6" xfId="1" applyFont="1" applyFill="1" applyBorder="1" applyAlignment="1">
      <alignment horizontal="left" vertical="center"/>
    </xf>
    <xf numFmtId="10" fontId="49" fillId="0" borderId="8" xfId="1" applyNumberFormat="1" applyFont="1" applyFill="1" applyBorder="1" applyAlignment="1">
      <alignment horizontal="center" vertical="center" wrapText="1"/>
    </xf>
    <xf numFmtId="10" fontId="49" fillId="0" borderId="20" xfId="1" applyNumberFormat="1" applyFont="1" applyFill="1" applyBorder="1" applyAlignment="1">
      <alignment horizontal="center" vertical="center" wrapText="1"/>
    </xf>
    <xf numFmtId="10" fontId="49" fillId="0" borderId="23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20" xfId="1" applyNumberFormat="1" applyFont="1" applyFill="1" applyBorder="1" applyAlignment="1">
      <alignment horizontal="center" vertical="center" wrapText="1"/>
    </xf>
    <xf numFmtId="49" fontId="4" fillId="0" borderId="23" xfId="1" applyNumberFormat="1" applyFont="1" applyFill="1" applyBorder="1" applyAlignment="1">
      <alignment horizontal="center" vertical="center" wrapText="1"/>
    </xf>
    <xf numFmtId="49" fontId="49" fillId="0" borderId="10" xfId="1" applyNumberFormat="1" applyFont="1" applyFill="1" applyBorder="1" applyAlignment="1">
      <alignment horizontal="center" vertical="center" wrapText="1"/>
    </xf>
    <xf numFmtId="49" fontId="49" fillId="0" borderId="18" xfId="1" applyNumberFormat="1" applyFont="1" applyFill="1" applyBorder="1" applyAlignment="1">
      <alignment horizontal="center" vertical="center" wrapText="1"/>
    </xf>
    <xf numFmtId="49" fontId="49" fillId="0" borderId="26" xfId="1" applyNumberFormat="1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36" xfId="1" applyNumberFormat="1" applyFont="1" applyFill="1" applyBorder="1" applyAlignment="1">
      <alignment horizontal="center" vertical="center"/>
    </xf>
    <xf numFmtId="0" fontId="4" fillId="5" borderId="22" xfId="2" applyFont="1" applyFill="1" applyBorder="1" applyAlignment="1">
      <alignment horizontal="left"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4" fillId="5" borderId="20" xfId="1" applyFont="1" applyFill="1" applyBorder="1" applyAlignment="1">
      <alignment horizontal="left" vertical="center" wrapText="1"/>
    </xf>
    <xf numFmtId="0" fontId="4" fillId="5" borderId="22" xfId="1" applyFont="1" applyFill="1" applyBorder="1" applyAlignment="1">
      <alignment horizontal="left" vertical="center" wrapText="1"/>
    </xf>
    <xf numFmtId="0" fontId="4" fillId="5" borderId="23" xfId="1" applyFont="1" applyFill="1" applyBorder="1" applyAlignment="1">
      <alignment horizontal="left" vertical="center" wrapText="1"/>
    </xf>
    <xf numFmtId="0" fontId="8" fillId="5" borderId="0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horizontal="center" vertical="center" textRotation="90" wrapText="1"/>
    </xf>
    <xf numFmtId="0" fontId="4" fillId="0" borderId="32" xfId="1" applyFont="1" applyFill="1" applyBorder="1" applyAlignment="1">
      <alignment horizontal="center" vertical="center" textRotation="90" wrapText="1"/>
    </xf>
    <xf numFmtId="0" fontId="4" fillId="0" borderId="29" xfId="1" applyFont="1" applyFill="1" applyBorder="1" applyAlignment="1">
      <alignment horizontal="center" vertical="center" textRotation="90" wrapText="1"/>
    </xf>
    <xf numFmtId="0" fontId="4" fillId="0" borderId="33" xfId="1" applyFont="1" applyFill="1" applyBorder="1" applyAlignment="1">
      <alignment horizontal="center" vertical="center" textRotation="90" wrapText="1"/>
    </xf>
    <xf numFmtId="49" fontId="4" fillId="0" borderId="38" xfId="1" applyNumberFormat="1" applyFont="1" applyFill="1" applyBorder="1" applyAlignment="1">
      <alignment horizontal="center" vertical="center" wrapText="1"/>
    </xf>
    <xf numFmtId="49" fontId="4" fillId="0" borderId="127" xfId="1" applyNumberFormat="1" applyFont="1" applyFill="1" applyBorder="1" applyAlignment="1">
      <alignment horizontal="center" vertical="center" wrapText="1"/>
    </xf>
    <xf numFmtId="49" fontId="4" fillId="0" borderId="37" xfId="1" applyNumberFormat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69" xfId="1" applyFont="1" applyFill="1" applyBorder="1" applyAlignment="1">
      <alignment horizontal="center" vertical="center" wrapText="1"/>
    </xf>
    <xf numFmtId="0" fontId="6" fillId="5" borderId="31" xfId="1" applyFont="1" applyFill="1" applyBorder="1" applyAlignment="1">
      <alignment horizontal="center" vertical="center"/>
    </xf>
    <xf numFmtId="0" fontId="6" fillId="5" borderId="178" xfId="1" applyFont="1" applyFill="1" applyBorder="1" applyAlignment="1">
      <alignment horizontal="center" vertical="center"/>
    </xf>
    <xf numFmtId="0" fontId="4" fillId="5" borderId="12" xfId="2" applyFont="1" applyFill="1" applyBorder="1" applyAlignment="1">
      <alignment horizontal="left" vertical="center" wrapText="1"/>
    </xf>
    <xf numFmtId="0" fontId="4" fillId="5" borderId="13" xfId="2" applyFont="1" applyFill="1" applyBorder="1" applyAlignment="1">
      <alignment horizontal="left" vertical="center" wrapText="1"/>
    </xf>
    <xf numFmtId="0" fontId="4" fillId="5" borderId="14" xfId="2" applyFont="1" applyFill="1" applyBorder="1" applyAlignment="1">
      <alignment horizontal="left" vertical="center" wrapText="1"/>
    </xf>
    <xf numFmtId="0" fontId="70" fillId="5" borderId="0" xfId="1" applyFont="1" applyFill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28" xfId="1" applyFont="1" applyFill="1" applyBorder="1" applyAlignment="1">
      <alignment horizontal="center" vertical="center"/>
    </xf>
    <xf numFmtId="0" fontId="9" fillId="5" borderId="38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left" vertical="center" wrapText="1"/>
    </xf>
    <xf numFmtId="0" fontId="4" fillId="5" borderId="7" xfId="1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4" fillId="5" borderId="8" xfId="2" applyFont="1" applyFill="1" applyBorder="1" applyAlignment="1">
      <alignment horizontal="left" vertical="center" wrapText="1"/>
    </xf>
    <xf numFmtId="0" fontId="43" fillId="0" borderId="53" xfId="6" applyFont="1" applyFill="1" applyBorder="1" applyAlignment="1">
      <alignment horizontal="center" vertical="center" wrapText="1"/>
    </xf>
    <xf numFmtId="0" fontId="43" fillId="0" borderId="48" xfId="6" applyFont="1" applyFill="1" applyBorder="1" applyAlignment="1">
      <alignment horizontal="center" vertical="center" wrapText="1"/>
    </xf>
    <xf numFmtId="0" fontId="42" fillId="0" borderId="76" xfId="6" applyFont="1" applyFill="1" applyBorder="1" applyAlignment="1">
      <alignment horizontal="center" vertical="center" wrapText="1"/>
    </xf>
    <xf numFmtId="0" fontId="42" fillId="0" borderId="61" xfId="6" applyFont="1" applyFill="1" applyBorder="1" applyAlignment="1">
      <alignment horizontal="center" vertical="center" wrapText="1"/>
    </xf>
    <xf numFmtId="0" fontId="42" fillId="0" borderId="58" xfId="6" applyFont="1" applyBorder="1" applyAlignment="1">
      <alignment horizontal="center" vertical="center" wrapText="1"/>
    </xf>
    <xf numFmtId="0" fontId="42" fillId="0" borderId="60" xfId="6" applyFont="1" applyBorder="1" applyAlignment="1">
      <alignment horizontal="center" vertical="center" wrapText="1"/>
    </xf>
    <xf numFmtId="0" fontId="43" fillId="0" borderId="52" xfId="6" applyFont="1" applyFill="1" applyBorder="1" applyAlignment="1">
      <alignment horizontal="center" vertical="center" wrapText="1"/>
    </xf>
    <xf numFmtId="0" fontId="43" fillId="0" borderId="16" xfId="6" applyFont="1" applyFill="1" applyBorder="1" applyAlignment="1">
      <alignment horizontal="center" vertical="center" wrapText="1"/>
    </xf>
    <xf numFmtId="0" fontId="42" fillId="0" borderId="21" xfId="6" applyFont="1" applyBorder="1" applyAlignment="1">
      <alignment horizontal="left" vertical="center"/>
    </xf>
    <xf numFmtId="0" fontId="42" fillId="0" borderId="14" xfId="6" applyFont="1" applyBorder="1" applyAlignment="1">
      <alignment horizontal="left" vertical="center"/>
    </xf>
    <xf numFmtId="0" fontId="43" fillId="0" borderId="52" xfId="6" applyFont="1" applyFill="1" applyBorder="1" applyAlignment="1">
      <alignment vertical="center" wrapText="1"/>
    </xf>
    <xf numFmtId="0" fontId="43" fillId="0" borderId="16" xfId="6" applyFont="1" applyFill="1" applyBorder="1" applyAlignment="1">
      <alignment vertical="center" wrapText="1"/>
    </xf>
    <xf numFmtId="0" fontId="42" fillId="0" borderId="30" xfId="6" applyFont="1" applyFill="1" applyBorder="1" applyAlignment="1">
      <alignment horizontal="center" vertical="center" wrapText="1"/>
    </xf>
    <xf numFmtId="0" fontId="42" fillId="0" borderId="35" xfId="6" applyFont="1" applyFill="1" applyBorder="1" applyAlignment="1">
      <alignment horizontal="center" vertical="center" wrapText="1"/>
    </xf>
    <xf numFmtId="0" fontId="42" fillId="0" borderId="11" xfId="6" applyFont="1" applyFill="1" applyBorder="1" applyAlignment="1">
      <alignment horizontal="center" vertical="center" wrapText="1"/>
    </xf>
    <xf numFmtId="0" fontId="42" fillId="0" borderId="22" xfId="6" applyFont="1" applyFill="1" applyBorder="1" applyAlignment="1">
      <alignment horizontal="center" vertical="center" wrapText="1"/>
    </xf>
    <xf numFmtId="0" fontId="55" fillId="0" borderId="8" xfId="6" applyFont="1" applyFill="1" applyBorder="1" applyAlignment="1">
      <alignment horizontal="center" vertical="center" wrapText="1"/>
    </xf>
    <xf numFmtId="0" fontId="55" fillId="0" borderId="23" xfId="6" applyFont="1" applyFill="1" applyBorder="1" applyAlignment="1">
      <alignment horizontal="center" vertical="center" wrapText="1"/>
    </xf>
    <xf numFmtId="0" fontId="42" fillId="0" borderId="8" xfId="6" applyFont="1" applyFill="1" applyBorder="1" applyAlignment="1">
      <alignment horizontal="center" vertical="center" wrapText="1"/>
    </xf>
    <xf numFmtId="0" fontId="42" fillId="0" borderId="23" xfId="6" applyFont="1" applyFill="1" applyBorder="1" applyAlignment="1">
      <alignment horizontal="center" vertical="center" wrapText="1"/>
    </xf>
    <xf numFmtId="0" fontId="42" fillId="14" borderId="8" xfId="6" applyFont="1" applyFill="1" applyBorder="1" applyAlignment="1">
      <alignment horizontal="center" vertical="center" wrapText="1"/>
    </xf>
    <xf numFmtId="0" fontId="42" fillId="14" borderId="23" xfId="6" applyFont="1" applyFill="1" applyBorder="1" applyAlignment="1">
      <alignment horizontal="center" vertical="center" wrapText="1"/>
    </xf>
    <xf numFmtId="0" fontId="45" fillId="0" borderId="8" xfId="6" applyFont="1" applyFill="1" applyBorder="1" applyAlignment="1">
      <alignment horizontal="center" vertical="center" wrapText="1"/>
    </xf>
    <xf numFmtId="0" fontId="45" fillId="0" borderId="23" xfId="6" applyFont="1" applyFill="1" applyBorder="1" applyAlignment="1">
      <alignment horizontal="center" vertical="center" wrapText="1"/>
    </xf>
    <xf numFmtId="0" fontId="42" fillId="4" borderId="8" xfId="6" applyFont="1" applyFill="1" applyBorder="1" applyAlignment="1">
      <alignment horizontal="center" vertical="center" wrapText="1"/>
    </xf>
    <xf numFmtId="0" fontId="42" fillId="4" borderId="23" xfId="6" applyFont="1" applyFill="1" applyBorder="1" applyAlignment="1">
      <alignment horizontal="center" vertical="center" wrapText="1"/>
    </xf>
    <xf numFmtId="0" fontId="55" fillId="0" borderId="10" xfId="6" applyFont="1" applyFill="1" applyBorder="1" applyAlignment="1">
      <alignment horizontal="center" vertical="center" wrapText="1"/>
    </xf>
    <xf numFmtId="0" fontId="55" fillId="0" borderId="26" xfId="6" applyFont="1" applyFill="1" applyBorder="1" applyAlignment="1">
      <alignment horizontal="center" vertical="center" wrapText="1"/>
    </xf>
    <xf numFmtId="0" fontId="45" fillId="0" borderId="10" xfId="6" applyFont="1" applyFill="1" applyBorder="1" applyAlignment="1">
      <alignment horizontal="center" vertical="center" wrapText="1"/>
    </xf>
    <xf numFmtId="0" fontId="45" fillId="0" borderId="26" xfId="6" applyFont="1" applyFill="1" applyBorder="1" applyAlignment="1">
      <alignment horizontal="center" vertical="center" wrapText="1"/>
    </xf>
    <xf numFmtId="0" fontId="43" fillId="14" borderId="0" xfId="6" applyFont="1" applyFill="1" applyAlignment="1">
      <alignment horizontal="left" vertical="center" wrapText="1"/>
    </xf>
    <xf numFmtId="0" fontId="43" fillId="4" borderId="0" xfId="6" applyFont="1" applyFill="1" applyAlignment="1">
      <alignment horizontal="left" vertical="center" wrapText="1"/>
    </xf>
    <xf numFmtId="0" fontId="53" fillId="0" borderId="0" xfId="6" applyFont="1" applyAlignment="1">
      <alignment horizontal="left" vertical="center" wrapText="1"/>
    </xf>
    <xf numFmtId="0" fontId="42" fillId="0" borderId="52" xfId="6" applyFont="1" applyBorder="1" applyAlignment="1">
      <alignment horizontal="left" vertical="center"/>
    </xf>
    <xf numFmtId="0" fontId="42" fillId="0" borderId="58" xfId="6" applyFont="1" applyBorder="1" applyAlignment="1">
      <alignment horizontal="left" vertical="center"/>
    </xf>
    <xf numFmtId="0" fontId="42" fillId="0" borderId="16" xfId="6" applyFont="1" applyBorder="1" applyAlignment="1">
      <alignment horizontal="left" vertical="center"/>
    </xf>
    <xf numFmtId="0" fontId="42" fillId="0" borderId="60" xfId="6" applyFont="1" applyBorder="1" applyAlignment="1">
      <alignment horizontal="left" vertical="center"/>
    </xf>
    <xf numFmtId="0" fontId="34" fillId="0" borderId="0" xfId="3" applyFont="1" applyAlignment="1">
      <alignment horizontal="left" vertical="center"/>
    </xf>
    <xf numFmtId="170" fontId="38" fillId="0" borderId="0" xfId="3" applyNumberFormat="1" applyFont="1" applyAlignment="1">
      <alignment horizontal="left" vertical="center" wrapText="1"/>
    </xf>
    <xf numFmtId="0" fontId="18" fillId="11" borderId="160" xfId="4" applyFont="1" applyFill="1" applyBorder="1" applyAlignment="1">
      <alignment horizontal="center" vertical="center" wrapText="1"/>
    </xf>
    <xf numFmtId="0" fontId="18" fillId="11" borderId="154" xfId="4" applyFont="1" applyFill="1" applyBorder="1" applyAlignment="1">
      <alignment horizontal="center" vertical="center" wrapText="1"/>
    </xf>
    <xf numFmtId="164" fontId="18" fillId="11" borderId="12" xfId="5" applyNumberFormat="1" applyFont="1" applyFill="1" applyBorder="1" applyAlignment="1" applyProtection="1">
      <alignment horizontal="center" vertical="center" wrapText="1"/>
    </xf>
    <xf numFmtId="164" fontId="18" fillId="11" borderId="13" xfId="5" applyNumberFormat="1" applyFont="1" applyFill="1" applyBorder="1" applyAlignment="1" applyProtection="1">
      <alignment horizontal="center" vertical="center" wrapText="1"/>
    </xf>
    <xf numFmtId="164" fontId="18" fillId="4" borderId="177" xfId="5" applyNumberFormat="1" applyFont="1" applyFill="1" applyBorder="1" applyAlignment="1" applyProtection="1">
      <alignment horizontal="center" vertical="center" wrapText="1"/>
    </xf>
    <xf numFmtId="164" fontId="18" fillId="4" borderId="58" xfId="5" applyNumberFormat="1" applyFont="1" applyFill="1" applyBorder="1" applyAlignment="1" applyProtection="1">
      <alignment horizontal="center" vertical="center" wrapText="1"/>
    </xf>
    <xf numFmtId="164" fontId="18" fillId="4" borderId="155" xfId="5" applyNumberFormat="1" applyFont="1" applyFill="1" applyBorder="1" applyAlignment="1" applyProtection="1">
      <alignment horizontal="center" vertical="center" wrapText="1"/>
    </xf>
    <xf numFmtId="164" fontId="18" fillId="4" borderId="69" xfId="5" applyNumberFormat="1" applyFont="1" applyFill="1" applyBorder="1" applyAlignment="1" applyProtection="1">
      <alignment horizontal="center" vertical="center" wrapText="1"/>
    </xf>
    <xf numFmtId="49" fontId="18" fillId="0" borderId="5" xfId="4" applyNumberFormat="1" applyFont="1" applyFill="1" applyBorder="1" applyAlignment="1" applyProtection="1">
      <alignment horizontal="center" vertical="center"/>
    </xf>
    <xf numFmtId="49" fontId="18" fillId="0" borderId="42" xfId="4" applyNumberFormat="1" applyFont="1" applyFill="1" applyBorder="1" applyAlignment="1" applyProtection="1">
      <alignment horizontal="center" vertical="center"/>
    </xf>
    <xf numFmtId="0" fontId="18" fillId="4" borderId="166" xfId="4" applyFont="1" applyFill="1" applyBorder="1" applyAlignment="1">
      <alignment horizontal="center" vertical="center"/>
    </xf>
    <xf numFmtId="0" fontId="18" fillId="4" borderId="135" xfId="4" applyFont="1" applyFill="1" applyBorder="1" applyAlignment="1">
      <alignment horizontal="center" vertical="center"/>
    </xf>
    <xf numFmtId="0" fontId="18" fillId="4" borderId="12" xfId="4" applyFont="1" applyFill="1" applyBorder="1" applyAlignment="1">
      <alignment horizontal="center" vertical="center"/>
    </xf>
    <xf numFmtId="0" fontId="18" fillId="4" borderId="13" xfId="4" applyFont="1" applyFill="1" applyBorder="1" applyAlignment="1">
      <alignment horizontal="center" vertical="center"/>
    </xf>
    <xf numFmtId="0" fontId="18" fillId="4" borderId="174" xfId="4" applyFont="1" applyFill="1" applyBorder="1" applyAlignment="1">
      <alignment horizontal="center" vertical="center"/>
    </xf>
    <xf numFmtId="0" fontId="18" fillId="0" borderId="56" xfId="4" applyNumberFormat="1" applyFont="1" applyFill="1" applyBorder="1" applyAlignment="1" applyProtection="1">
      <alignment horizontal="left" vertical="center" wrapText="1"/>
    </xf>
    <xf numFmtId="0" fontId="18" fillId="0" borderId="71" xfId="4" applyNumberFormat="1" applyFont="1" applyFill="1" applyBorder="1" applyAlignment="1" applyProtection="1">
      <alignment horizontal="left" vertical="center" wrapText="1"/>
    </xf>
    <xf numFmtId="0" fontId="18" fillId="4" borderId="155" xfId="4" applyFont="1" applyFill="1" applyBorder="1" applyAlignment="1">
      <alignment horizontal="center" vertical="center"/>
    </xf>
    <xf numFmtId="0" fontId="18" fillId="0" borderId="30" xfId="4" applyNumberFormat="1" applyFont="1" applyFill="1" applyBorder="1" applyAlignment="1" applyProtection="1">
      <alignment horizontal="center" vertical="center" wrapText="1"/>
    </xf>
    <xf numFmtId="0" fontId="18" fillId="0" borderId="31" xfId="4" applyNumberFormat="1" applyFont="1" applyFill="1" applyBorder="1" applyAlignment="1" applyProtection="1">
      <alignment horizontal="center" vertical="center" wrapText="1"/>
    </xf>
    <xf numFmtId="0" fontId="18" fillId="0" borderId="34" xfId="4" applyNumberFormat="1" applyFont="1" applyFill="1" applyBorder="1" applyAlignment="1" applyProtection="1">
      <alignment horizontal="center" vertical="center" wrapText="1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18" fillId="0" borderId="35" xfId="4" applyNumberFormat="1" applyFont="1" applyFill="1" applyBorder="1" applyAlignment="1" applyProtection="1">
      <alignment horizontal="center" vertical="center" wrapText="1"/>
    </xf>
    <xf numFmtId="0" fontId="18" fillId="0" borderId="27" xfId="4" applyNumberFormat="1" applyFont="1" applyFill="1" applyBorder="1" applyAlignment="1" applyProtection="1">
      <alignment horizontal="center" vertical="center" wrapText="1"/>
    </xf>
    <xf numFmtId="164" fontId="19" fillId="12" borderId="5" xfId="5" applyNumberFormat="1" applyFont="1" applyFill="1" applyBorder="1" applyAlignment="1" applyProtection="1">
      <alignment horizontal="center" vertical="center"/>
    </xf>
    <xf numFmtId="164" fontId="19" fillId="12" borderId="6" xfId="5" applyNumberFormat="1" applyFont="1" applyFill="1" applyBorder="1" applyAlignment="1" applyProtection="1">
      <alignment horizontal="center" vertical="center"/>
    </xf>
    <xf numFmtId="164" fontId="19" fillId="12" borderId="42" xfId="5" applyNumberFormat="1" applyFont="1" applyFill="1" applyBorder="1" applyAlignment="1" applyProtection="1">
      <alignment horizontal="center" vertical="center"/>
    </xf>
    <xf numFmtId="0" fontId="18" fillId="12" borderId="51" xfId="4" applyFont="1" applyFill="1" applyBorder="1" applyAlignment="1">
      <alignment horizontal="center" vertical="center" wrapText="1"/>
    </xf>
    <xf numFmtId="0" fontId="18" fillId="12" borderId="54" xfId="4" applyFont="1" applyFill="1" applyBorder="1" applyAlignment="1">
      <alignment horizontal="center" vertical="center" wrapText="1"/>
    </xf>
    <xf numFmtId="0" fontId="18" fillId="12" borderId="41" xfId="4" applyFont="1" applyFill="1" applyBorder="1" applyAlignment="1">
      <alignment horizontal="center" vertical="center" wrapText="1"/>
    </xf>
    <xf numFmtId="0" fontId="18" fillId="12" borderId="37" xfId="4" applyFont="1" applyFill="1" applyBorder="1" applyAlignment="1">
      <alignment horizontal="center" vertical="center" wrapText="1"/>
    </xf>
    <xf numFmtId="164" fontId="18" fillId="11" borderId="5" xfId="5" applyNumberFormat="1" applyFont="1" applyFill="1" applyBorder="1" applyAlignment="1" applyProtection="1">
      <alignment horizontal="center" vertical="center" wrapText="1"/>
    </xf>
    <xf numFmtId="164" fontId="18" fillId="11" borderId="6" xfId="5" applyNumberFormat="1" applyFont="1" applyFill="1" applyBorder="1" applyAlignment="1" applyProtection="1">
      <alignment horizontal="center" vertical="center" wrapText="1"/>
    </xf>
    <xf numFmtId="164" fontId="18" fillId="11" borderId="42" xfId="5" applyNumberFormat="1" applyFont="1" applyFill="1" applyBorder="1" applyAlignment="1" applyProtection="1">
      <alignment horizontal="center" vertical="center" wrapText="1"/>
    </xf>
    <xf numFmtId="0" fontId="18" fillId="12" borderId="55" xfId="4" applyFont="1" applyFill="1" applyBorder="1" applyAlignment="1">
      <alignment horizontal="center" vertical="center" wrapText="1"/>
    </xf>
    <xf numFmtId="0" fontId="18" fillId="12" borderId="24" xfId="4" applyFont="1" applyFill="1" applyBorder="1" applyAlignment="1">
      <alignment horizontal="center" vertical="center" wrapText="1"/>
    </xf>
    <xf numFmtId="164" fontId="18" fillId="11" borderId="21" xfId="5" applyNumberFormat="1" applyFont="1" applyFill="1" applyBorder="1" applyAlignment="1" applyProtection="1">
      <alignment horizontal="center" vertical="center"/>
    </xf>
    <xf numFmtId="164" fontId="18" fillId="11" borderId="13" xfId="5" applyNumberFormat="1" applyFont="1" applyFill="1" applyBorder="1" applyAlignment="1" applyProtection="1">
      <alignment horizontal="center" vertical="center"/>
    </xf>
    <xf numFmtId="164" fontId="18" fillId="11" borderId="174" xfId="5" applyNumberFormat="1" applyFont="1" applyFill="1" applyBorder="1" applyAlignment="1" applyProtection="1">
      <alignment horizontal="center" vertical="center"/>
    </xf>
    <xf numFmtId="164" fontId="18" fillId="11" borderId="177" xfId="5" applyNumberFormat="1" applyFont="1" applyFill="1" applyBorder="1" applyAlignment="1" applyProtection="1">
      <alignment horizontal="center" vertical="center" wrapText="1"/>
    </xf>
    <xf numFmtId="164" fontId="18" fillId="11" borderId="141" xfId="5" applyNumberFormat="1" applyFont="1" applyFill="1" applyBorder="1" applyAlignment="1" applyProtection="1">
      <alignment horizontal="center" vertical="center" wrapText="1"/>
    </xf>
    <xf numFmtId="164" fontId="18" fillId="11" borderId="155" xfId="5" applyNumberFormat="1" applyFont="1" applyFill="1" applyBorder="1" applyAlignment="1" applyProtection="1">
      <alignment horizontal="center" vertical="center" wrapText="1"/>
    </xf>
    <xf numFmtId="164" fontId="18" fillId="11" borderId="133" xfId="5" applyNumberFormat="1" applyFont="1" applyFill="1" applyBorder="1" applyAlignment="1" applyProtection="1">
      <alignment horizontal="center" vertical="center" wrapText="1"/>
    </xf>
    <xf numFmtId="0" fontId="18" fillId="4" borderId="21" xfId="4" applyFont="1" applyFill="1" applyBorder="1" applyAlignment="1">
      <alignment horizontal="center" vertical="center"/>
    </xf>
    <xf numFmtId="0" fontId="18" fillId="4" borderId="170" xfId="4" applyFont="1" applyFill="1" applyBorder="1" applyAlignment="1">
      <alignment horizontal="center" vertical="center"/>
    </xf>
    <xf numFmtId="164" fontId="18" fillId="11" borderId="170" xfId="5" applyNumberFormat="1" applyFont="1" applyFill="1" applyBorder="1" applyAlignment="1" applyProtection="1">
      <alignment horizontal="center" vertical="center" wrapText="1"/>
    </xf>
    <xf numFmtId="164" fontId="18" fillId="11" borderId="135" xfId="5" applyNumberFormat="1" applyFont="1" applyFill="1" applyBorder="1" applyAlignment="1" applyProtection="1">
      <alignment horizontal="center" vertical="center" wrapText="1"/>
    </xf>
    <xf numFmtId="0" fontId="19" fillId="4" borderId="11" xfId="4" applyFont="1" applyFill="1" applyBorder="1" applyAlignment="1">
      <alignment horizontal="center" vertical="center"/>
    </xf>
    <xf numFmtId="0" fontId="19" fillId="4" borderId="8" xfId="4" applyFont="1" applyFill="1" applyBorder="1" applyAlignment="1">
      <alignment horizontal="center" vertical="center"/>
    </xf>
    <xf numFmtId="0" fontId="19" fillId="4" borderId="10" xfId="4" applyFont="1" applyFill="1" applyBorder="1" applyAlignment="1">
      <alignment horizontal="center" vertical="center"/>
    </xf>
    <xf numFmtId="0" fontId="18" fillId="13" borderId="167" xfId="4" applyFont="1" applyFill="1" applyBorder="1" applyAlignment="1">
      <alignment horizontal="center" vertical="center" wrapText="1"/>
    </xf>
    <xf numFmtId="0" fontId="18" fillId="13" borderId="163" xfId="4" applyFont="1" applyFill="1" applyBorder="1" applyAlignment="1">
      <alignment horizontal="center" vertical="center" wrapText="1"/>
    </xf>
    <xf numFmtId="0" fontId="18" fillId="13" borderId="157" xfId="4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4" xfId="4" applyFont="1" applyFill="1" applyBorder="1" applyAlignment="1">
      <alignment horizontal="center" vertical="center" wrapText="1"/>
    </xf>
    <xf numFmtId="0" fontId="18" fillId="13" borderId="46" xfId="4" applyFont="1" applyFill="1" applyBorder="1" applyAlignment="1">
      <alignment horizontal="center" vertical="center" wrapText="1"/>
    </xf>
    <xf numFmtId="164" fontId="18" fillId="4" borderId="141" xfId="5" applyNumberFormat="1" applyFont="1" applyFill="1" applyBorder="1" applyAlignment="1" applyProtection="1">
      <alignment horizontal="center" vertical="center" wrapText="1"/>
    </xf>
    <xf numFmtId="164" fontId="18" fillId="4" borderId="133" xfId="5" applyNumberFormat="1" applyFont="1" applyFill="1" applyBorder="1" applyAlignment="1" applyProtection="1">
      <alignment horizontal="center" vertical="center" wrapText="1"/>
    </xf>
    <xf numFmtId="9" fontId="27" fillId="5" borderId="76" xfId="0" applyNumberFormat="1" applyFont="1" applyFill="1" applyBorder="1" applyAlignment="1">
      <alignment horizontal="center" vertical="center" wrapText="1"/>
    </xf>
    <xf numFmtId="9" fontId="27" fillId="5" borderId="77" xfId="0" applyNumberFormat="1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20" fillId="0" borderId="0" xfId="3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 wrapText="1"/>
    </xf>
    <xf numFmtId="0" fontId="43" fillId="0" borderId="179" xfId="0" applyFont="1" applyBorder="1" applyAlignment="1">
      <alignment horizontal="center" vertical="center" wrapText="1"/>
    </xf>
    <xf numFmtId="0" fontId="43" fillId="0" borderId="181" xfId="0" applyFont="1" applyBorder="1" applyAlignment="1">
      <alignment horizontal="center" vertical="center" wrapText="1"/>
    </xf>
    <xf numFmtId="0" fontId="11" fillId="0" borderId="0" xfId="37" applyFont="1" applyAlignment="1">
      <alignment vertical="center" wrapText="1"/>
    </xf>
  </cellXfs>
  <cellStyles count="39">
    <cellStyle name="Normální" xfId="0" builtinId="0"/>
    <cellStyle name="Normální 10" xfId="3"/>
    <cellStyle name="Normální 11" xfId="9"/>
    <cellStyle name="normální 12" xfId="37"/>
    <cellStyle name="normální 2" xfId="4"/>
    <cellStyle name="normální 2 2" xfId="6"/>
    <cellStyle name="normální 2 3" xfId="10"/>
    <cellStyle name="normální 2 3 2" xfId="11"/>
    <cellStyle name="normální 2 3 2 2" xfId="12"/>
    <cellStyle name="normální 2 3 2_PV III. Rozpis rozpočtu VŠ 2011_final_PV" xfId="13"/>
    <cellStyle name="normální 2 3_PV III. Rozpis rozpočtu VŠ 2011_final_PV" xfId="14"/>
    <cellStyle name="normální 2 4" xfId="15"/>
    <cellStyle name="normální 2 4 2" xfId="16"/>
    <cellStyle name="normální 2 4_PV III. Rozpis rozpočtu VŠ 2011_final_PV" xfId="17"/>
    <cellStyle name="normální 2 5" xfId="8"/>
    <cellStyle name="normální 2_PV III. Rozpis rozpočtu VŠ 2011_final_PV" xfId="18"/>
    <cellStyle name="normální 3" xfId="19"/>
    <cellStyle name="normální 3 2" xfId="20"/>
    <cellStyle name="normální 3_PV III. Rozpis rozpočtu VŠ 2011_final_PV" xfId="21"/>
    <cellStyle name="normální 4" xfId="22"/>
    <cellStyle name="normální 4 2" xfId="23"/>
    <cellStyle name="normální 4_PV Rozpis rozpočtu VŠ 2011 III - tabulkové přílohy" xfId="24"/>
    <cellStyle name="Normální 5" xfId="7"/>
    <cellStyle name="normální 5 2" xfId="25"/>
    <cellStyle name="Normální 6" xfId="26"/>
    <cellStyle name="Normální 6 2" xfId="27"/>
    <cellStyle name="normální 6 3" xfId="38"/>
    <cellStyle name="normální 7" xfId="28"/>
    <cellStyle name="Normální 8" xfId="29"/>
    <cellStyle name="Normální 8 2" xfId="30"/>
    <cellStyle name="Normální 9" xfId="31"/>
    <cellStyle name="normální_Tab.1-bilance PV" xfId="2"/>
    <cellStyle name="normální_Tabulka 1-Bilanční-návrh 13.1.04" xfId="1"/>
    <cellStyle name="normální_Ubyt a strav 2002" xfId="36"/>
    <cellStyle name="procent 2" xfId="5"/>
    <cellStyle name="procent 3" xfId="32"/>
    <cellStyle name="procent 4" xfId="33"/>
    <cellStyle name="Procenta 2" xfId="34"/>
    <cellStyle name="Procenta 3" xfId="35"/>
  </cellStyles>
  <dxfs count="6"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92D050"/>
      <color rgb="FFFFFF99"/>
      <color rgb="FFFEE4E2"/>
      <color rgb="FF808080"/>
      <color rgb="FF777777"/>
      <color rgb="FF969696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3073" name="Picture 1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3074" name="Picture 2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11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9525</xdr:rowOff>
    </xdr:to>
    <xdr:pic>
      <xdr:nvPicPr>
        <xdr:cNvPr id="3075" name="Picture 3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7200" y="3362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9525</xdr:rowOff>
    </xdr:to>
    <xdr:pic>
      <xdr:nvPicPr>
        <xdr:cNvPr id="3076" name="Picture 4" descr="https://sims.ics.muni.cz/sims_is/img/bod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7200" y="8753475"/>
          <a:ext cx="9525" cy="95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spisiloval/AppData/Local/Microsoft/Windows/Temporary%20Internet%20Files/Content.Outlook/UVJU45Q1/VSTUPN&#205;%20DATA/ORIG.+V&#253;po&#269;et_Stravov&#225;n&#237;.(tabulka%20pro%20v&#253;po&#269;et%20dotace)-%2021-11-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2012_pro%20PV_od_Lenky_(2)_5-1-201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ubyt. pro r.2005"/>
      <sheetName val="ORIPočty jídel 1.11.10-31.10.11"/>
      <sheetName val="Výpočet"/>
    </sheetNames>
    <sheetDataSet>
      <sheetData sheetId="0" refreshError="1"/>
      <sheetData sheetId="1">
        <row r="17">
          <cell r="C17">
            <v>1015459</v>
          </cell>
          <cell r="D17">
            <v>237755</v>
          </cell>
        </row>
        <row r="18">
          <cell r="C18">
            <v>421766</v>
          </cell>
          <cell r="D18">
            <v>30359</v>
          </cell>
        </row>
        <row r="19">
          <cell r="C19">
            <v>31807</v>
          </cell>
          <cell r="D19">
            <v>1234</v>
          </cell>
        </row>
        <row r="20">
          <cell r="C20">
            <v>1506452</v>
          </cell>
          <cell r="D20">
            <v>75372</v>
          </cell>
        </row>
        <row r="21">
          <cell r="C21">
            <v>481280</v>
          </cell>
          <cell r="D21">
            <v>59451</v>
          </cell>
        </row>
        <row r="22">
          <cell r="C22">
            <v>0</v>
          </cell>
          <cell r="D22">
            <v>0</v>
          </cell>
        </row>
        <row r="23">
          <cell r="C23">
            <v>117217</v>
          </cell>
          <cell r="D23">
            <v>12016</v>
          </cell>
        </row>
        <row r="24">
          <cell r="C24">
            <v>21353</v>
          </cell>
          <cell r="D24">
            <v>0</v>
          </cell>
        </row>
        <row r="25">
          <cell r="C25">
            <v>326063</v>
          </cell>
          <cell r="D25">
            <v>11163</v>
          </cell>
        </row>
        <row r="26">
          <cell r="C26">
            <v>1151115</v>
          </cell>
          <cell r="D26">
            <v>198682</v>
          </cell>
        </row>
        <row r="27">
          <cell r="C27">
            <v>103106</v>
          </cell>
          <cell r="D27">
            <v>26733</v>
          </cell>
        </row>
        <row r="28">
          <cell r="C28">
            <v>543772</v>
          </cell>
          <cell r="D28">
            <v>99159</v>
          </cell>
        </row>
        <row r="29">
          <cell r="C29">
            <v>234680</v>
          </cell>
          <cell r="D29">
            <v>40230</v>
          </cell>
        </row>
        <row r="30">
          <cell r="C30">
            <v>255894</v>
          </cell>
          <cell r="D30">
            <v>25850</v>
          </cell>
        </row>
        <row r="31">
          <cell r="C31">
            <v>1655626</v>
          </cell>
          <cell r="D31">
            <v>134809</v>
          </cell>
        </row>
        <row r="32">
          <cell r="C32">
            <v>472351</v>
          </cell>
          <cell r="D32">
            <v>107016</v>
          </cell>
        </row>
        <row r="33">
          <cell r="C33">
            <v>205005</v>
          </cell>
          <cell r="D33">
            <v>30770</v>
          </cell>
        </row>
        <row r="34">
          <cell r="C34">
            <v>363695</v>
          </cell>
          <cell r="D34">
            <v>6447</v>
          </cell>
        </row>
        <row r="35">
          <cell r="C35">
            <v>292301</v>
          </cell>
          <cell r="D35">
            <v>3482</v>
          </cell>
        </row>
        <row r="36">
          <cell r="C36">
            <v>346517</v>
          </cell>
          <cell r="D36">
            <v>27769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49906</v>
          </cell>
          <cell r="D41">
            <v>0</v>
          </cell>
        </row>
        <row r="42">
          <cell r="C42">
            <v>12799</v>
          </cell>
          <cell r="D42">
            <v>14776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ýza (s váhou)"/>
      <sheetName val="Analýza (bez vah)"/>
      <sheetName val="Bilance"/>
      <sheetName val="ROZPOČET 2012"/>
      <sheetName val="A"/>
      <sheetName val="Ukaz. A-srovn.2011 a 2012"/>
      <sheetName val="K"/>
      <sheetName val="VKM pro K"/>
      <sheetName val="C"/>
      <sheetName val="J"/>
      <sheetName val="U"/>
      <sheetName val="Studium SSP"/>
      <sheetName val=" U3V "/>
      <sheetName val="FRVŠ"/>
    </sheetNames>
    <sheetDataSet>
      <sheetData sheetId="0"/>
      <sheetData sheetId="1"/>
      <sheetData sheetId="2">
        <row r="31">
          <cell r="L31">
            <v>287548</v>
          </cell>
        </row>
        <row r="52">
          <cell r="L52">
            <v>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N95"/>
  <sheetViews>
    <sheetView zoomScale="77" zoomScaleNormal="77" workbookViewId="0">
      <selection activeCell="A8" sqref="A8:H8"/>
    </sheetView>
  </sheetViews>
  <sheetFormatPr defaultRowHeight="14.25" x14ac:dyDescent="0.25"/>
  <cols>
    <col min="1" max="2" width="4.85546875" style="2" bestFit="1" customWidth="1"/>
    <col min="3" max="3" width="7.28515625" style="2" customWidth="1"/>
    <col min="4" max="4" width="23.28515625" style="2" customWidth="1"/>
    <col min="5" max="5" width="13.42578125" style="2" customWidth="1"/>
    <col min="6" max="6" width="14" style="2" customWidth="1"/>
    <col min="7" max="7" width="13.7109375" style="2" customWidth="1"/>
    <col min="8" max="8" width="14" style="2" customWidth="1"/>
    <col min="9" max="9" width="16" style="2" customWidth="1"/>
    <col min="10" max="10" width="13.7109375" style="2" customWidth="1"/>
    <col min="11" max="11" width="14" style="2" customWidth="1"/>
    <col min="12" max="12" width="15.28515625" style="25" customWidth="1"/>
    <col min="13" max="13" width="13.5703125" style="2" customWidth="1"/>
    <col min="14" max="14" width="13.85546875" style="4" customWidth="1"/>
    <col min="15" max="15" width="11.42578125" style="2" bestFit="1" customWidth="1"/>
    <col min="16" max="16384" width="9.140625" style="2"/>
  </cols>
  <sheetData>
    <row r="1" spans="1:14" s="1" customFormat="1" ht="50.25" customHeight="1" x14ac:dyDescent="0.25">
      <c r="A1" s="926" t="s">
        <v>415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</row>
    <row r="2" spans="1:14" ht="15" x14ac:dyDescent="0.25">
      <c r="A2" s="837" t="s">
        <v>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4" ht="15.75" thickBot="1" x14ac:dyDescent="0.3">
      <c r="A3" s="839"/>
      <c r="B3" s="839"/>
      <c r="C3" s="838"/>
      <c r="D3" s="838"/>
      <c r="E3" s="838"/>
      <c r="F3" s="838"/>
      <c r="G3" s="838"/>
      <c r="H3" s="838"/>
      <c r="I3" s="838"/>
      <c r="J3" s="725"/>
      <c r="K3" s="725"/>
      <c r="L3" s="840"/>
      <c r="M3" s="725"/>
      <c r="N3" s="841"/>
    </row>
    <row r="4" spans="1:14" s="5" customFormat="1" ht="32.25" customHeight="1" thickBot="1" x14ac:dyDescent="0.3">
      <c r="A4" s="927" t="s">
        <v>2</v>
      </c>
      <c r="B4" s="928"/>
      <c r="C4" s="928"/>
      <c r="D4" s="928"/>
      <c r="E4" s="842" t="s">
        <v>3</v>
      </c>
      <c r="F4" s="843" t="s">
        <v>4</v>
      </c>
      <c r="G4" s="844" t="s">
        <v>5</v>
      </c>
      <c r="H4" s="845" t="s">
        <v>6</v>
      </c>
      <c r="I4" s="929" t="s">
        <v>2</v>
      </c>
      <c r="J4" s="930"/>
      <c r="K4" s="846" t="s">
        <v>3</v>
      </c>
      <c r="L4" s="846" t="s">
        <v>4</v>
      </c>
      <c r="M4" s="847" t="s">
        <v>7</v>
      </c>
      <c r="N4" s="848" t="s">
        <v>8</v>
      </c>
    </row>
    <row r="5" spans="1:14" ht="33" customHeight="1" x14ac:dyDescent="0.25">
      <c r="A5" s="931" t="s">
        <v>322</v>
      </c>
      <c r="B5" s="932"/>
      <c r="C5" s="932"/>
      <c r="D5" s="933"/>
      <c r="E5" s="849">
        <v>34770</v>
      </c>
      <c r="F5" s="850">
        <v>33012.209190902606</v>
      </c>
      <c r="G5" s="851">
        <f>Tab.3_A!E189</f>
        <v>30546.478380440745</v>
      </c>
      <c r="H5" s="852">
        <f>G5/F5-1</f>
        <v>-7.4691481451697572E-2</v>
      </c>
      <c r="I5" s="934" t="s">
        <v>326</v>
      </c>
      <c r="J5" s="935"/>
      <c r="K5" s="849">
        <v>93380</v>
      </c>
      <c r="L5" s="850">
        <v>89429</v>
      </c>
      <c r="M5" s="850">
        <f>Tab.6_C!E37</f>
        <v>83041.320252743608</v>
      </c>
      <c r="N5" s="853">
        <f>M5/L5-1</f>
        <v>-7.1427386499417378E-2</v>
      </c>
    </row>
    <row r="6" spans="1:14" ht="30.75" customHeight="1" x14ac:dyDescent="0.25">
      <c r="A6" s="923" t="s">
        <v>9</v>
      </c>
      <c r="B6" s="924"/>
      <c r="C6" s="924"/>
      <c r="D6" s="925"/>
      <c r="E6" s="854">
        <v>29554</v>
      </c>
      <c r="F6" s="855">
        <v>26428.29909612293</v>
      </c>
      <c r="G6" s="856">
        <f>Tab.3_A!N183</f>
        <v>24437.182704352599</v>
      </c>
      <c r="H6" s="857">
        <f>G6/F6-1</f>
        <v>-7.5340315490164511E-2</v>
      </c>
      <c r="I6" s="900" t="s">
        <v>323</v>
      </c>
      <c r="J6" s="901"/>
      <c r="K6" s="858">
        <v>6250</v>
      </c>
      <c r="L6" s="858">
        <v>5800</v>
      </c>
      <c r="M6" s="858">
        <f>Tab.8_U!D9</f>
        <v>5367.2460732631689</v>
      </c>
      <c r="N6" s="859">
        <f>M6/L6-1</f>
        <v>-7.4612745989108831E-2</v>
      </c>
    </row>
    <row r="7" spans="1:14" ht="33" customHeight="1" thickBot="1" x14ac:dyDescent="0.3">
      <c r="A7" s="898" t="s">
        <v>10</v>
      </c>
      <c r="B7" s="899"/>
      <c r="C7" s="899"/>
      <c r="D7" s="899"/>
      <c r="E7" s="860">
        <v>8690</v>
      </c>
      <c r="F7" s="861">
        <v>15253.994069753577</v>
      </c>
      <c r="G7" s="862" t="s">
        <v>11</v>
      </c>
      <c r="H7" s="863"/>
      <c r="I7" s="900" t="s">
        <v>324</v>
      </c>
      <c r="J7" s="901"/>
      <c r="K7" s="858">
        <v>1620</v>
      </c>
      <c r="L7" s="858">
        <v>1620</v>
      </c>
      <c r="M7" s="858">
        <v>1620</v>
      </c>
      <c r="N7" s="859">
        <f>M7/L7-1</f>
        <v>0</v>
      </c>
    </row>
    <row r="8" spans="1:14" ht="30.75" customHeight="1" thickBot="1" x14ac:dyDescent="0.3">
      <c r="A8" s="921"/>
      <c r="B8" s="921"/>
      <c r="C8" s="921"/>
      <c r="D8" s="921"/>
      <c r="E8" s="921"/>
      <c r="F8" s="921"/>
      <c r="G8" s="921"/>
      <c r="H8" s="922"/>
      <c r="I8" s="902" t="s">
        <v>325</v>
      </c>
      <c r="J8" s="903"/>
      <c r="K8" s="864">
        <v>21.25</v>
      </c>
      <c r="L8" s="864">
        <v>19.3995</v>
      </c>
      <c r="M8" s="864">
        <f>Tab.7_J!F34</f>
        <v>17.945548316979806</v>
      </c>
      <c r="N8" s="865">
        <f>M8/L8-1</f>
        <v>-7.4947894689048389E-2</v>
      </c>
    </row>
    <row r="9" spans="1:14" ht="15.75" thickBot="1" x14ac:dyDescent="0.3">
      <c r="A9" s="904"/>
      <c r="B9" s="904"/>
      <c r="C9" s="904"/>
      <c r="D9" s="904"/>
      <c r="E9" s="904"/>
      <c r="F9" s="904"/>
      <c r="G9" s="904"/>
      <c r="H9" s="904"/>
      <c r="I9" s="904"/>
      <c r="J9" s="866"/>
      <c r="K9" s="866"/>
      <c r="L9" s="866"/>
      <c r="M9" s="866"/>
      <c r="N9" s="866"/>
    </row>
    <row r="10" spans="1:14" ht="14.25" customHeight="1" x14ac:dyDescent="0.25">
      <c r="A10" s="905" t="s">
        <v>12</v>
      </c>
      <c r="B10" s="907" t="s">
        <v>13</v>
      </c>
      <c r="C10" s="912" t="s">
        <v>14</v>
      </c>
      <c r="D10" s="913"/>
      <c r="E10" s="913"/>
      <c r="F10" s="913"/>
      <c r="G10" s="914"/>
      <c r="H10" s="909" t="s">
        <v>300</v>
      </c>
      <c r="I10" s="890" t="s">
        <v>301</v>
      </c>
      <c r="J10" s="887" t="s">
        <v>306</v>
      </c>
      <c r="K10" s="887" t="s">
        <v>307</v>
      </c>
      <c r="L10" s="890" t="s">
        <v>303</v>
      </c>
      <c r="M10" s="887" t="s">
        <v>304</v>
      </c>
      <c r="N10" s="893" t="s">
        <v>305</v>
      </c>
    </row>
    <row r="11" spans="1:14" ht="14.25" customHeight="1" x14ac:dyDescent="0.25">
      <c r="A11" s="906"/>
      <c r="B11" s="908"/>
      <c r="C11" s="915"/>
      <c r="D11" s="916"/>
      <c r="E11" s="916"/>
      <c r="F11" s="916"/>
      <c r="G11" s="917"/>
      <c r="H11" s="910"/>
      <c r="I11" s="891"/>
      <c r="J11" s="888"/>
      <c r="K11" s="888"/>
      <c r="L11" s="891"/>
      <c r="M11" s="888"/>
      <c r="N11" s="894"/>
    </row>
    <row r="12" spans="1:14" s="6" customFormat="1" ht="14.25" customHeight="1" thickBot="1" x14ac:dyDescent="0.3">
      <c r="A12" s="906"/>
      <c r="B12" s="908"/>
      <c r="C12" s="918"/>
      <c r="D12" s="919"/>
      <c r="E12" s="919"/>
      <c r="F12" s="919"/>
      <c r="G12" s="920"/>
      <c r="H12" s="911"/>
      <c r="I12" s="892"/>
      <c r="J12" s="889"/>
      <c r="K12" s="889"/>
      <c r="L12" s="892"/>
      <c r="M12" s="889"/>
      <c r="N12" s="895"/>
    </row>
    <row r="13" spans="1:14" s="10" customFormat="1" ht="16.5" thickBot="1" x14ac:dyDescent="0.3">
      <c r="A13" s="7"/>
      <c r="B13" s="8"/>
      <c r="C13" s="896">
        <v>1</v>
      </c>
      <c r="D13" s="897"/>
      <c r="E13" s="897"/>
      <c r="F13" s="897"/>
      <c r="G13" s="897"/>
      <c r="H13" s="9">
        <v>2</v>
      </c>
      <c r="I13" s="9">
        <v>3</v>
      </c>
      <c r="J13" s="333">
        <v>4</v>
      </c>
      <c r="K13" s="333">
        <v>5</v>
      </c>
      <c r="L13" s="9">
        <v>6</v>
      </c>
      <c r="M13" s="333">
        <v>7</v>
      </c>
      <c r="N13" s="334">
        <v>8</v>
      </c>
    </row>
    <row r="14" spans="1:14" x14ac:dyDescent="0.25">
      <c r="A14" s="722"/>
      <c r="B14" s="723"/>
      <c r="C14" s="724"/>
      <c r="D14" s="725"/>
      <c r="E14" s="725"/>
      <c r="F14" s="725"/>
      <c r="G14" s="725"/>
      <c r="H14" s="726"/>
      <c r="I14" s="726"/>
      <c r="J14" s="727"/>
      <c r="K14" s="727"/>
      <c r="L14" s="726"/>
      <c r="M14" s="727"/>
      <c r="N14" s="867"/>
    </row>
    <row r="15" spans="1:14" ht="15.75" thickBot="1" x14ac:dyDescent="0.3">
      <c r="A15" s="722"/>
      <c r="B15" s="723"/>
      <c r="C15" s="728" t="s">
        <v>408</v>
      </c>
      <c r="D15" s="725"/>
      <c r="E15" s="725"/>
      <c r="F15" s="725"/>
      <c r="G15" s="725"/>
      <c r="H15" s="729"/>
      <c r="I15" s="726"/>
      <c r="J15" s="727"/>
      <c r="K15" s="727"/>
      <c r="L15" s="726"/>
      <c r="M15" s="727"/>
      <c r="N15" s="867"/>
    </row>
    <row r="16" spans="1:14" x14ac:dyDescent="0.25">
      <c r="A16" s="730" t="s">
        <v>15</v>
      </c>
      <c r="B16" s="731"/>
      <c r="C16" s="885" t="s">
        <v>16</v>
      </c>
      <c r="D16" s="886"/>
      <c r="E16" s="886"/>
      <c r="F16" s="886"/>
      <c r="G16" s="886"/>
      <c r="H16" s="732">
        <v>14782615</v>
      </c>
      <c r="I16" s="732">
        <v>13288205</v>
      </c>
      <c r="J16" s="733">
        <f>I16/$I$58</f>
        <v>0.64235682342048672</v>
      </c>
      <c r="K16" s="733">
        <f>I16/H16-1</f>
        <v>-0.10109239806353609</v>
      </c>
      <c r="L16" s="732">
        <v>12382584</v>
      </c>
      <c r="M16" s="733">
        <f>L16/$L$57</f>
        <v>0.6412931904732212</v>
      </c>
      <c r="N16" s="734">
        <f>L16/I16-1</f>
        <v>-6.8152244791527483E-2</v>
      </c>
    </row>
    <row r="17" spans="1:14" x14ac:dyDescent="0.25">
      <c r="A17" s="735" t="s">
        <v>15</v>
      </c>
      <c r="B17" s="736"/>
      <c r="C17" s="879" t="s">
        <v>17</v>
      </c>
      <c r="D17" s="880"/>
      <c r="E17" s="880"/>
      <c r="F17" s="880"/>
      <c r="G17" s="880"/>
      <c r="H17" s="737">
        <v>978194</v>
      </c>
      <c r="I17" s="737">
        <v>1655202</v>
      </c>
      <c r="J17" s="738">
        <f>I17/$I$58</f>
        <v>8.001308670653684E-2</v>
      </c>
      <c r="K17" s="738">
        <f>I17/H17-1</f>
        <v>0.69209993109751244</v>
      </c>
      <c r="L17" s="739" t="s">
        <v>11</v>
      </c>
      <c r="M17" s="740" t="s">
        <v>11</v>
      </c>
      <c r="N17" s="741" t="s">
        <v>11</v>
      </c>
    </row>
    <row r="18" spans="1:14" ht="15" thickBot="1" x14ac:dyDescent="0.3">
      <c r="A18" s="742" t="s">
        <v>15</v>
      </c>
      <c r="B18" s="743"/>
      <c r="C18" s="881" t="s">
        <v>193</v>
      </c>
      <c r="D18" s="882"/>
      <c r="E18" s="882"/>
      <c r="F18" s="882"/>
      <c r="G18" s="882"/>
      <c r="H18" s="744">
        <v>1630532</v>
      </c>
      <c r="I18" s="744">
        <v>1655202</v>
      </c>
      <c r="J18" s="745">
        <f>I18/$I$58</f>
        <v>8.001308670653684E-2</v>
      </c>
      <c r="K18" s="745">
        <f>I18/H18-1</f>
        <v>1.5130031180007553E-2</v>
      </c>
      <c r="L18" s="744">
        <v>3095646</v>
      </c>
      <c r="M18" s="745">
        <f>L18/$L$57</f>
        <v>0.1603232976183053</v>
      </c>
      <c r="N18" s="746">
        <f>L18/(I18+I17)-1</f>
        <v>-6.4873652883454702E-2</v>
      </c>
    </row>
    <row r="19" spans="1:14" s="11" customFormat="1" ht="15.75" thickBot="1" x14ac:dyDescent="0.3">
      <c r="A19" s="747"/>
      <c r="B19" s="748"/>
      <c r="C19" s="883" t="s">
        <v>18</v>
      </c>
      <c r="D19" s="884"/>
      <c r="E19" s="884"/>
      <c r="F19" s="884"/>
      <c r="G19" s="884"/>
      <c r="H19" s="749">
        <f>SUM(H16:H18)</f>
        <v>17391341</v>
      </c>
      <c r="I19" s="749">
        <f>SUM(I16:I18)</f>
        <v>16598609</v>
      </c>
      <c r="J19" s="750">
        <f>I19/$I$58</f>
        <v>0.8023829968335604</v>
      </c>
      <c r="K19" s="750">
        <f>I19/H19-1</f>
        <v>-4.5581993935947751E-2</v>
      </c>
      <c r="L19" s="749">
        <f>SUM(L16:L18)</f>
        <v>15478230</v>
      </c>
      <c r="M19" s="750">
        <f>L19/$L$57</f>
        <v>0.80161648809152652</v>
      </c>
      <c r="N19" s="751">
        <f t="shared" ref="N19:N60" si="0">L19/I19-1</f>
        <v>-6.7498366881224792E-2</v>
      </c>
    </row>
    <row r="20" spans="1:14" x14ac:dyDescent="0.2">
      <c r="A20" s="722"/>
      <c r="B20" s="723"/>
      <c r="C20" s="724"/>
      <c r="D20" s="725"/>
      <c r="E20" s="725"/>
      <c r="F20" s="725"/>
      <c r="G20" s="725"/>
      <c r="H20" s="752"/>
      <c r="I20" s="752"/>
      <c r="J20" s="868"/>
      <c r="K20" s="868"/>
      <c r="L20" s="752"/>
      <c r="M20" s="868"/>
      <c r="N20" s="869"/>
    </row>
    <row r="21" spans="1:14" ht="15" thickBot="1" x14ac:dyDescent="0.3">
      <c r="A21" s="722"/>
      <c r="B21" s="723"/>
      <c r="C21" s="724" t="s">
        <v>19</v>
      </c>
      <c r="D21" s="725"/>
      <c r="E21" s="725"/>
      <c r="F21" s="725"/>
      <c r="G21" s="725"/>
      <c r="H21" s="753"/>
      <c r="I21" s="752"/>
      <c r="J21" s="754"/>
      <c r="K21" s="754"/>
      <c r="L21" s="752"/>
      <c r="M21" s="754"/>
      <c r="N21" s="870"/>
    </row>
    <row r="22" spans="1:14" x14ac:dyDescent="0.25">
      <c r="A22" s="730" t="s">
        <v>15</v>
      </c>
      <c r="B22" s="731"/>
      <c r="C22" s="885" t="s">
        <v>20</v>
      </c>
      <c r="D22" s="886"/>
      <c r="E22" s="886"/>
      <c r="F22" s="886"/>
      <c r="G22" s="886"/>
      <c r="H22" s="755">
        <v>1013279</v>
      </c>
      <c r="I22" s="755">
        <v>1054455</v>
      </c>
      <c r="J22" s="756">
        <f t="shared" ref="J22:J28" si="1">I22/$I$58</f>
        <v>5.097275096522437E-2</v>
      </c>
      <c r="K22" s="756">
        <f t="shared" ref="K22:K28" si="2">I22/H22-1</f>
        <v>4.0636389385351857E-2</v>
      </c>
      <c r="L22" s="755">
        <v>998821</v>
      </c>
      <c r="M22" s="756">
        <f t="shared" ref="M22:M28" si="3">L22/$L$57</f>
        <v>5.1728872245215801E-2</v>
      </c>
      <c r="N22" s="757">
        <f t="shared" si="0"/>
        <v>-5.2760904922448115E-2</v>
      </c>
    </row>
    <row r="23" spans="1:14" x14ac:dyDescent="0.25">
      <c r="A23" s="735"/>
      <c r="B23" s="758" t="s">
        <v>21</v>
      </c>
      <c r="C23" s="879" t="s">
        <v>22</v>
      </c>
      <c r="D23" s="880"/>
      <c r="E23" s="880"/>
      <c r="F23" s="880"/>
      <c r="G23" s="880"/>
      <c r="H23" s="759">
        <v>217770</v>
      </c>
      <c r="I23" s="759">
        <v>198340</v>
      </c>
      <c r="J23" s="760">
        <f t="shared" si="1"/>
        <v>9.5878301363667498E-3</v>
      </c>
      <c r="K23" s="760">
        <f t="shared" si="2"/>
        <v>-8.9222574275611866E-2</v>
      </c>
      <c r="L23" s="759">
        <v>180629</v>
      </c>
      <c r="M23" s="760">
        <f t="shared" si="3"/>
        <v>9.3547637312201941E-3</v>
      </c>
      <c r="N23" s="761">
        <f t="shared" si="0"/>
        <v>-8.929615811233238E-2</v>
      </c>
    </row>
    <row r="24" spans="1:14" x14ac:dyDescent="0.25">
      <c r="A24" s="735" t="s">
        <v>15</v>
      </c>
      <c r="B24" s="758"/>
      <c r="C24" s="879" t="s">
        <v>23</v>
      </c>
      <c r="D24" s="880"/>
      <c r="E24" s="880"/>
      <c r="F24" s="880"/>
      <c r="G24" s="880"/>
      <c r="H24" s="759">
        <v>85909</v>
      </c>
      <c r="I24" s="759">
        <v>57248</v>
      </c>
      <c r="J24" s="760">
        <f t="shared" si="1"/>
        <v>2.767389833854612E-3</v>
      </c>
      <c r="K24" s="760">
        <f t="shared" si="2"/>
        <v>-0.33362045885762837</v>
      </c>
      <c r="L24" s="759">
        <v>51000</v>
      </c>
      <c r="M24" s="760">
        <f t="shared" si="3"/>
        <v>2.6412865613618516E-3</v>
      </c>
      <c r="N24" s="761">
        <f t="shared" si="0"/>
        <v>-0.10913918390162103</v>
      </c>
    </row>
    <row r="25" spans="1:14" x14ac:dyDescent="0.25">
      <c r="A25" s="735"/>
      <c r="B25" s="758" t="s">
        <v>21</v>
      </c>
      <c r="C25" s="879" t="s">
        <v>24</v>
      </c>
      <c r="D25" s="880"/>
      <c r="E25" s="880"/>
      <c r="F25" s="880"/>
      <c r="G25" s="880"/>
      <c r="H25" s="759">
        <v>4172</v>
      </c>
      <c r="I25" s="759">
        <f>3500-245</f>
        <v>3255</v>
      </c>
      <c r="J25" s="760">
        <f t="shared" si="1"/>
        <v>1.5734792323219608E-4</v>
      </c>
      <c r="K25" s="760">
        <f t="shared" si="2"/>
        <v>-0.21979865771812079</v>
      </c>
      <c r="L25" s="759">
        <v>3038</v>
      </c>
      <c r="M25" s="760">
        <f t="shared" si="3"/>
        <v>1.5733781516504518E-4</v>
      </c>
      <c r="N25" s="761">
        <f t="shared" si="0"/>
        <v>-6.6666666666666652E-2</v>
      </c>
    </row>
    <row r="26" spans="1:14" x14ac:dyDescent="0.25">
      <c r="A26" s="735" t="s">
        <v>15</v>
      </c>
      <c r="B26" s="758"/>
      <c r="C26" s="879" t="s">
        <v>25</v>
      </c>
      <c r="D26" s="880"/>
      <c r="E26" s="880"/>
      <c r="F26" s="880"/>
      <c r="G26" s="880"/>
      <c r="H26" s="759">
        <v>960361</v>
      </c>
      <c r="I26" s="759">
        <v>903679</v>
      </c>
      <c r="J26" s="760">
        <f t="shared" si="1"/>
        <v>4.3684182463455519E-2</v>
      </c>
      <c r="K26" s="760">
        <f t="shared" si="2"/>
        <v>-5.9021555435924578E-2</v>
      </c>
      <c r="L26" s="759">
        <v>835310</v>
      </c>
      <c r="M26" s="760">
        <f t="shared" si="3"/>
        <v>4.3260648579826824E-2</v>
      </c>
      <c r="N26" s="761">
        <f t="shared" si="0"/>
        <v>-7.5656289456765058E-2</v>
      </c>
    </row>
    <row r="27" spans="1:14" ht="15" thickBot="1" x14ac:dyDescent="0.3">
      <c r="A27" s="742"/>
      <c r="B27" s="762" t="s">
        <v>21</v>
      </c>
      <c r="C27" s="881" t="s">
        <v>26</v>
      </c>
      <c r="D27" s="882"/>
      <c r="E27" s="882"/>
      <c r="F27" s="882"/>
      <c r="G27" s="882"/>
      <c r="H27" s="763">
        <v>50146</v>
      </c>
      <c r="I27" s="763">
        <v>66622</v>
      </c>
      <c r="J27" s="764">
        <f t="shared" si="1"/>
        <v>3.2205325166130162E-3</v>
      </c>
      <c r="K27" s="764">
        <f t="shared" si="2"/>
        <v>0.32856060303912571</v>
      </c>
      <c r="L27" s="763">
        <v>57282</v>
      </c>
      <c r="M27" s="764">
        <f t="shared" si="3"/>
        <v>2.9666309178025406E-3</v>
      </c>
      <c r="N27" s="765">
        <f t="shared" si="0"/>
        <v>-0.14019392993305513</v>
      </c>
    </row>
    <row r="28" spans="1:14" s="11" customFormat="1" ht="15.75" thickBot="1" x14ac:dyDescent="0.3">
      <c r="A28" s="747"/>
      <c r="B28" s="748"/>
      <c r="C28" s="883" t="s">
        <v>27</v>
      </c>
      <c r="D28" s="884"/>
      <c r="E28" s="884"/>
      <c r="F28" s="884"/>
      <c r="G28" s="884"/>
      <c r="H28" s="749">
        <f>H22+H24+H25+H26+H27+H23</f>
        <v>2331637</v>
      </c>
      <c r="I28" s="749">
        <f>SUM(I22:I27)</f>
        <v>2283599</v>
      </c>
      <c r="J28" s="750">
        <f t="shared" si="1"/>
        <v>0.11039003383874646</v>
      </c>
      <c r="K28" s="750">
        <f t="shared" si="2"/>
        <v>-2.0602692443120407E-2</v>
      </c>
      <c r="L28" s="749">
        <f>SUM(L22:L27)</f>
        <v>2126080</v>
      </c>
      <c r="M28" s="750">
        <f t="shared" si="3"/>
        <v>0.11010953985059226</v>
      </c>
      <c r="N28" s="751">
        <f t="shared" si="0"/>
        <v>-6.8978397695917737E-2</v>
      </c>
    </row>
    <row r="29" spans="1:14" x14ac:dyDescent="0.2">
      <c r="A29" s="722"/>
      <c r="B29" s="723"/>
      <c r="C29" s="724"/>
      <c r="D29" s="725"/>
      <c r="E29" s="725"/>
      <c r="F29" s="725"/>
      <c r="G29" s="725"/>
      <c r="H29" s="753"/>
      <c r="I29" s="752"/>
      <c r="J29" s="868"/>
      <c r="K29" s="868"/>
      <c r="L29" s="752"/>
      <c r="M29" s="868"/>
      <c r="N29" s="870"/>
    </row>
    <row r="30" spans="1:14" ht="15.75" thickBot="1" x14ac:dyDescent="0.3">
      <c r="A30" s="722"/>
      <c r="B30" s="723"/>
      <c r="C30" s="728" t="s">
        <v>28</v>
      </c>
      <c r="D30" s="725"/>
      <c r="E30" s="725"/>
      <c r="F30" s="725"/>
      <c r="G30" s="725"/>
      <c r="H30" s="752"/>
      <c r="I30" s="752"/>
      <c r="J30" s="754"/>
      <c r="K30" s="754"/>
      <c r="L30" s="752"/>
      <c r="M30" s="754"/>
      <c r="N30" s="870"/>
    </row>
    <row r="31" spans="1:14" s="3" customFormat="1" x14ac:dyDescent="0.25">
      <c r="A31" s="730"/>
      <c r="B31" s="731" t="s">
        <v>21</v>
      </c>
      <c r="C31" s="885" t="s">
        <v>29</v>
      </c>
      <c r="D31" s="886"/>
      <c r="E31" s="886"/>
      <c r="F31" s="886"/>
      <c r="G31" s="886"/>
      <c r="H31" s="755">
        <v>334000</v>
      </c>
      <c r="I31" s="755">
        <v>319638</v>
      </c>
      <c r="J31" s="756">
        <f>I31/$I$58</f>
        <v>1.5451421040274253E-2</v>
      </c>
      <c r="K31" s="756">
        <f>I31/H31-1</f>
        <v>-4.3000000000000038E-2</v>
      </c>
      <c r="L31" s="755">
        <v>287548</v>
      </c>
      <c r="M31" s="756">
        <f>L31/$L$57</f>
        <v>1.4892091532283876E-2</v>
      </c>
      <c r="N31" s="766">
        <f t="shared" si="0"/>
        <v>-0.10039482164198255</v>
      </c>
    </row>
    <row r="32" spans="1:14" ht="15" thickBot="1" x14ac:dyDescent="0.3">
      <c r="A32" s="742"/>
      <c r="B32" s="762" t="s">
        <v>21</v>
      </c>
      <c r="C32" s="881" t="s">
        <v>30</v>
      </c>
      <c r="D32" s="882"/>
      <c r="E32" s="882"/>
      <c r="F32" s="882"/>
      <c r="G32" s="882"/>
      <c r="H32" s="763">
        <v>1131885</v>
      </c>
      <c r="I32" s="763">
        <v>1083213</v>
      </c>
      <c r="J32" s="764">
        <f>I32/$I$58</f>
        <v>5.2362923492509005E-2</v>
      </c>
      <c r="K32" s="764">
        <f>I32/H32-1</f>
        <v>-4.3000834890470352E-2</v>
      </c>
      <c r="L32" s="763">
        <v>974734</v>
      </c>
      <c r="M32" s="764">
        <f>L32/$L$57</f>
        <v>5.0481408139264369E-2</v>
      </c>
      <c r="N32" s="746">
        <f t="shared" si="0"/>
        <v>-0.10014558540194773</v>
      </c>
    </row>
    <row r="33" spans="1:14" s="11" customFormat="1" ht="15.75" thickBot="1" x14ac:dyDescent="0.3">
      <c r="A33" s="747"/>
      <c r="B33" s="748"/>
      <c r="C33" s="873" t="s">
        <v>31</v>
      </c>
      <c r="D33" s="874"/>
      <c r="E33" s="874"/>
      <c r="F33" s="874"/>
      <c r="G33" s="874"/>
      <c r="H33" s="749">
        <f>H31+H32</f>
        <v>1465885</v>
      </c>
      <c r="I33" s="749">
        <f>SUM(I31:I32)</f>
        <v>1402851</v>
      </c>
      <c r="J33" s="750">
        <f>I33/$I$58</f>
        <v>6.7814344532783261E-2</v>
      </c>
      <c r="K33" s="750">
        <f>I33/H33-1</f>
        <v>-4.3000644661757237E-2</v>
      </c>
      <c r="L33" s="749">
        <f>SUM(L31:L32)</f>
        <v>1262282</v>
      </c>
      <c r="M33" s="750">
        <f>L33/$L$57</f>
        <v>6.5373499671548249E-2</v>
      </c>
      <c r="N33" s="751">
        <f t="shared" si="0"/>
        <v>-0.10020237359491491</v>
      </c>
    </row>
    <row r="34" spans="1:14" x14ac:dyDescent="0.2">
      <c r="A34" s="722"/>
      <c r="B34" s="723"/>
      <c r="C34" s="724"/>
      <c r="D34" s="725"/>
      <c r="E34" s="725"/>
      <c r="F34" s="725"/>
      <c r="G34" s="725"/>
      <c r="H34" s="752"/>
      <c r="I34" s="752"/>
      <c r="J34" s="868"/>
      <c r="K34" s="868"/>
      <c r="L34" s="752"/>
      <c r="M34" s="868"/>
      <c r="N34" s="870"/>
    </row>
    <row r="35" spans="1:14" ht="15.75" thickBot="1" x14ac:dyDescent="0.3">
      <c r="A35" s="767"/>
      <c r="B35" s="768"/>
      <c r="C35" s="728" t="s">
        <v>32</v>
      </c>
      <c r="D35" s="725"/>
      <c r="E35" s="725"/>
      <c r="F35" s="725"/>
      <c r="G35" s="725"/>
      <c r="H35" s="752"/>
      <c r="I35" s="752"/>
      <c r="J35" s="754"/>
      <c r="K35" s="754"/>
      <c r="L35" s="752"/>
      <c r="M35" s="754"/>
      <c r="N35" s="870"/>
    </row>
    <row r="36" spans="1:14" ht="15" thickBot="1" x14ac:dyDescent="0.3">
      <c r="A36" s="769"/>
      <c r="B36" s="770"/>
      <c r="C36" s="771" t="s">
        <v>33</v>
      </c>
      <c r="D36" s="772"/>
      <c r="E36" s="772"/>
      <c r="F36" s="772"/>
      <c r="G36" s="772"/>
      <c r="H36" s="773">
        <f>SUM(H37:H43)</f>
        <v>311379</v>
      </c>
      <c r="I36" s="773">
        <f>SUM(I37:I43)</f>
        <v>310082</v>
      </c>
      <c r="J36" s="774">
        <f t="shared" ref="J36:J45" si="4">I36/$I$58</f>
        <v>1.4989480409120069E-2</v>
      </c>
      <c r="K36" s="774">
        <f t="shared" ref="K36:K42" si="5">I36/H36-1</f>
        <v>-4.1653419145157855E-3</v>
      </c>
      <c r="L36" s="773">
        <f>SUM(L37:L43)</f>
        <v>292180</v>
      </c>
      <c r="M36" s="774">
        <f t="shared" ref="M36:M58" si="6">L36/$L$57</f>
        <v>1.5131982499974623E-2</v>
      </c>
      <c r="N36" s="775">
        <f t="shared" si="0"/>
        <v>-5.7733115756477327E-2</v>
      </c>
    </row>
    <row r="37" spans="1:14" s="3" customFormat="1" x14ac:dyDescent="0.25">
      <c r="A37" s="735"/>
      <c r="B37" s="718" t="s">
        <v>21</v>
      </c>
      <c r="C37" s="723" t="s">
        <v>34</v>
      </c>
      <c r="D37" s="716" t="s">
        <v>35</v>
      </c>
      <c r="E37" s="717"/>
      <c r="F37" s="717"/>
      <c r="G37" s="717"/>
      <c r="H37" s="776">
        <v>5000</v>
      </c>
      <c r="I37" s="776">
        <v>4500</v>
      </c>
      <c r="J37" s="756">
        <f t="shared" si="4"/>
        <v>2.1753169110441854E-4</v>
      </c>
      <c r="K37" s="756">
        <f t="shared" si="5"/>
        <v>-9.9999999999999978E-2</v>
      </c>
      <c r="L37" s="776">
        <v>4500</v>
      </c>
      <c r="M37" s="756">
        <f t="shared" si="6"/>
        <v>2.3305469659075162E-4</v>
      </c>
      <c r="N37" s="777">
        <f t="shared" si="0"/>
        <v>0</v>
      </c>
    </row>
    <row r="38" spans="1:14" s="3" customFormat="1" x14ac:dyDescent="0.25">
      <c r="A38" s="735"/>
      <c r="B38" s="718" t="s">
        <v>21</v>
      </c>
      <c r="C38" s="778"/>
      <c r="D38" s="718" t="s">
        <v>36</v>
      </c>
      <c r="E38" s="719"/>
      <c r="F38" s="719"/>
      <c r="G38" s="719"/>
      <c r="H38" s="759">
        <v>10000</v>
      </c>
      <c r="I38" s="759">
        <v>10000</v>
      </c>
      <c r="J38" s="760">
        <f t="shared" si="4"/>
        <v>4.8340375800981901E-4</v>
      </c>
      <c r="K38" s="760">
        <f t="shared" si="5"/>
        <v>0</v>
      </c>
      <c r="L38" s="779">
        <v>10000</v>
      </c>
      <c r="M38" s="760">
        <f t="shared" si="6"/>
        <v>5.1789932575722582E-4</v>
      </c>
      <c r="N38" s="780">
        <f t="shared" si="0"/>
        <v>0</v>
      </c>
    </row>
    <row r="39" spans="1:14" s="3" customFormat="1" x14ac:dyDescent="0.25">
      <c r="A39" s="735"/>
      <c r="B39" s="718" t="s">
        <v>21</v>
      </c>
      <c r="C39" s="778"/>
      <c r="D39" s="718" t="s">
        <v>37</v>
      </c>
      <c r="E39" s="719"/>
      <c r="F39" s="719"/>
      <c r="G39" s="719"/>
      <c r="H39" s="759">
        <v>272797</v>
      </c>
      <c r="I39" s="759">
        <v>272000</v>
      </c>
      <c r="J39" s="760">
        <f t="shared" si="4"/>
        <v>1.3148582217867077E-2</v>
      </c>
      <c r="K39" s="760">
        <f t="shared" si="5"/>
        <v>-2.9215863810818643E-3</v>
      </c>
      <c r="L39" s="779">
        <v>253883</v>
      </c>
      <c r="M39" s="760">
        <f t="shared" si="6"/>
        <v>1.3148583452122175E-2</v>
      </c>
      <c r="N39" s="780">
        <f t="shared" si="0"/>
        <v>-6.6606617647058775E-2</v>
      </c>
    </row>
    <row r="40" spans="1:14" s="3" customFormat="1" x14ac:dyDescent="0.25">
      <c r="A40" s="781" t="s">
        <v>15</v>
      </c>
      <c r="B40" s="718"/>
      <c r="C40" s="778"/>
      <c r="D40" s="718" t="s">
        <v>38</v>
      </c>
      <c r="E40" s="719"/>
      <c r="F40" s="719"/>
      <c r="G40" s="719"/>
      <c r="H40" s="759">
        <v>9182</v>
      </c>
      <c r="I40" s="759">
        <v>9182</v>
      </c>
      <c r="J40" s="760">
        <f t="shared" si="4"/>
        <v>4.4386133060461582E-4</v>
      </c>
      <c r="K40" s="760">
        <f t="shared" si="5"/>
        <v>0</v>
      </c>
      <c r="L40" s="759">
        <v>9397</v>
      </c>
      <c r="M40" s="760">
        <f t="shared" si="6"/>
        <v>4.8666999641406509E-4</v>
      </c>
      <c r="N40" s="780">
        <f t="shared" si="0"/>
        <v>2.341537791330861E-2</v>
      </c>
    </row>
    <row r="41" spans="1:14" s="3" customFormat="1" x14ac:dyDescent="0.25">
      <c r="A41" s="735" t="s">
        <v>15</v>
      </c>
      <c r="B41" s="718" t="s">
        <v>21</v>
      </c>
      <c r="C41" s="778"/>
      <c r="D41" s="718" t="s">
        <v>413</v>
      </c>
      <c r="E41" s="719"/>
      <c r="F41" s="719"/>
      <c r="G41" s="719"/>
      <c r="H41" s="759">
        <v>13500</v>
      </c>
      <c r="I41" s="759">
        <v>13500</v>
      </c>
      <c r="J41" s="760">
        <f t="shared" si="4"/>
        <v>6.5259507331325559E-4</v>
      </c>
      <c r="K41" s="760">
        <f t="shared" si="5"/>
        <v>0</v>
      </c>
      <c r="L41" s="759">
        <v>13500</v>
      </c>
      <c r="M41" s="760">
        <f t="shared" si="6"/>
        <v>6.9916408977225479E-4</v>
      </c>
      <c r="N41" s="780">
        <f t="shared" si="0"/>
        <v>0</v>
      </c>
    </row>
    <row r="42" spans="1:14" s="3" customFormat="1" x14ac:dyDescent="0.25">
      <c r="A42" s="735"/>
      <c r="B42" s="718" t="s">
        <v>21</v>
      </c>
      <c r="C42" s="782"/>
      <c r="D42" s="718" t="s">
        <v>414</v>
      </c>
      <c r="E42" s="719"/>
      <c r="F42" s="719"/>
      <c r="G42" s="719"/>
      <c r="H42" s="759">
        <v>900</v>
      </c>
      <c r="I42" s="759">
        <v>900</v>
      </c>
      <c r="J42" s="760">
        <f t="shared" si="4"/>
        <v>4.3506338220883707E-5</v>
      </c>
      <c r="K42" s="760">
        <f t="shared" si="5"/>
        <v>0</v>
      </c>
      <c r="L42" s="759">
        <v>900</v>
      </c>
      <c r="M42" s="760">
        <f t="shared" si="6"/>
        <v>4.6610939318150323E-5</v>
      </c>
      <c r="N42" s="780">
        <f t="shared" si="0"/>
        <v>0</v>
      </c>
    </row>
    <row r="43" spans="1:14" s="3" customFormat="1" ht="15" thickBot="1" x14ac:dyDescent="0.3">
      <c r="A43" s="783"/>
      <c r="B43" s="784" t="s">
        <v>21</v>
      </c>
      <c r="C43" s="782"/>
      <c r="D43" s="720" t="s">
        <v>39</v>
      </c>
      <c r="E43" s="721"/>
      <c r="F43" s="721"/>
      <c r="G43" s="721"/>
      <c r="H43" s="785">
        <v>0</v>
      </c>
      <c r="I43" s="785">
        <v>0</v>
      </c>
      <c r="J43" s="786">
        <f t="shared" si="4"/>
        <v>0</v>
      </c>
      <c r="K43" s="786"/>
      <c r="L43" s="785">
        <v>0</v>
      </c>
      <c r="M43" s="786">
        <f t="shared" si="6"/>
        <v>0</v>
      </c>
      <c r="N43" s="787"/>
    </row>
    <row r="44" spans="1:14" ht="15" thickBot="1" x14ac:dyDescent="0.3">
      <c r="A44" s="788"/>
      <c r="B44" s="789"/>
      <c r="C44" s="771" t="s">
        <v>40</v>
      </c>
      <c r="D44" s="772"/>
      <c r="E44" s="772"/>
      <c r="F44" s="772"/>
      <c r="G44" s="772"/>
      <c r="H44" s="790">
        <f>SUM(H45:H54)</f>
        <v>100000</v>
      </c>
      <c r="I44" s="790">
        <f>SUM(I45:I54)</f>
        <v>81500</v>
      </c>
      <c r="J44" s="774">
        <f t="shared" si="4"/>
        <v>3.9397406277800247E-3</v>
      </c>
      <c r="K44" s="774">
        <f>I44/H44-1</f>
        <v>-0.18500000000000005</v>
      </c>
      <c r="L44" s="790">
        <f>SUM(L45:L54)</f>
        <v>150000</v>
      </c>
      <c r="M44" s="774">
        <f t="shared" si="6"/>
        <v>7.7684898863583868E-3</v>
      </c>
      <c r="N44" s="775">
        <f t="shared" si="0"/>
        <v>0.8404907975460123</v>
      </c>
    </row>
    <row r="45" spans="1:14" s="3" customFormat="1" x14ac:dyDescent="0.25">
      <c r="A45" s="730" t="s">
        <v>15</v>
      </c>
      <c r="B45" s="716" t="s">
        <v>21</v>
      </c>
      <c r="C45" s="791" t="s">
        <v>34</v>
      </c>
      <c r="D45" s="716" t="s">
        <v>41</v>
      </c>
      <c r="E45" s="792"/>
      <c r="F45" s="792"/>
      <c r="G45" s="792"/>
      <c r="H45" s="755">
        <v>35000</v>
      </c>
      <c r="I45" s="755">
        <v>25000</v>
      </c>
      <c r="J45" s="756">
        <f t="shared" si="4"/>
        <v>1.2085093950245475E-3</v>
      </c>
      <c r="K45" s="756">
        <f>I45/H45-1</f>
        <v>-0.2857142857142857</v>
      </c>
      <c r="L45" s="755">
        <v>0</v>
      </c>
      <c r="M45" s="756">
        <f t="shared" si="6"/>
        <v>0</v>
      </c>
      <c r="N45" s="766">
        <f t="shared" si="0"/>
        <v>-1</v>
      </c>
    </row>
    <row r="46" spans="1:14" s="3" customFormat="1" x14ac:dyDescent="0.25">
      <c r="A46" s="793"/>
      <c r="B46" s="794"/>
      <c r="C46" s="795"/>
      <c r="D46" s="794" t="s">
        <v>320</v>
      </c>
      <c r="E46" s="768"/>
      <c r="F46" s="768"/>
      <c r="G46" s="768"/>
      <c r="H46" s="776"/>
      <c r="I46" s="776"/>
      <c r="J46" s="796"/>
      <c r="K46" s="796"/>
      <c r="L46" s="776">
        <v>40000</v>
      </c>
      <c r="M46" s="796">
        <f t="shared" si="6"/>
        <v>2.0715973030289033E-3</v>
      </c>
      <c r="N46" s="777"/>
    </row>
    <row r="47" spans="1:14" s="3" customFormat="1" x14ac:dyDescent="0.25">
      <c r="A47" s="735"/>
      <c r="B47" s="718" t="s">
        <v>21</v>
      </c>
      <c r="C47" s="778"/>
      <c r="D47" s="718" t="s">
        <v>42</v>
      </c>
      <c r="E47" s="719"/>
      <c r="F47" s="719"/>
      <c r="G47" s="719"/>
      <c r="H47" s="776">
        <v>15000</v>
      </c>
      <c r="I47" s="759">
        <v>10000</v>
      </c>
      <c r="J47" s="760">
        <f t="shared" ref="J47:J56" si="7">I47/$I$58</f>
        <v>4.8340375800981901E-4</v>
      </c>
      <c r="K47" s="760">
        <f>I47/H47-1</f>
        <v>-0.33333333333333337</v>
      </c>
      <c r="L47" s="759">
        <v>10000</v>
      </c>
      <c r="M47" s="760">
        <f t="shared" si="6"/>
        <v>5.1789932575722582E-4</v>
      </c>
      <c r="N47" s="780">
        <f t="shared" si="0"/>
        <v>0</v>
      </c>
    </row>
    <row r="48" spans="1:14" s="3" customFormat="1" x14ac:dyDescent="0.25">
      <c r="A48" s="735"/>
      <c r="B48" s="718"/>
      <c r="C48" s="778"/>
      <c r="D48" s="718" t="s">
        <v>43</v>
      </c>
      <c r="E48" s="719"/>
      <c r="F48" s="719"/>
      <c r="G48" s="719"/>
      <c r="H48" s="776">
        <v>15000</v>
      </c>
      <c r="I48" s="759">
        <v>26000</v>
      </c>
      <c r="J48" s="760">
        <f t="shared" si="7"/>
        <v>1.2568497708255295E-3</v>
      </c>
      <c r="K48" s="760">
        <f>I48/H48-1</f>
        <v>0.73333333333333339</v>
      </c>
      <c r="L48" s="759">
        <v>26000</v>
      </c>
      <c r="M48" s="760">
        <f t="shared" si="6"/>
        <v>1.346538246968787E-3</v>
      </c>
      <c r="N48" s="780">
        <f t="shared" si="0"/>
        <v>0</v>
      </c>
    </row>
    <row r="49" spans="1:14" s="3" customFormat="1" x14ac:dyDescent="0.25">
      <c r="A49" s="735" t="s">
        <v>15</v>
      </c>
      <c r="B49" s="718"/>
      <c r="C49" s="778"/>
      <c r="D49" s="718" t="s">
        <v>44</v>
      </c>
      <c r="E49" s="719"/>
      <c r="F49" s="719"/>
      <c r="G49" s="719"/>
      <c r="H49" s="759">
        <v>2000</v>
      </c>
      <c r="I49" s="759">
        <v>2000</v>
      </c>
      <c r="J49" s="760">
        <f t="shared" si="7"/>
        <v>9.6680751601963802E-5</v>
      </c>
      <c r="K49" s="760">
        <f>I49/H49-1</f>
        <v>0</v>
      </c>
      <c r="L49" s="759">
        <v>0</v>
      </c>
      <c r="M49" s="760">
        <f t="shared" si="6"/>
        <v>0</v>
      </c>
      <c r="N49" s="780">
        <f t="shared" si="0"/>
        <v>-1</v>
      </c>
    </row>
    <row r="50" spans="1:14" s="3" customFormat="1" x14ac:dyDescent="0.25">
      <c r="A50" s="735"/>
      <c r="B50" s="718" t="s">
        <v>21</v>
      </c>
      <c r="C50" s="778"/>
      <c r="D50" s="718" t="s">
        <v>45</v>
      </c>
      <c r="E50" s="719"/>
      <c r="F50" s="719"/>
      <c r="G50" s="719"/>
      <c r="H50" s="776">
        <v>0</v>
      </c>
      <c r="I50" s="759">
        <v>0</v>
      </c>
      <c r="J50" s="760">
        <f t="shared" si="7"/>
        <v>0</v>
      </c>
      <c r="K50" s="760"/>
      <c r="L50" s="759">
        <v>0</v>
      </c>
      <c r="M50" s="760">
        <f t="shared" si="6"/>
        <v>0</v>
      </c>
      <c r="N50" s="780"/>
    </row>
    <row r="51" spans="1:14" s="3" customFormat="1" x14ac:dyDescent="0.25">
      <c r="A51" s="735" t="s">
        <v>15</v>
      </c>
      <c r="B51" s="718" t="s">
        <v>21</v>
      </c>
      <c r="C51" s="778"/>
      <c r="D51" s="718" t="s">
        <v>46</v>
      </c>
      <c r="E51" s="719"/>
      <c r="F51" s="719"/>
      <c r="G51" s="719"/>
      <c r="H51" s="776">
        <v>5000</v>
      </c>
      <c r="I51" s="759">
        <v>3500</v>
      </c>
      <c r="J51" s="760">
        <f t="shared" si="7"/>
        <v>1.6919131530343664E-4</v>
      </c>
      <c r="K51" s="760">
        <f>I51/H51-1</f>
        <v>-0.30000000000000004</v>
      </c>
      <c r="L51" s="759">
        <v>19000</v>
      </c>
      <c r="M51" s="760">
        <f t="shared" si="6"/>
        <v>9.8400871893872905E-4</v>
      </c>
      <c r="N51" s="780"/>
    </row>
    <row r="52" spans="1:14" s="3" customFormat="1" x14ac:dyDescent="0.25">
      <c r="A52" s="735" t="s">
        <v>15</v>
      </c>
      <c r="B52" s="718"/>
      <c r="C52" s="778"/>
      <c r="D52" s="718" t="s">
        <v>47</v>
      </c>
      <c r="E52" s="719"/>
      <c r="F52" s="719"/>
      <c r="G52" s="719"/>
      <c r="H52" s="776">
        <v>0</v>
      </c>
      <c r="I52" s="759">
        <v>0</v>
      </c>
      <c r="J52" s="760">
        <f t="shared" si="7"/>
        <v>0</v>
      </c>
      <c r="K52" s="760"/>
      <c r="L52" s="759">
        <v>40000</v>
      </c>
      <c r="M52" s="760">
        <f t="shared" si="6"/>
        <v>2.0715973030289033E-3</v>
      </c>
      <c r="N52" s="780"/>
    </row>
    <row r="53" spans="1:14" s="3" customFormat="1" x14ac:dyDescent="0.25">
      <c r="A53" s="735" t="s">
        <v>15</v>
      </c>
      <c r="B53" s="718" t="s">
        <v>21</v>
      </c>
      <c r="C53" s="778"/>
      <c r="D53" s="718" t="s">
        <v>48</v>
      </c>
      <c r="E53" s="719"/>
      <c r="F53" s="719"/>
      <c r="G53" s="719"/>
      <c r="H53" s="776">
        <v>13000</v>
      </c>
      <c r="I53" s="759">
        <v>0</v>
      </c>
      <c r="J53" s="760">
        <f t="shared" si="7"/>
        <v>0</v>
      </c>
      <c r="K53" s="760">
        <f>I53/H53-1</f>
        <v>-1</v>
      </c>
      <c r="L53" s="759">
        <v>0</v>
      </c>
      <c r="M53" s="760">
        <f t="shared" si="6"/>
        <v>0</v>
      </c>
      <c r="N53" s="780"/>
    </row>
    <row r="54" spans="1:14" s="3" customFormat="1" ht="15" thickBot="1" x14ac:dyDescent="0.3">
      <c r="A54" s="742" t="s">
        <v>15</v>
      </c>
      <c r="B54" s="720" t="s">
        <v>21</v>
      </c>
      <c r="C54" s="797"/>
      <c r="D54" s="720" t="s">
        <v>49</v>
      </c>
      <c r="E54" s="798"/>
      <c r="F54" s="798"/>
      <c r="G54" s="798"/>
      <c r="H54" s="799">
        <v>15000</v>
      </c>
      <c r="I54" s="763">
        <v>15000</v>
      </c>
      <c r="J54" s="764">
        <f t="shared" si="7"/>
        <v>7.2510563701472849E-4</v>
      </c>
      <c r="K54" s="764">
        <f>I54/H54-1</f>
        <v>0</v>
      </c>
      <c r="L54" s="763">
        <v>15000</v>
      </c>
      <c r="M54" s="764">
        <f t="shared" si="6"/>
        <v>7.7684898863583868E-4</v>
      </c>
      <c r="N54" s="746">
        <f t="shared" si="0"/>
        <v>0</v>
      </c>
    </row>
    <row r="55" spans="1:14" ht="15" thickBot="1" x14ac:dyDescent="0.3">
      <c r="A55" s="769" t="s">
        <v>15</v>
      </c>
      <c r="B55" s="770" t="s">
        <v>21</v>
      </c>
      <c r="C55" s="800" t="s">
        <v>50</v>
      </c>
      <c r="D55" s="801"/>
      <c r="E55" s="801"/>
      <c r="F55" s="801"/>
      <c r="G55" s="801"/>
      <c r="H55" s="802">
        <v>15000</v>
      </c>
      <c r="I55" s="803">
        <v>10000</v>
      </c>
      <c r="J55" s="774">
        <f t="shared" si="7"/>
        <v>4.8340375800981901E-4</v>
      </c>
      <c r="K55" s="774">
        <f>I55/H55-1</f>
        <v>-0.33333333333333337</v>
      </c>
      <c r="L55" s="803"/>
      <c r="M55" s="774">
        <f t="shared" si="6"/>
        <v>0</v>
      </c>
      <c r="N55" s="775">
        <f t="shared" si="0"/>
        <v>-1</v>
      </c>
    </row>
    <row r="56" spans="1:14" s="11" customFormat="1" ht="15.75" thickBot="1" x14ac:dyDescent="0.3">
      <c r="A56" s="804"/>
      <c r="B56" s="805"/>
      <c r="C56" s="806" t="s">
        <v>51</v>
      </c>
      <c r="D56" s="807"/>
      <c r="E56" s="807"/>
      <c r="F56" s="807"/>
      <c r="G56" s="807"/>
      <c r="H56" s="808">
        <f>H36+H44+H55</f>
        <v>426379</v>
      </c>
      <c r="I56" s="808">
        <f>I36+I44+I55</f>
        <v>401582</v>
      </c>
      <c r="J56" s="809">
        <f t="shared" si="7"/>
        <v>1.9412624794909912E-2</v>
      </c>
      <c r="K56" s="809">
        <f>I56/H56-1</f>
        <v>-5.8157179410805893E-2</v>
      </c>
      <c r="L56" s="808">
        <f>L36+L44+L55</f>
        <v>442180</v>
      </c>
      <c r="M56" s="809">
        <f t="shared" si="6"/>
        <v>2.2900472386333009E-2</v>
      </c>
      <c r="N56" s="810">
        <f t="shared" si="0"/>
        <v>0.10109516860815471</v>
      </c>
    </row>
    <row r="57" spans="1:14" s="12" customFormat="1" ht="21" thickBot="1" x14ac:dyDescent="0.3">
      <c r="A57" s="722"/>
      <c r="B57" s="723"/>
      <c r="C57" s="725"/>
      <c r="D57" s="725"/>
      <c r="E57" s="725"/>
      <c r="F57" s="725"/>
      <c r="G57" s="725"/>
      <c r="H57" s="811"/>
      <c r="I57" s="871"/>
      <c r="J57" s="754"/>
      <c r="K57" s="754"/>
      <c r="L57" s="752">
        <f>L60-L59</f>
        <v>19308772</v>
      </c>
      <c r="M57" s="754">
        <f t="shared" si="6"/>
        <v>1</v>
      </c>
      <c r="N57" s="872"/>
    </row>
    <row r="58" spans="1:14" s="13" customFormat="1" ht="22.5" x14ac:dyDescent="0.25">
      <c r="A58" s="812"/>
      <c r="B58" s="813"/>
      <c r="C58" s="814" t="s">
        <v>52</v>
      </c>
      <c r="D58" s="815"/>
      <c r="E58" s="815"/>
      <c r="F58" s="815"/>
      <c r="G58" s="816"/>
      <c r="H58" s="817">
        <f>H19+H28+H33+H56</f>
        <v>21615242</v>
      </c>
      <c r="I58" s="817">
        <f>I19+I28+I33+I56</f>
        <v>20686641</v>
      </c>
      <c r="J58" s="818">
        <f>I58/$I$58</f>
        <v>1</v>
      </c>
      <c r="K58" s="818">
        <f>I58/H58-1</f>
        <v>-4.2960472059484722E-2</v>
      </c>
      <c r="L58" s="817">
        <f>L19+L28+L33+L56</f>
        <v>19308772</v>
      </c>
      <c r="M58" s="818">
        <f t="shared" si="6"/>
        <v>1</v>
      </c>
      <c r="N58" s="819">
        <f t="shared" si="0"/>
        <v>-6.6606705264523169E-2</v>
      </c>
    </row>
    <row r="59" spans="1:14" s="13" customFormat="1" ht="15.75" x14ac:dyDescent="0.25">
      <c r="A59" s="820"/>
      <c r="B59" s="821"/>
      <c r="C59" s="822" t="s">
        <v>53</v>
      </c>
      <c r="D59" s="823"/>
      <c r="E59" s="823"/>
      <c r="F59" s="823"/>
      <c r="G59" s="823"/>
      <c r="H59" s="824"/>
      <c r="I59" s="825">
        <v>-525733</v>
      </c>
      <c r="J59" s="826"/>
      <c r="K59" s="826"/>
      <c r="L59" s="825">
        <v>-450000</v>
      </c>
      <c r="M59" s="826"/>
      <c r="N59" s="827"/>
    </row>
    <row r="60" spans="1:14" s="11" customFormat="1" ht="15.75" x14ac:dyDescent="0.25">
      <c r="A60" s="828"/>
      <c r="B60" s="829"/>
      <c r="C60" s="875" t="s">
        <v>54</v>
      </c>
      <c r="D60" s="876"/>
      <c r="E60" s="876"/>
      <c r="F60" s="876"/>
      <c r="G60" s="876"/>
      <c r="H60" s="824">
        <f>20815242+800000</f>
        <v>21615242</v>
      </c>
      <c r="I60" s="824">
        <v>20160908</v>
      </c>
      <c r="J60" s="826">
        <f>I60/$I$58</f>
        <v>0.97458586920902235</v>
      </c>
      <c r="K60" s="826">
        <f>I60/H60-1</f>
        <v>-6.7282799794700421E-2</v>
      </c>
      <c r="L60" s="824">
        <v>18858772</v>
      </c>
      <c r="M60" s="826">
        <f>L60/$L$57</f>
        <v>0.97669453034092479</v>
      </c>
      <c r="N60" s="830">
        <f t="shared" si="0"/>
        <v>-6.4587170379429293E-2</v>
      </c>
    </row>
    <row r="61" spans="1:14" s="11" customFormat="1" ht="16.5" thickBot="1" x14ac:dyDescent="0.3">
      <c r="A61" s="831"/>
      <c r="B61" s="832"/>
      <c r="C61" s="877" t="s">
        <v>55</v>
      </c>
      <c r="D61" s="878"/>
      <c r="E61" s="878"/>
      <c r="F61" s="878"/>
      <c r="G61" s="878"/>
      <c r="H61" s="833">
        <f>H60-H58</f>
        <v>0</v>
      </c>
      <c r="I61" s="834">
        <f>I60-I58-I59</f>
        <v>0</v>
      </c>
      <c r="J61" s="835"/>
      <c r="K61" s="835"/>
      <c r="L61" s="834"/>
      <c r="M61" s="835"/>
      <c r="N61" s="836"/>
    </row>
    <row r="62" spans="1:14" ht="15" x14ac:dyDescent="0.25">
      <c r="A62" s="14"/>
      <c r="B62" s="14"/>
      <c r="C62" s="14"/>
      <c r="D62" s="14"/>
      <c r="E62" s="14"/>
      <c r="F62" s="14"/>
      <c r="G62" s="14"/>
      <c r="H62" s="15"/>
      <c r="I62" s="16"/>
      <c r="J62" s="17"/>
      <c r="K62" s="18"/>
      <c r="L62" s="18"/>
      <c r="M62" s="17"/>
      <c r="N62" s="18"/>
    </row>
    <row r="63" spans="1:14" ht="15" x14ac:dyDescent="0.25">
      <c r="A63" s="19" t="s">
        <v>56</v>
      </c>
      <c r="B63" s="14"/>
      <c r="C63" s="14"/>
      <c r="D63" s="14"/>
      <c r="E63" s="14"/>
      <c r="F63" s="14"/>
      <c r="G63" s="16"/>
      <c r="H63" s="16"/>
      <c r="I63" s="16"/>
      <c r="J63" s="20"/>
      <c r="K63" s="16"/>
      <c r="L63" s="15"/>
      <c r="M63" s="20"/>
      <c r="N63" s="15"/>
    </row>
    <row r="64" spans="1:14" s="21" customFormat="1" ht="23.25" x14ac:dyDescent="0.25">
      <c r="J64" s="22"/>
      <c r="K64" s="22"/>
      <c r="L64" s="22"/>
      <c r="M64" s="22"/>
      <c r="N64" s="22"/>
    </row>
    <row r="65" spans="8:14" s="21" customFormat="1" ht="12.75" x14ac:dyDescent="0.25">
      <c r="J65" s="24"/>
      <c r="L65" s="23"/>
      <c r="M65" s="24"/>
      <c r="N65" s="23"/>
    </row>
    <row r="66" spans="8:14" x14ac:dyDescent="0.25">
      <c r="H66" s="2" t="s">
        <v>330</v>
      </c>
      <c r="J66" s="25"/>
      <c r="L66" s="4"/>
      <c r="M66" s="25"/>
    </row>
    <row r="67" spans="8:14" x14ac:dyDescent="0.25">
      <c r="J67" s="25"/>
      <c r="L67" s="4"/>
      <c r="M67" s="25"/>
    </row>
    <row r="68" spans="8:14" x14ac:dyDescent="0.25">
      <c r="J68" s="25"/>
      <c r="L68" s="4"/>
      <c r="M68" s="25"/>
    </row>
    <row r="69" spans="8:14" x14ac:dyDescent="0.25">
      <c r="J69" s="25"/>
      <c r="L69" s="4"/>
      <c r="M69" s="25"/>
    </row>
    <row r="70" spans="8:14" ht="23.25" x14ac:dyDescent="0.25">
      <c r="I70" s="26"/>
    </row>
    <row r="71" spans="8:14" ht="23.25" x14ac:dyDescent="0.25">
      <c r="I71" s="26"/>
    </row>
    <row r="72" spans="8:14" ht="23.25" x14ac:dyDescent="0.25">
      <c r="I72" s="26"/>
    </row>
    <row r="73" spans="8:14" ht="23.25" x14ac:dyDescent="0.25">
      <c r="I73" s="26"/>
    </row>
    <row r="74" spans="8:14" ht="23.25" x14ac:dyDescent="0.25">
      <c r="I74" s="26"/>
    </row>
    <row r="75" spans="8:14" ht="23.25" x14ac:dyDescent="0.25">
      <c r="I75" s="26"/>
    </row>
    <row r="76" spans="8:14" ht="23.25" x14ac:dyDescent="0.25">
      <c r="I76" s="26"/>
    </row>
    <row r="77" spans="8:14" ht="23.25" x14ac:dyDescent="0.25">
      <c r="I77" s="26"/>
    </row>
    <row r="78" spans="8:14" ht="23.25" x14ac:dyDescent="0.25">
      <c r="I78" s="26"/>
    </row>
    <row r="79" spans="8:14" ht="23.25" x14ac:dyDescent="0.25">
      <c r="I79" s="26"/>
    </row>
    <row r="80" spans="8:14" ht="23.25" x14ac:dyDescent="0.25">
      <c r="I80" s="26"/>
    </row>
    <row r="81" spans="9:9" ht="23.25" x14ac:dyDescent="0.25">
      <c r="I81" s="26"/>
    </row>
    <row r="82" spans="9:9" ht="23.25" x14ac:dyDescent="0.25">
      <c r="I82" s="26"/>
    </row>
    <row r="83" spans="9:9" ht="23.25" x14ac:dyDescent="0.25">
      <c r="I83" s="26"/>
    </row>
    <row r="84" spans="9:9" ht="23.25" x14ac:dyDescent="0.25">
      <c r="I84" s="26"/>
    </row>
    <row r="85" spans="9:9" ht="23.25" x14ac:dyDescent="0.25">
      <c r="I85" s="26"/>
    </row>
    <row r="86" spans="9:9" ht="23.25" x14ac:dyDescent="0.25">
      <c r="I86" s="26"/>
    </row>
    <row r="87" spans="9:9" ht="23.25" x14ac:dyDescent="0.25">
      <c r="I87" s="26"/>
    </row>
    <row r="88" spans="9:9" ht="23.25" x14ac:dyDescent="0.25">
      <c r="I88" s="26"/>
    </row>
    <row r="89" spans="9:9" ht="23.25" x14ac:dyDescent="0.25">
      <c r="I89" s="26"/>
    </row>
    <row r="90" spans="9:9" ht="23.25" x14ac:dyDescent="0.25">
      <c r="I90" s="26"/>
    </row>
    <row r="91" spans="9:9" ht="23.25" x14ac:dyDescent="0.25">
      <c r="I91" s="26"/>
    </row>
    <row r="92" spans="9:9" ht="23.25" x14ac:dyDescent="0.25">
      <c r="I92" s="26"/>
    </row>
    <row r="93" spans="9:9" ht="23.25" x14ac:dyDescent="0.25">
      <c r="I93" s="26"/>
    </row>
    <row r="94" spans="9:9" ht="23.25" x14ac:dyDescent="0.25">
      <c r="I94" s="26"/>
    </row>
    <row r="95" spans="9:9" ht="23.25" x14ac:dyDescent="0.25">
      <c r="I95" s="26"/>
    </row>
  </sheetData>
  <mergeCells count="39">
    <mergeCell ref="A6:D6"/>
    <mergeCell ref="A1:N1"/>
    <mergeCell ref="A4:D4"/>
    <mergeCell ref="I4:J4"/>
    <mergeCell ref="A5:D5"/>
    <mergeCell ref="I6:J6"/>
    <mergeCell ref="I5:J5"/>
    <mergeCell ref="A7:D7"/>
    <mergeCell ref="I7:J7"/>
    <mergeCell ref="I8:J8"/>
    <mergeCell ref="A9:I9"/>
    <mergeCell ref="A10:A12"/>
    <mergeCell ref="B10:B12"/>
    <mergeCell ref="H10:H12"/>
    <mergeCell ref="I10:I12"/>
    <mergeCell ref="C10:G12"/>
    <mergeCell ref="A8:H8"/>
    <mergeCell ref="C24:G24"/>
    <mergeCell ref="K10:K12"/>
    <mergeCell ref="J10:J12"/>
    <mergeCell ref="L10:L12"/>
    <mergeCell ref="N10:N12"/>
    <mergeCell ref="C13:G13"/>
    <mergeCell ref="C16:G16"/>
    <mergeCell ref="C17:G17"/>
    <mergeCell ref="C18:G18"/>
    <mergeCell ref="C19:G19"/>
    <mergeCell ref="C22:G22"/>
    <mergeCell ref="C23:G23"/>
    <mergeCell ref="M10:M12"/>
    <mergeCell ref="C33:G33"/>
    <mergeCell ref="C60:G60"/>
    <mergeCell ref="C61:G61"/>
    <mergeCell ref="C25:G25"/>
    <mergeCell ref="C26:G26"/>
    <mergeCell ref="C27:G27"/>
    <mergeCell ref="C28:G28"/>
    <mergeCell ref="C31:G31"/>
    <mergeCell ref="C32:G32"/>
  </mergeCells>
  <printOptions horizontalCentered="1"/>
  <pageMargins left="0.19685039370078741" right="0.23622047244094491" top="0.47244094488188981" bottom="0.31496062992125984" header="0.15748031496062992" footer="0.15748031496062992"/>
  <pageSetup paperSize="8" scale="76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A2" sqref="A2"/>
    </sheetView>
  </sheetViews>
  <sheetFormatPr defaultRowHeight="15" x14ac:dyDescent="0.25"/>
  <cols>
    <col min="1" max="1" width="8.5703125" style="712" customWidth="1"/>
    <col min="2" max="2" width="41.5703125" style="712" customWidth="1"/>
    <col min="3" max="3" width="12.5703125" style="712" customWidth="1"/>
    <col min="4" max="4" width="12.7109375" style="712" customWidth="1"/>
    <col min="5" max="5" width="13.28515625" style="712" customWidth="1"/>
    <col min="6" max="6" width="13" style="712" customWidth="1"/>
    <col min="7" max="7" width="11.5703125" style="712" customWidth="1"/>
    <col min="8" max="255" width="9.140625" style="712"/>
    <col min="256" max="256" width="5.5703125" style="712" customWidth="1"/>
    <col min="257" max="257" width="8.5703125" style="712" customWidth="1"/>
    <col min="258" max="258" width="41.5703125" style="712" customWidth="1"/>
    <col min="259" max="259" width="12.5703125" style="712" customWidth="1"/>
    <col min="260" max="260" width="12.7109375" style="712" customWidth="1"/>
    <col min="261" max="261" width="13.28515625" style="712" customWidth="1"/>
    <col min="262" max="262" width="13" style="712" customWidth="1"/>
    <col min="263" max="263" width="11.5703125" style="712" customWidth="1"/>
    <col min="264" max="511" width="9.140625" style="712"/>
    <col min="512" max="512" width="5.5703125" style="712" customWidth="1"/>
    <col min="513" max="513" width="8.5703125" style="712" customWidth="1"/>
    <col min="514" max="514" width="41.5703125" style="712" customWidth="1"/>
    <col min="515" max="515" width="12.5703125" style="712" customWidth="1"/>
    <col min="516" max="516" width="12.7109375" style="712" customWidth="1"/>
    <col min="517" max="517" width="13.28515625" style="712" customWidth="1"/>
    <col min="518" max="518" width="13" style="712" customWidth="1"/>
    <col min="519" max="519" width="11.5703125" style="712" customWidth="1"/>
    <col min="520" max="767" width="9.140625" style="712"/>
    <col min="768" max="768" width="5.5703125" style="712" customWidth="1"/>
    <col min="769" max="769" width="8.5703125" style="712" customWidth="1"/>
    <col min="770" max="770" width="41.5703125" style="712" customWidth="1"/>
    <col min="771" max="771" width="12.5703125" style="712" customWidth="1"/>
    <col min="772" max="772" width="12.7109375" style="712" customWidth="1"/>
    <col min="773" max="773" width="13.28515625" style="712" customWidth="1"/>
    <col min="774" max="774" width="13" style="712" customWidth="1"/>
    <col min="775" max="775" width="11.5703125" style="712" customWidth="1"/>
    <col min="776" max="1023" width="9.140625" style="712"/>
    <col min="1024" max="1024" width="5.5703125" style="712" customWidth="1"/>
    <col min="1025" max="1025" width="8.5703125" style="712" customWidth="1"/>
    <col min="1026" max="1026" width="41.5703125" style="712" customWidth="1"/>
    <col min="1027" max="1027" width="12.5703125" style="712" customWidth="1"/>
    <col min="1028" max="1028" width="12.7109375" style="712" customWidth="1"/>
    <col min="1029" max="1029" width="13.28515625" style="712" customWidth="1"/>
    <col min="1030" max="1030" width="13" style="712" customWidth="1"/>
    <col min="1031" max="1031" width="11.5703125" style="712" customWidth="1"/>
    <col min="1032" max="1279" width="9.140625" style="712"/>
    <col min="1280" max="1280" width="5.5703125" style="712" customWidth="1"/>
    <col min="1281" max="1281" width="8.5703125" style="712" customWidth="1"/>
    <col min="1282" max="1282" width="41.5703125" style="712" customWidth="1"/>
    <col min="1283" max="1283" width="12.5703125" style="712" customWidth="1"/>
    <col min="1284" max="1284" width="12.7109375" style="712" customWidth="1"/>
    <col min="1285" max="1285" width="13.28515625" style="712" customWidth="1"/>
    <col min="1286" max="1286" width="13" style="712" customWidth="1"/>
    <col min="1287" max="1287" width="11.5703125" style="712" customWidth="1"/>
    <col min="1288" max="1535" width="9.140625" style="712"/>
    <col min="1536" max="1536" width="5.5703125" style="712" customWidth="1"/>
    <col min="1537" max="1537" width="8.5703125" style="712" customWidth="1"/>
    <col min="1538" max="1538" width="41.5703125" style="712" customWidth="1"/>
    <col min="1539" max="1539" width="12.5703125" style="712" customWidth="1"/>
    <col min="1540" max="1540" width="12.7109375" style="712" customWidth="1"/>
    <col min="1541" max="1541" width="13.28515625" style="712" customWidth="1"/>
    <col min="1542" max="1542" width="13" style="712" customWidth="1"/>
    <col min="1543" max="1543" width="11.5703125" style="712" customWidth="1"/>
    <col min="1544" max="1791" width="9.140625" style="712"/>
    <col min="1792" max="1792" width="5.5703125" style="712" customWidth="1"/>
    <col min="1793" max="1793" width="8.5703125" style="712" customWidth="1"/>
    <col min="1794" max="1794" width="41.5703125" style="712" customWidth="1"/>
    <col min="1795" max="1795" width="12.5703125" style="712" customWidth="1"/>
    <col min="1796" max="1796" width="12.7109375" style="712" customWidth="1"/>
    <col min="1797" max="1797" width="13.28515625" style="712" customWidth="1"/>
    <col min="1798" max="1798" width="13" style="712" customWidth="1"/>
    <col min="1799" max="1799" width="11.5703125" style="712" customWidth="1"/>
    <col min="1800" max="2047" width="9.140625" style="712"/>
    <col min="2048" max="2048" width="5.5703125" style="712" customWidth="1"/>
    <col min="2049" max="2049" width="8.5703125" style="712" customWidth="1"/>
    <col min="2050" max="2050" width="41.5703125" style="712" customWidth="1"/>
    <col min="2051" max="2051" width="12.5703125" style="712" customWidth="1"/>
    <col min="2052" max="2052" width="12.7109375" style="712" customWidth="1"/>
    <col min="2053" max="2053" width="13.28515625" style="712" customWidth="1"/>
    <col min="2054" max="2054" width="13" style="712" customWidth="1"/>
    <col min="2055" max="2055" width="11.5703125" style="712" customWidth="1"/>
    <col min="2056" max="2303" width="9.140625" style="712"/>
    <col min="2304" max="2304" width="5.5703125" style="712" customWidth="1"/>
    <col min="2305" max="2305" width="8.5703125" style="712" customWidth="1"/>
    <col min="2306" max="2306" width="41.5703125" style="712" customWidth="1"/>
    <col min="2307" max="2307" width="12.5703125" style="712" customWidth="1"/>
    <col min="2308" max="2308" width="12.7109375" style="712" customWidth="1"/>
    <col min="2309" max="2309" width="13.28515625" style="712" customWidth="1"/>
    <col min="2310" max="2310" width="13" style="712" customWidth="1"/>
    <col min="2311" max="2311" width="11.5703125" style="712" customWidth="1"/>
    <col min="2312" max="2559" width="9.140625" style="712"/>
    <col min="2560" max="2560" width="5.5703125" style="712" customWidth="1"/>
    <col min="2561" max="2561" width="8.5703125" style="712" customWidth="1"/>
    <col min="2562" max="2562" width="41.5703125" style="712" customWidth="1"/>
    <col min="2563" max="2563" width="12.5703125" style="712" customWidth="1"/>
    <col min="2564" max="2564" width="12.7109375" style="712" customWidth="1"/>
    <col min="2565" max="2565" width="13.28515625" style="712" customWidth="1"/>
    <col min="2566" max="2566" width="13" style="712" customWidth="1"/>
    <col min="2567" max="2567" width="11.5703125" style="712" customWidth="1"/>
    <col min="2568" max="2815" width="9.140625" style="712"/>
    <col min="2816" max="2816" width="5.5703125" style="712" customWidth="1"/>
    <col min="2817" max="2817" width="8.5703125" style="712" customWidth="1"/>
    <col min="2818" max="2818" width="41.5703125" style="712" customWidth="1"/>
    <col min="2819" max="2819" width="12.5703125" style="712" customWidth="1"/>
    <col min="2820" max="2820" width="12.7109375" style="712" customWidth="1"/>
    <col min="2821" max="2821" width="13.28515625" style="712" customWidth="1"/>
    <col min="2822" max="2822" width="13" style="712" customWidth="1"/>
    <col min="2823" max="2823" width="11.5703125" style="712" customWidth="1"/>
    <col min="2824" max="3071" width="9.140625" style="712"/>
    <col min="3072" max="3072" width="5.5703125" style="712" customWidth="1"/>
    <col min="3073" max="3073" width="8.5703125" style="712" customWidth="1"/>
    <col min="3074" max="3074" width="41.5703125" style="712" customWidth="1"/>
    <col min="3075" max="3075" width="12.5703125" style="712" customWidth="1"/>
    <col min="3076" max="3076" width="12.7109375" style="712" customWidth="1"/>
    <col min="3077" max="3077" width="13.28515625" style="712" customWidth="1"/>
    <col min="3078" max="3078" width="13" style="712" customWidth="1"/>
    <col min="3079" max="3079" width="11.5703125" style="712" customWidth="1"/>
    <col min="3080" max="3327" width="9.140625" style="712"/>
    <col min="3328" max="3328" width="5.5703125" style="712" customWidth="1"/>
    <col min="3329" max="3329" width="8.5703125" style="712" customWidth="1"/>
    <col min="3330" max="3330" width="41.5703125" style="712" customWidth="1"/>
    <col min="3331" max="3331" width="12.5703125" style="712" customWidth="1"/>
    <col min="3332" max="3332" width="12.7109375" style="712" customWidth="1"/>
    <col min="3333" max="3333" width="13.28515625" style="712" customWidth="1"/>
    <col min="3334" max="3334" width="13" style="712" customWidth="1"/>
    <col min="3335" max="3335" width="11.5703125" style="712" customWidth="1"/>
    <col min="3336" max="3583" width="9.140625" style="712"/>
    <col min="3584" max="3584" width="5.5703125" style="712" customWidth="1"/>
    <col min="3585" max="3585" width="8.5703125" style="712" customWidth="1"/>
    <col min="3586" max="3586" width="41.5703125" style="712" customWidth="1"/>
    <col min="3587" max="3587" width="12.5703125" style="712" customWidth="1"/>
    <col min="3588" max="3588" width="12.7109375" style="712" customWidth="1"/>
    <col min="3589" max="3589" width="13.28515625" style="712" customWidth="1"/>
    <col min="3590" max="3590" width="13" style="712" customWidth="1"/>
    <col min="3591" max="3591" width="11.5703125" style="712" customWidth="1"/>
    <col min="3592" max="3839" width="9.140625" style="712"/>
    <col min="3840" max="3840" width="5.5703125" style="712" customWidth="1"/>
    <col min="3841" max="3841" width="8.5703125" style="712" customWidth="1"/>
    <col min="3842" max="3842" width="41.5703125" style="712" customWidth="1"/>
    <col min="3843" max="3843" width="12.5703125" style="712" customWidth="1"/>
    <col min="3844" max="3844" width="12.7109375" style="712" customWidth="1"/>
    <col min="3845" max="3845" width="13.28515625" style="712" customWidth="1"/>
    <col min="3846" max="3846" width="13" style="712" customWidth="1"/>
    <col min="3847" max="3847" width="11.5703125" style="712" customWidth="1"/>
    <col min="3848" max="4095" width="9.140625" style="712"/>
    <col min="4096" max="4096" width="5.5703125" style="712" customWidth="1"/>
    <col min="4097" max="4097" width="8.5703125" style="712" customWidth="1"/>
    <col min="4098" max="4098" width="41.5703125" style="712" customWidth="1"/>
    <col min="4099" max="4099" width="12.5703125" style="712" customWidth="1"/>
    <col min="4100" max="4100" width="12.7109375" style="712" customWidth="1"/>
    <col min="4101" max="4101" width="13.28515625" style="712" customWidth="1"/>
    <col min="4102" max="4102" width="13" style="712" customWidth="1"/>
    <col min="4103" max="4103" width="11.5703125" style="712" customWidth="1"/>
    <col min="4104" max="4351" width="9.140625" style="712"/>
    <col min="4352" max="4352" width="5.5703125" style="712" customWidth="1"/>
    <col min="4353" max="4353" width="8.5703125" style="712" customWidth="1"/>
    <col min="4354" max="4354" width="41.5703125" style="712" customWidth="1"/>
    <col min="4355" max="4355" width="12.5703125" style="712" customWidth="1"/>
    <col min="4356" max="4356" width="12.7109375" style="712" customWidth="1"/>
    <col min="4357" max="4357" width="13.28515625" style="712" customWidth="1"/>
    <col min="4358" max="4358" width="13" style="712" customWidth="1"/>
    <col min="4359" max="4359" width="11.5703125" style="712" customWidth="1"/>
    <col min="4360" max="4607" width="9.140625" style="712"/>
    <col min="4608" max="4608" width="5.5703125" style="712" customWidth="1"/>
    <col min="4609" max="4609" width="8.5703125" style="712" customWidth="1"/>
    <col min="4610" max="4610" width="41.5703125" style="712" customWidth="1"/>
    <col min="4611" max="4611" width="12.5703125" style="712" customWidth="1"/>
    <col min="4612" max="4612" width="12.7109375" style="712" customWidth="1"/>
    <col min="4613" max="4613" width="13.28515625" style="712" customWidth="1"/>
    <col min="4614" max="4614" width="13" style="712" customWidth="1"/>
    <col min="4615" max="4615" width="11.5703125" style="712" customWidth="1"/>
    <col min="4616" max="4863" width="9.140625" style="712"/>
    <col min="4864" max="4864" width="5.5703125" style="712" customWidth="1"/>
    <col min="4865" max="4865" width="8.5703125" style="712" customWidth="1"/>
    <col min="4866" max="4866" width="41.5703125" style="712" customWidth="1"/>
    <col min="4867" max="4867" width="12.5703125" style="712" customWidth="1"/>
    <col min="4868" max="4868" width="12.7109375" style="712" customWidth="1"/>
    <col min="4869" max="4869" width="13.28515625" style="712" customWidth="1"/>
    <col min="4870" max="4870" width="13" style="712" customWidth="1"/>
    <col min="4871" max="4871" width="11.5703125" style="712" customWidth="1"/>
    <col min="4872" max="5119" width="9.140625" style="712"/>
    <col min="5120" max="5120" width="5.5703125" style="712" customWidth="1"/>
    <col min="5121" max="5121" width="8.5703125" style="712" customWidth="1"/>
    <col min="5122" max="5122" width="41.5703125" style="712" customWidth="1"/>
    <col min="5123" max="5123" width="12.5703125" style="712" customWidth="1"/>
    <col min="5124" max="5124" width="12.7109375" style="712" customWidth="1"/>
    <col min="5125" max="5125" width="13.28515625" style="712" customWidth="1"/>
    <col min="5126" max="5126" width="13" style="712" customWidth="1"/>
    <col min="5127" max="5127" width="11.5703125" style="712" customWidth="1"/>
    <col min="5128" max="5375" width="9.140625" style="712"/>
    <col min="5376" max="5376" width="5.5703125" style="712" customWidth="1"/>
    <col min="5377" max="5377" width="8.5703125" style="712" customWidth="1"/>
    <col min="5378" max="5378" width="41.5703125" style="712" customWidth="1"/>
    <col min="5379" max="5379" width="12.5703125" style="712" customWidth="1"/>
    <col min="5380" max="5380" width="12.7109375" style="712" customWidth="1"/>
    <col min="5381" max="5381" width="13.28515625" style="712" customWidth="1"/>
    <col min="5382" max="5382" width="13" style="712" customWidth="1"/>
    <col min="5383" max="5383" width="11.5703125" style="712" customWidth="1"/>
    <col min="5384" max="5631" width="9.140625" style="712"/>
    <col min="5632" max="5632" width="5.5703125" style="712" customWidth="1"/>
    <col min="5633" max="5633" width="8.5703125" style="712" customWidth="1"/>
    <col min="5634" max="5634" width="41.5703125" style="712" customWidth="1"/>
    <col min="5635" max="5635" width="12.5703125" style="712" customWidth="1"/>
    <col min="5636" max="5636" width="12.7109375" style="712" customWidth="1"/>
    <col min="5637" max="5637" width="13.28515625" style="712" customWidth="1"/>
    <col min="5638" max="5638" width="13" style="712" customWidth="1"/>
    <col min="5639" max="5639" width="11.5703125" style="712" customWidth="1"/>
    <col min="5640" max="5887" width="9.140625" style="712"/>
    <col min="5888" max="5888" width="5.5703125" style="712" customWidth="1"/>
    <col min="5889" max="5889" width="8.5703125" style="712" customWidth="1"/>
    <col min="5890" max="5890" width="41.5703125" style="712" customWidth="1"/>
    <col min="5891" max="5891" width="12.5703125" style="712" customWidth="1"/>
    <col min="5892" max="5892" width="12.7109375" style="712" customWidth="1"/>
    <col min="5893" max="5893" width="13.28515625" style="712" customWidth="1"/>
    <col min="5894" max="5894" width="13" style="712" customWidth="1"/>
    <col min="5895" max="5895" width="11.5703125" style="712" customWidth="1"/>
    <col min="5896" max="6143" width="9.140625" style="712"/>
    <col min="6144" max="6144" width="5.5703125" style="712" customWidth="1"/>
    <col min="6145" max="6145" width="8.5703125" style="712" customWidth="1"/>
    <col min="6146" max="6146" width="41.5703125" style="712" customWidth="1"/>
    <col min="6147" max="6147" width="12.5703125" style="712" customWidth="1"/>
    <col min="6148" max="6148" width="12.7109375" style="712" customWidth="1"/>
    <col min="6149" max="6149" width="13.28515625" style="712" customWidth="1"/>
    <col min="6150" max="6150" width="13" style="712" customWidth="1"/>
    <col min="6151" max="6151" width="11.5703125" style="712" customWidth="1"/>
    <col min="6152" max="6399" width="9.140625" style="712"/>
    <col min="6400" max="6400" width="5.5703125" style="712" customWidth="1"/>
    <col min="6401" max="6401" width="8.5703125" style="712" customWidth="1"/>
    <col min="6402" max="6402" width="41.5703125" style="712" customWidth="1"/>
    <col min="6403" max="6403" width="12.5703125" style="712" customWidth="1"/>
    <col min="6404" max="6404" width="12.7109375" style="712" customWidth="1"/>
    <col min="6405" max="6405" width="13.28515625" style="712" customWidth="1"/>
    <col min="6406" max="6406" width="13" style="712" customWidth="1"/>
    <col min="6407" max="6407" width="11.5703125" style="712" customWidth="1"/>
    <col min="6408" max="6655" width="9.140625" style="712"/>
    <col min="6656" max="6656" width="5.5703125" style="712" customWidth="1"/>
    <col min="6657" max="6657" width="8.5703125" style="712" customWidth="1"/>
    <col min="6658" max="6658" width="41.5703125" style="712" customWidth="1"/>
    <col min="6659" max="6659" width="12.5703125" style="712" customWidth="1"/>
    <col min="6660" max="6660" width="12.7109375" style="712" customWidth="1"/>
    <col min="6661" max="6661" width="13.28515625" style="712" customWidth="1"/>
    <col min="6662" max="6662" width="13" style="712" customWidth="1"/>
    <col min="6663" max="6663" width="11.5703125" style="712" customWidth="1"/>
    <col min="6664" max="6911" width="9.140625" style="712"/>
    <col min="6912" max="6912" width="5.5703125" style="712" customWidth="1"/>
    <col min="6913" max="6913" width="8.5703125" style="712" customWidth="1"/>
    <col min="6914" max="6914" width="41.5703125" style="712" customWidth="1"/>
    <col min="6915" max="6915" width="12.5703125" style="712" customWidth="1"/>
    <col min="6916" max="6916" width="12.7109375" style="712" customWidth="1"/>
    <col min="6917" max="6917" width="13.28515625" style="712" customWidth="1"/>
    <col min="6918" max="6918" width="13" style="712" customWidth="1"/>
    <col min="6919" max="6919" width="11.5703125" style="712" customWidth="1"/>
    <col min="6920" max="7167" width="9.140625" style="712"/>
    <col min="7168" max="7168" width="5.5703125" style="712" customWidth="1"/>
    <col min="7169" max="7169" width="8.5703125" style="712" customWidth="1"/>
    <col min="7170" max="7170" width="41.5703125" style="712" customWidth="1"/>
    <col min="7171" max="7171" width="12.5703125" style="712" customWidth="1"/>
    <col min="7172" max="7172" width="12.7109375" style="712" customWidth="1"/>
    <col min="7173" max="7173" width="13.28515625" style="712" customWidth="1"/>
    <col min="7174" max="7174" width="13" style="712" customWidth="1"/>
    <col min="7175" max="7175" width="11.5703125" style="712" customWidth="1"/>
    <col min="7176" max="7423" width="9.140625" style="712"/>
    <col min="7424" max="7424" width="5.5703125" style="712" customWidth="1"/>
    <col min="7425" max="7425" width="8.5703125" style="712" customWidth="1"/>
    <col min="7426" max="7426" width="41.5703125" style="712" customWidth="1"/>
    <col min="7427" max="7427" width="12.5703125" style="712" customWidth="1"/>
    <col min="7428" max="7428" width="12.7109375" style="712" customWidth="1"/>
    <col min="7429" max="7429" width="13.28515625" style="712" customWidth="1"/>
    <col min="7430" max="7430" width="13" style="712" customWidth="1"/>
    <col min="7431" max="7431" width="11.5703125" style="712" customWidth="1"/>
    <col min="7432" max="7679" width="9.140625" style="712"/>
    <col min="7680" max="7680" width="5.5703125" style="712" customWidth="1"/>
    <col min="7681" max="7681" width="8.5703125" style="712" customWidth="1"/>
    <col min="7682" max="7682" width="41.5703125" style="712" customWidth="1"/>
    <col min="7683" max="7683" width="12.5703125" style="712" customWidth="1"/>
    <col min="7684" max="7684" width="12.7109375" style="712" customWidth="1"/>
    <col min="7685" max="7685" width="13.28515625" style="712" customWidth="1"/>
    <col min="7686" max="7686" width="13" style="712" customWidth="1"/>
    <col min="7687" max="7687" width="11.5703125" style="712" customWidth="1"/>
    <col min="7688" max="7935" width="9.140625" style="712"/>
    <col min="7936" max="7936" width="5.5703125" style="712" customWidth="1"/>
    <col min="7937" max="7937" width="8.5703125" style="712" customWidth="1"/>
    <col min="7938" max="7938" width="41.5703125" style="712" customWidth="1"/>
    <col min="7939" max="7939" width="12.5703125" style="712" customWidth="1"/>
    <col min="7940" max="7940" width="12.7109375" style="712" customWidth="1"/>
    <col min="7941" max="7941" width="13.28515625" style="712" customWidth="1"/>
    <col min="7942" max="7942" width="13" style="712" customWidth="1"/>
    <col min="7943" max="7943" width="11.5703125" style="712" customWidth="1"/>
    <col min="7944" max="8191" width="9.140625" style="712"/>
    <col min="8192" max="8192" width="5.5703125" style="712" customWidth="1"/>
    <col min="8193" max="8193" width="8.5703125" style="712" customWidth="1"/>
    <col min="8194" max="8194" width="41.5703125" style="712" customWidth="1"/>
    <col min="8195" max="8195" width="12.5703125" style="712" customWidth="1"/>
    <col min="8196" max="8196" width="12.7109375" style="712" customWidth="1"/>
    <col min="8197" max="8197" width="13.28515625" style="712" customWidth="1"/>
    <col min="8198" max="8198" width="13" style="712" customWidth="1"/>
    <col min="8199" max="8199" width="11.5703125" style="712" customWidth="1"/>
    <col min="8200" max="8447" width="9.140625" style="712"/>
    <col min="8448" max="8448" width="5.5703125" style="712" customWidth="1"/>
    <col min="8449" max="8449" width="8.5703125" style="712" customWidth="1"/>
    <col min="8450" max="8450" width="41.5703125" style="712" customWidth="1"/>
    <col min="8451" max="8451" width="12.5703125" style="712" customWidth="1"/>
    <col min="8452" max="8452" width="12.7109375" style="712" customWidth="1"/>
    <col min="8453" max="8453" width="13.28515625" style="712" customWidth="1"/>
    <col min="8454" max="8454" width="13" style="712" customWidth="1"/>
    <col min="8455" max="8455" width="11.5703125" style="712" customWidth="1"/>
    <col min="8456" max="8703" width="9.140625" style="712"/>
    <col min="8704" max="8704" width="5.5703125" style="712" customWidth="1"/>
    <col min="8705" max="8705" width="8.5703125" style="712" customWidth="1"/>
    <col min="8706" max="8706" width="41.5703125" style="712" customWidth="1"/>
    <col min="8707" max="8707" width="12.5703125" style="712" customWidth="1"/>
    <col min="8708" max="8708" width="12.7109375" style="712" customWidth="1"/>
    <col min="8709" max="8709" width="13.28515625" style="712" customWidth="1"/>
    <col min="8710" max="8710" width="13" style="712" customWidth="1"/>
    <col min="8711" max="8711" width="11.5703125" style="712" customWidth="1"/>
    <col min="8712" max="8959" width="9.140625" style="712"/>
    <col min="8960" max="8960" width="5.5703125" style="712" customWidth="1"/>
    <col min="8961" max="8961" width="8.5703125" style="712" customWidth="1"/>
    <col min="8962" max="8962" width="41.5703125" style="712" customWidth="1"/>
    <col min="8963" max="8963" width="12.5703125" style="712" customWidth="1"/>
    <col min="8964" max="8964" width="12.7109375" style="712" customWidth="1"/>
    <col min="8965" max="8965" width="13.28515625" style="712" customWidth="1"/>
    <col min="8966" max="8966" width="13" style="712" customWidth="1"/>
    <col min="8967" max="8967" width="11.5703125" style="712" customWidth="1"/>
    <col min="8968" max="9215" width="9.140625" style="712"/>
    <col min="9216" max="9216" width="5.5703125" style="712" customWidth="1"/>
    <col min="9217" max="9217" width="8.5703125" style="712" customWidth="1"/>
    <col min="9218" max="9218" width="41.5703125" style="712" customWidth="1"/>
    <col min="9219" max="9219" width="12.5703125" style="712" customWidth="1"/>
    <col min="9220" max="9220" width="12.7109375" style="712" customWidth="1"/>
    <col min="9221" max="9221" width="13.28515625" style="712" customWidth="1"/>
    <col min="9222" max="9222" width="13" style="712" customWidth="1"/>
    <col min="9223" max="9223" width="11.5703125" style="712" customWidth="1"/>
    <col min="9224" max="9471" width="9.140625" style="712"/>
    <col min="9472" max="9472" width="5.5703125" style="712" customWidth="1"/>
    <col min="9473" max="9473" width="8.5703125" style="712" customWidth="1"/>
    <col min="9474" max="9474" width="41.5703125" style="712" customWidth="1"/>
    <col min="9475" max="9475" width="12.5703125" style="712" customWidth="1"/>
    <col min="9476" max="9476" width="12.7109375" style="712" customWidth="1"/>
    <col min="9477" max="9477" width="13.28515625" style="712" customWidth="1"/>
    <col min="9478" max="9478" width="13" style="712" customWidth="1"/>
    <col min="9479" max="9479" width="11.5703125" style="712" customWidth="1"/>
    <col min="9480" max="9727" width="9.140625" style="712"/>
    <col min="9728" max="9728" width="5.5703125" style="712" customWidth="1"/>
    <col min="9729" max="9729" width="8.5703125" style="712" customWidth="1"/>
    <col min="9730" max="9730" width="41.5703125" style="712" customWidth="1"/>
    <col min="9731" max="9731" width="12.5703125" style="712" customWidth="1"/>
    <col min="9732" max="9732" width="12.7109375" style="712" customWidth="1"/>
    <col min="9733" max="9733" width="13.28515625" style="712" customWidth="1"/>
    <col min="9734" max="9734" width="13" style="712" customWidth="1"/>
    <col min="9735" max="9735" width="11.5703125" style="712" customWidth="1"/>
    <col min="9736" max="9983" width="9.140625" style="712"/>
    <col min="9984" max="9984" width="5.5703125" style="712" customWidth="1"/>
    <col min="9985" max="9985" width="8.5703125" style="712" customWidth="1"/>
    <col min="9986" max="9986" width="41.5703125" style="712" customWidth="1"/>
    <col min="9987" max="9987" width="12.5703125" style="712" customWidth="1"/>
    <col min="9988" max="9988" width="12.7109375" style="712" customWidth="1"/>
    <col min="9989" max="9989" width="13.28515625" style="712" customWidth="1"/>
    <col min="9990" max="9990" width="13" style="712" customWidth="1"/>
    <col min="9991" max="9991" width="11.5703125" style="712" customWidth="1"/>
    <col min="9992" max="10239" width="9.140625" style="712"/>
    <col min="10240" max="10240" width="5.5703125" style="712" customWidth="1"/>
    <col min="10241" max="10241" width="8.5703125" style="712" customWidth="1"/>
    <col min="10242" max="10242" width="41.5703125" style="712" customWidth="1"/>
    <col min="10243" max="10243" width="12.5703125" style="712" customWidth="1"/>
    <col min="10244" max="10244" width="12.7109375" style="712" customWidth="1"/>
    <col min="10245" max="10245" width="13.28515625" style="712" customWidth="1"/>
    <col min="10246" max="10246" width="13" style="712" customWidth="1"/>
    <col min="10247" max="10247" width="11.5703125" style="712" customWidth="1"/>
    <col min="10248" max="10495" width="9.140625" style="712"/>
    <col min="10496" max="10496" width="5.5703125" style="712" customWidth="1"/>
    <col min="10497" max="10497" width="8.5703125" style="712" customWidth="1"/>
    <col min="10498" max="10498" width="41.5703125" style="712" customWidth="1"/>
    <col min="10499" max="10499" width="12.5703125" style="712" customWidth="1"/>
    <col min="10500" max="10500" width="12.7109375" style="712" customWidth="1"/>
    <col min="10501" max="10501" width="13.28515625" style="712" customWidth="1"/>
    <col min="10502" max="10502" width="13" style="712" customWidth="1"/>
    <col min="10503" max="10503" width="11.5703125" style="712" customWidth="1"/>
    <col min="10504" max="10751" width="9.140625" style="712"/>
    <col min="10752" max="10752" width="5.5703125" style="712" customWidth="1"/>
    <col min="10753" max="10753" width="8.5703125" style="712" customWidth="1"/>
    <col min="10754" max="10754" width="41.5703125" style="712" customWidth="1"/>
    <col min="10755" max="10755" width="12.5703125" style="712" customWidth="1"/>
    <col min="10756" max="10756" width="12.7109375" style="712" customWidth="1"/>
    <col min="10757" max="10757" width="13.28515625" style="712" customWidth="1"/>
    <col min="10758" max="10758" width="13" style="712" customWidth="1"/>
    <col min="10759" max="10759" width="11.5703125" style="712" customWidth="1"/>
    <col min="10760" max="11007" width="9.140625" style="712"/>
    <col min="11008" max="11008" width="5.5703125" style="712" customWidth="1"/>
    <col min="11009" max="11009" width="8.5703125" style="712" customWidth="1"/>
    <col min="11010" max="11010" width="41.5703125" style="712" customWidth="1"/>
    <col min="11011" max="11011" width="12.5703125" style="712" customWidth="1"/>
    <col min="11012" max="11012" width="12.7109375" style="712" customWidth="1"/>
    <col min="11013" max="11013" width="13.28515625" style="712" customWidth="1"/>
    <col min="11014" max="11014" width="13" style="712" customWidth="1"/>
    <col min="11015" max="11015" width="11.5703125" style="712" customWidth="1"/>
    <col min="11016" max="11263" width="9.140625" style="712"/>
    <col min="11264" max="11264" width="5.5703125" style="712" customWidth="1"/>
    <col min="11265" max="11265" width="8.5703125" style="712" customWidth="1"/>
    <col min="11266" max="11266" width="41.5703125" style="712" customWidth="1"/>
    <col min="11267" max="11267" width="12.5703125" style="712" customWidth="1"/>
    <col min="11268" max="11268" width="12.7109375" style="712" customWidth="1"/>
    <col min="11269" max="11269" width="13.28515625" style="712" customWidth="1"/>
    <col min="11270" max="11270" width="13" style="712" customWidth="1"/>
    <col min="11271" max="11271" width="11.5703125" style="712" customWidth="1"/>
    <col min="11272" max="11519" width="9.140625" style="712"/>
    <col min="11520" max="11520" width="5.5703125" style="712" customWidth="1"/>
    <col min="11521" max="11521" width="8.5703125" style="712" customWidth="1"/>
    <col min="11522" max="11522" width="41.5703125" style="712" customWidth="1"/>
    <col min="11523" max="11523" width="12.5703125" style="712" customWidth="1"/>
    <col min="11524" max="11524" width="12.7109375" style="712" customWidth="1"/>
    <col min="11525" max="11525" width="13.28515625" style="712" customWidth="1"/>
    <col min="11526" max="11526" width="13" style="712" customWidth="1"/>
    <col min="11527" max="11527" width="11.5703125" style="712" customWidth="1"/>
    <col min="11528" max="11775" width="9.140625" style="712"/>
    <col min="11776" max="11776" width="5.5703125" style="712" customWidth="1"/>
    <col min="11777" max="11777" width="8.5703125" style="712" customWidth="1"/>
    <col min="11778" max="11778" width="41.5703125" style="712" customWidth="1"/>
    <col min="11779" max="11779" width="12.5703125" style="712" customWidth="1"/>
    <col min="11780" max="11780" width="12.7109375" style="712" customWidth="1"/>
    <col min="11781" max="11781" width="13.28515625" style="712" customWidth="1"/>
    <col min="11782" max="11782" width="13" style="712" customWidth="1"/>
    <col min="11783" max="11783" width="11.5703125" style="712" customWidth="1"/>
    <col min="11784" max="12031" width="9.140625" style="712"/>
    <col min="12032" max="12032" width="5.5703125" style="712" customWidth="1"/>
    <col min="12033" max="12033" width="8.5703125" style="712" customWidth="1"/>
    <col min="12034" max="12034" width="41.5703125" style="712" customWidth="1"/>
    <col min="12035" max="12035" width="12.5703125" style="712" customWidth="1"/>
    <col min="12036" max="12036" width="12.7109375" style="712" customWidth="1"/>
    <col min="12037" max="12037" width="13.28515625" style="712" customWidth="1"/>
    <col min="12038" max="12038" width="13" style="712" customWidth="1"/>
    <col min="12039" max="12039" width="11.5703125" style="712" customWidth="1"/>
    <col min="12040" max="12287" width="9.140625" style="712"/>
    <col min="12288" max="12288" width="5.5703125" style="712" customWidth="1"/>
    <col min="12289" max="12289" width="8.5703125" style="712" customWidth="1"/>
    <col min="12290" max="12290" width="41.5703125" style="712" customWidth="1"/>
    <col min="12291" max="12291" width="12.5703125" style="712" customWidth="1"/>
    <col min="12292" max="12292" width="12.7109375" style="712" customWidth="1"/>
    <col min="12293" max="12293" width="13.28515625" style="712" customWidth="1"/>
    <col min="12294" max="12294" width="13" style="712" customWidth="1"/>
    <col min="12295" max="12295" width="11.5703125" style="712" customWidth="1"/>
    <col min="12296" max="12543" width="9.140625" style="712"/>
    <col min="12544" max="12544" width="5.5703125" style="712" customWidth="1"/>
    <col min="12545" max="12545" width="8.5703125" style="712" customWidth="1"/>
    <col min="12546" max="12546" width="41.5703125" style="712" customWidth="1"/>
    <col min="12547" max="12547" width="12.5703125" style="712" customWidth="1"/>
    <col min="12548" max="12548" width="12.7109375" style="712" customWidth="1"/>
    <col min="12549" max="12549" width="13.28515625" style="712" customWidth="1"/>
    <col min="12550" max="12550" width="13" style="712" customWidth="1"/>
    <col min="12551" max="12551" width="11.5703125" style="712" customWidth="1"/>
    <col min="12552" max="12799" width="9.140625" style="712"/>
    <col min="12800" max="12800" width="5.5703125" style="712" customWidth="1"/>
    <col min="12801" max="12801" width="8.5703125" style="712" customWidth="1"/>
    <col min="12802" max="12802" width="41.5703125" style="712" customWidth="1"/>
    <col min="12803" max="12803" width="12.5703125" style="712" customWidth="1"/>
    <col min="12804" max="12804" width="12.7109375" style="712" customWidth="1"/>
    <col min="12805" max="12805" width="13.28515625" style="712" customWidth="1"/>
    <col min="12806" max="12806" width="13" style="712" customWidth="1"/>
    <col min="12807" max="12807" width="11.5703125" style="712" customWidth="1"/>
    <col min="12808" max="13055" width="9.140625" style="712"/>
    <col min="13056" max="13056" width="5.5703125" style="712" customWidth="1"/>
    <col min="13057" max="13057" width="8.5703125" style="712" customWidth="1"/>
    <col min="13058" max="13058" width="41.5703125" style="712" customWidth="1"/>
    <col min="13059" max="13059" width="12.5703125" style="712" customWidth="1"/>
    <col min="13060" max="13060" width="12.7109375" style="712" customWidth="1"/>
    <col min="13061" max="13061" width="13.28515625" style="712" customWidth="1"/>
    <col min="13062" max="13062" width="13" style="712" customWidth="1"/>
    <col min="13063" max="13063" width="11.5703125" style="712" customWidth="1"/>
    <col min="13064" max="13311" width="9.140625" style="712"/>
    <col min="13312" max="13312" width="5.5703125" style="712" customWidth="1"/>
    <col min="13313" max="13313" width="8.5703125" style="712" customWidth="1"/>
    <col min="13314" max="13314" width="41.5703125" style="712" customWidth="1"/>
    <col min="13315" max="13315" width="12.5703125" style="712" customWidth="1"/>
    <col min="13316" max="13316" width="12.7109375" style="712" customWidth="1"/>
    <col min="13317" max="13317" width="13.28515625" style="712" customWidth="1"/>
    <col min="13318" max="13318" width="13" style="712" customWidth="1"/>
    <col min="13319" max="13319" width="11.5703125" style="712" customWidth="1"/>
    <col min="13320" max="13567" width="9.140625" style="712"/>
    <col min="13568" max="13568" width="5.5703125" style="712" customWidth="1"/>
    <col min="13569" max="13569" width="8.5703125" style="712" customWidth="1"/>
    <col min="13570" max="13570" width="41.5703125" style="712" customWidth="1"/>
    <col min="13571" max="13571" width="12.5703125" style="712" customWidth="1"/>
    <col min="13572" max="13572" width="12.7109375" style="712" customWidth="1"/>
    <col min="13573" max="13573" width="13.28515625" style="712" customWidth="1"/>
    <col min="13574" max="13574" width="13" style="712" customWidth="1"/>
    <col min="13575" max="13575" width="11.5703125" style="712" customWidth="1"/>
    <col min="13576" max="13823" width="9.140625" style="712"/>
    <col min="13824" max="13824" width="5.5703125" style="712" customWidth="1"/>
    <col min="13825" max="13825" width="8.5703125" style="712" customWidth="1"/>
    <col min="13826" max="13826" width="41.5703125" style="712" customWidth="1"/>
    <col min="13827" max="13827" width="12.5703125" style="712" customWidth="1"/>
    <col min="13828" max="13828" width="12.7109375" style="712" customWidth="1"/>
    <col min="13829" max="13829" width="13.28515625" style="712" customWidth="1"/>
    <col min="13830" max="13830" width="13" style="712" customWidth="1"/>
    <col min="13831" max="13831" width="11.5703125" style="712" customWidth="1"/>
    <col min="13832" max="14079" width="9.140625" style="712"/>
    <col min="14080" max="14080" width="5.5703125" style="712" customWidth="1"/>
    <col min="14081" max="14081" width="8.5703125" style="712" customWidth="1"/>
    <col min="14082" max="14082" width="41.5703125" style="712" customWidth="1"/>
    <col min="14083" max="14083" width="12.5703125" style="712" customWidth="1"/>
    <col min="14084" max="14084" width="12.7109375" style="712" customWidth="1"/>
    <col min="14085" max="14085" width="13.28515625" style="712" customWidth="1"/>
    <col min="14086" max="14086" width="13" style="712" customWidth="1"/>
    <col min="14087" max="14087" width="11.5703125" style="712" customWidth="1"/>
    <col min="14088" max="14335" width="9.140625" style="712"/>
    <col min="14336" max="14336" width="5.5703125" style="712" customWidth="1"/>
    <col min="14337" max="14337" width="8.5703125" style="712" customWidth="1"/>
    <col min="14338" max="14338" width="41.5703125" style="712" customWidth="1"/>
    <col min="14339" max="14339" width="12.5703125" style="712" customWidth="1"/>
    <col min="14340" max="14340" width="12.7109375" style="712" customWidth="1"/>
    <col min="14341" max="14341" width="13.28515625" style="712" customWidth="1"/>
    <col min="14342" max="14342" width="13" style="712" customWidth="1"/>
    <col min="14343" max="14343" width="11.5703125" style="712" customWidth="1"/>
    <col min="14344" max="14591" width="9.140625" style="712"/>
    <col min="14592" max="14592" width="5.5703125" style="712" customWidth="1"/>
    <col min="14593" max="14593" width="8.5703125" style="712" customWidth="1"/>
    <col min="14594" max="14594" width="41.5703125" style="712" customWidth="1"/>
    <col min="14595" max="14595" width="12.5703125" style="712" customWidth="1"/>
    <col min="14596" max="14596" width="12.7109375" style="712" customWidth="1"/>
    <col min="14597" max="14597" width="13.28515625" style="712" customWidth="1"/>
    <col min="14598" max="14598" width="13" style="712" customWidth="1"/>
    <col min="14599" max="14599" width="11.5703125" style="712" customWidth="1"/>
    <col min="14600" max="14847" width="9.140625" style="712"/>
    <col min="14848" max="14848" width="5.5703125" style="712" customWidth="1"/>
    <col min="14849" max="14849" width="8.5703125" style="712" customWidth="1"/>
    <col min="14850" max="14850" width="41.5703125" style="712" customWidth="1"/>
    <col min="14851" max="14851" width="12.5703125" style="712" customWidth="1"/>
    <col min="14852" max="14852" width="12.7109375" style="712" customWidth="1"/>
    <col min="14853" max="14853" width="13.28515625" style="712" customWidth="1"/>
    <col min="14854" max="14854" width="13" style="712" customWidth="1"/>
    <col min="14855" max="14855" width="11.5703125" style="712" customWidth="1"/>
    <col min="14856" max="15103" width="9.140625" style="712"/>
    <col min="15104" max="15104" width="5.5703125" style="712" customWidth="1"/>
    <col min="15105" max="15105" width="8.5703125" style="712" customWidth="1"/>
    <col min="15106" max="15106" width="41.5703125" style="712" customWidth="1"/>
    <col min="15107" max="15107" width="12.5703125" style="712" customWidth="1"/>
    <col min="15108" max="15108" width="12.7109375" style="712" customWidth="1"/>
    <col min="15109" max="15109" width="13.28515625" style="712" customWidth="1"/>
    <col min="15110" max="15110" width="13" style="712" customWidth="1"/>
    <col min="15111" max="15111" width="11.5703125" style="712" customWidth="1"/>
    <col min="15112" max="15359" width="9.140625" style="712"/>
    <col min="15360" max="15360" width="5.5703125" style="712" customWidth="1"/>
    <col min="15361" max="15361" width="8.5703125" style="712" customWidth="1"/>
    <col min="15362" max="15362" width="41.5703125" style="712" customWidth="1"/>
    <col min="15363" max="15363" width="12.5703125" style="712" customWidth="1"/>
    <col min="15364" max="15364" width="12.7109375" style="712" customWidth="1"/>
    <col min="15365" max="15365" width="13.28515625" style="712" customWidth="1"/>
    <col min="15366" max="15366" width="13" style="712" customWidth="1"/>
    <col min="15367" max="15367" width="11.5703125" style="712" customWidth="1"/>
    <col min="15368" max="15615" width="9.140625" style="712"/>
    <col min="15616" max="15616" width="5.5703125" style="712" customWidth="1"/>
    <col min="15617" max="15617" width="8.5703125" style="712" customWidth="1"/>
    <col min="15618" max="15618" width="41.5703125" style="712" customWidth="1"/>
    <col min="15619" max="15619" width="12.5703125" style="712" customWidth="1"/>
    <col min="15620" max="15620" width="12.7109375" style="712" customWidth="1"/>
    <col min="15621" max="15621" width="13.28515625" style="712" customWidth="1"/>
    <col min="15622" max="15622" width="13" style="712" customWidth="1"/>
    <col min="15623" max="15623" width="11.5703125" style="712" customWidth="1"/>
    <col min="15624" max="15871" width="9.140625" style="712"/>
    <col min="15872" max="15872" width="5.5703125" style="712" customWidth="1"/>
    <col min="15873" max="15873" width="8.5703125" style="712" customWidth="1"/>
    <col min="15874" max="15874" width="41.5703125" style="712" customWidth="1"/>
    <col min="15875" max="15875" width="12.5703125" style="712" customWidth="1"/>
    <col min="15876" max="15876" width="12.7109375" style="712" customWidth="1"/>
    <col min="15877" max="15877" width="13.28515625" style="712" customWidth="1"/>
    <col min="15878" max="15878" width="13" style="712" customWidth="1"/>
    <col min="15879" max="15879" width="11.5703125" style="712" customWidth="1"/>
    <col min="15880" max="16127" width="9.140625" style="712"/>
    <col min="16128" max="16128" width="5.5703125" style="712" customWidth="1"/>
    <col min="16129" max="16129" width="8.5703125" style="712" customWidth="1"/>
    <col min="16130" max="16130" width="41.5703125" style="712" customWidth="1"/>
    <col min="16131" max="16131" width="12.5703125" style="712" customWidth="1"/>
    <col min="16132" max="16132" width="12.7109375" style="712" customWidth="1"/>
    <col min="16133" max="16133" width="13.28515625" style="712" customWidth="1"/>
    <col min="16134" max="16134" width="13" style="712" customWidth="1"/>
    <col min="16135" max="16135" width="11.5703125" style="712" customWidth="1"/>
    <col min="16136" max="16384" width="9.140625" style="712"/>
  </cols>
  <sheetData>
    <row r="1" spans="1:7" s="253" customFormat="1" ht="39.75" customHeight="1" x14ac:dyDescent="0.25">
      <c r="A1" s="1052" t="s">
        <v>400</v>
      </c>
      <c r="B1" s="1052"/>
      <c r="C1" s="1052"/>
      <c r="D1" s="1052"/>
      <c r="E1" s="1052"/>
      <c r="G1" s="678"/>
    </row>
    <row r="2" spans="1:7" s="253" customFormat="1" ht="14.25" x14ac:dyDescent="0.25"/>
    <row r="3" spans="1:7" s="260" customFormat="1" ht="12.75" x14ac:dyDescent="0.25">
      <c r="A3" s="679" t="s">
        <v>377</v>
      </c>
      <c r="B3" s="290"/>
      <c r="C3" s="290"/>
      <c r="D3" s="680"/>
      <c r="E3" s="267">
        <f>[2]Bilance!L52</f>
        <v>40000</v>
      </c>
    </row>
    <row r="4" spans="1:7" s="260" customFormat="1" ht="12.75" x14ac:dyDescent="0.25">
      <c r="A4" s="679" t="s">
        <v>378</v>
      </c>
      <c r="B4" s="290"/>
      <c r="C4" s="290"/>
      <c r="D4" s="680"/>
      <c r="E4" s="681">
        <f>+E35*1000/D35*100</f>
        <v>81.297508231372703</v>
      </c>
    </row>
    <row r="5" spans="1:7" s="260" customFormat="1" ht="12.75" x14ac:dyDescent="0.25">
      <c r="A5" s="293"/>
      <c r="B5" s="293"/>
      <c r="C5" s="293"/>
      <c r="D5" s="682"/>
    </row>
    <row r="6" spans="1:7" s="260" customFormat="1" ht="13.5" thickBot="1" x14ac:dyDescent="0.3">
      <c r="A6" s="683"/>
      <c r="E6" s="684"/>
    </row>
    <row r="7" spans="1:7" s="260" customFormat="1" ht="18.75" customHeight="1" x14ac:dyDescent="0.25">
      <c r="A7" s="1046" t="s">
        <v>185</v>
      </c>
      <c r="B7" s="1046" t="s">
        <v>360</v>
      </c>
      <c r="C7" s="1048" t="s">
        <v>370</v>
      </c>
      <c r="D7" s="1049"/>
      <c r="E7" s="1050" t="s">
        <v>412</v>
      </c>
    </row>
    <row r="8" spans="1:7" s="260" customFormat="1" ht="50.25" customHeight="1" thickBot="1" x14ac:dyDescent="0.3">
      <c r="A8" s="1053"/>
      <c r="B8" s="1053"/>
      <c r="C8" s="631" t="s">
        <v>379</v>
      </c>
      <c r="D8" s="632" t="s">
        <v>380</v>
      </c>
      <c r="E8" s="1054"/>
    </row>
    <row r="9" spans="1:7" s="260" customFormat="1" ht="13.5" thickTop="1" x14ac:dyDescent="0.25">
      <c r="A9" s="685" t="s">
        <v>331</v>
      </c>
      <c r="B9" s="686" t="s">
        <v>144</v>
      </c>
      <c r="C9" s="687">
        <v>191</v>
      </c>
      <c r="D9" s="688">
        <v>11129500</v>
      </c>
      <c r="E9" s="689">
        <f>ROUND(E$3/D$35*D9,)</f>
        <v>9048</v>
      </c>
    </row>
    <row r="10" spans="1:7" s="260" customFormat="1" ht="12.75" x14ac:dyDescent="0.25">
      <c r="A10" s="690" t="s">
        <v>332</v>
      </c>
      <c r="B10" s="691" t="s">
        <v>145</v>
      </c>
      <c r="C10" s="692">
        <v>15</v>
      </c>
      <c r="D10" s="693">
        <v>851000</v>
      </c>
      <c r="E10" s="694">
        <f>ROUND(E$3/D$35*D10,)</f>
        <v>692</v>
      </c>
    </row>
    <row r="11" spans="1:7" s="260" customFormat="1" ht="12.75" x14ac:dyDescent="0.25">
      <c r="A11" s="690" t="s">
        <v>333</v>
      </c>
      <c r="B11" s="691" t="s">
        <v>334</v>
      </c>
      <c r="C11" s="692" t="s">
        <v>335</v>
      </c>
      <c r="D11" s="693" t="s">
        <v>335</v>
      </c>
      <c r="E11" s="694"/>
    </row>
    <row r="12" spans="1:7" s="260" customFormat="1" ht="12.75" x14ac:dyDescent="0.25">
      <c r="A12" s="690" t="s">
        <v>336</v>
      </c>
      <c r="B12" s="691" t="s">
        <v>147</v>
      </c>
      <c r="C12" s="692">
        <v>303</v>
      </c>
      <c r="D12" s="693">
        <v>21001500</v>
      </c>
      <c r="E12" s="694">
        <f>ROUND(E$3/D$35*D12,)</f>
        <v>17074</v>
      </c>
    </row>
    <row r="13" spans="1:7" s="260" customFormat="1" ht="12.75" x14ac:dyDescent="0.25">
      <c r="A13" s="690" t="s">
        <v>337</v>
      </c>
      <c r="B13" s="691" t="s">
        <v>148</v>
      </c>
      <c r="C13" s="692">
        <v>47</v>
      </c>
      <c r="D13" s="693">
        <v>2702000</v>
      </c>
      <c r="E13" s="694">
        <f>ROUND(E$3/D$35*D13,)</f>
        <v>2197</v>
      </c>
    </row>
    <row r="14" spans="1:7" s="260" customFormat="1" ht="12.75" x14ac:dyDescent="0.25">
      <c r="A14" s="690" t="s">
        <v>338</v>
      </c>
      <c r="B14" s="691" t="s">
        <v>149</v>
      </c>
      <c r="C14" s="692" t="s">
        <v>335</v>
      </c>
      <c r="D14" s="693" t="s">
        <v>335</v>
      </c>
      <c r="E14" s="694"/>
    </row>
    <row r="15" spans="1:7" s="260" customFormat="1" ht="12.75" x14ac:dyDescent="0.25">
      <c r="A15" s="690" t="s">
        <v>339</v>
      </c>
      <c r="B15" s="691" t="s">
        <v>150</v>
      </c>
      <c r="C15" s="692">
        <v>29</v>
      </c>
      <c r="D15" s="693">
        <v>1647000</v>
      </c>
      <c r="E15" s="694">
        <f>ROUND(E$3/D$35*D15,)</f>
        <v>1339</v>
      </c>
    </row>
    <row r="16" spans="1:7" s="260" customFormat="1" ht="12.75" x14ac:dyDescent="0.25">
      <c r="A16" s="690" t="s">
        <v>340</v>
      </c>
      <c r="B16" s="691" t="s">
        <v>151</v>
      </c>
      <c r="C16" s="692">
        <v>17</v>
      </c>
      <c r="D16" s="693">
        <v>987500</v>
      </c>
      <c r="E16" s="694">
        <f>ROUND(E$3/D$35*D16,)</f>
        <v>803</v>
      </c>
    </row>
    <row r="17" spans="1:5" s="260" customFormat="1" ht="12.75" x14ac:dyDescent="0.25">
      <c r="A17" s="690" t="s">
        <v>341</v>
      </c>
      <c r="B17" s="691" t="s">
        <v>152</v>
      </c>
      <c r="C17" s="692" t="s">
        <v>335</v>
      </c>
      <c r="D17" s="693" t="s">
        <v>335</v>
      </c>
      <c r="E17" s="694"/>
    </row>
    <row r="18" spans="1:5" s="698" customFormat="1" ht="12.75" x14ac:dyDescent="0.25">
      <c r="A18" s="690" t="s">
        <v>342</v>
      </c>
      <c r="B18" s="691" t="s">
        <v>153</v>
      </c>
      <c r="C18" s="695">
        <v>60</v>
      </c>
      <c r="D18" s="696">
        <v>2409500</v>
      </c>
      <c r="E18" s="697">
        <f>ROUND(E$3/D$35*D18,)</f>
        <v>1959</v>
      </c>
    </row>
    <row r="19" spans="1:5" s="260" customFormat="1" ht="12.75" x14ac:dyDescent="0.25">
      <c r="A19" s="690" t="s">
        <v>343</v>
      </c>
      <c r="B19" s="691" t="s">
        <v>374</v>
      </c>
      <c r="C19" s="692" t="s">
        <v>335</v>
      </c>
      <c r="D19" s="693" t="s">
        <v>335</v>
      </c>
      <c r="E19" s="694"/>
    </row>
    <row r="20" spans="1:5" s="260" customFormat="1" ht="12.75" x14ac:dyDescent="0.25">
      <c r="A20" s="690" t="s">
        <v>344</v>
      </c>
      <c r="B20" s="691" t="s">
        <v>155</v>
      </c>
      <c r="C20" s="692">
        <v>77</v>
      </c>
      <c r="D20" s="693">
        <v>2438500</v>
      </c>
      <c r="E20" s="694">
        <f>ROUND(E$3/D$35*D20,)</f>
        <v>1982</v>
      </c>
    </row>
    <row r="21" spans="1:5" s="260" customFormat="1" ht="12.75" x14ac:dyDescent="0.25">
      <c r="A21" s="690" t="s">
        <v>345</v>
      </c>
      <c r="B21" s="691" t="s">
        <v>156</v>
      </c>
      <c r="C21" s="692" t="s">
        <v>335</v>
      </c>
      <c r="D21" s="693" t="s">
        <v>335</v>
      </c>
      <c r="E21" s="694"/>
    </row>
    <row r="22" spans="1:5" s="260" customFormat="1" ht="12.75" x14ac:dyDescent="0.25">
      <c r="A22" s="690" t="s">
        <v>346</v>
      </c>
      <c r="B22" s="691" t="s">
        <v>157</v>
      </c>
      <c r="C22" s="692">
        <v>7</v>
      </c>
      <c r="D22" s="693">
        <v>330000</v>
      </c>
      <c r="E22" s="694">
        <f>ROUND(E$3/D$35*D22,)</f>
        <v>268</v>
      </c>
    </row>
    <row r="23" spans="1:5" s="260" customFormat="1" ht="12.75" x14ac:dyDescent="0.25">
      <c r="A23" s="690" t="s">
        <v>347</v>
      </c>
      <c r="B23" s="691" t="s">
        <v>158</v>
      </c>
      <c r="C23" s="692" t="s">
        <v>335</v>
      </c>
      <c r="D23" s="693" t="s">
        <v>335</v>
      </c>
      <c r="E23" s="694"/>
    </row>
    <row r="24" spans="1:5" s="260" customFormat="1" ht="12.75" x14ac:dyDescent="0.25">
      <c r="A24" s="690" t="s">
        <v>348</v>
      </c>
      <c r="B24" s="691" t="s">
        <v>375</v>
      </c>
      <c r="C24" s="692">
        <v>37</v>
      </c>
      <c r="D24" s="693">
        <v>1080000</v>
      </c>
      <c r="E24" s="694">
        <f>ROUND(E$3/D$35*D24,)</f>
        <v>878</v>
      </c>
    </row>
    <row r="25" spans="1:5" s="260" customFormat="1" ht="12.75" x14ac:dyDescent="0.25">
      <c r="A25" s="690" t="s">
        <v>349</v>
      </c>
      <c r="B25" s="691" t="s">
        <v>160</v>
      </c>
      <c r="C25" s="692" t="s">
        <v>335</v>
      </c>
      <c r="D25" s="693" t="s">
        <v>335</v>
      </c>
      <c r="E25" s="694"/>
    </row>
    <row r="26" spans="1:5" s="260" customFormat="1" ht="12.75" x14ac:dyDescent="0.25">
      <c r="A26" s="690" t="s">
        <v>350</v>
      </c>
      <c r="B26" s="691" t="s">
        <v>161</v>
      </c>
      <c r="C26" s="692">
        <v>25</v>
      </c>
      <c r="D26" s="693">
        <v>1674500</v>
      </c>
      <c r="E26" s="694">
        <f>ROUND(E$3/D$35*D26,)</f>
        <v>1361</v>
      </c>
    </row>
    <row r="27" spans="1:5" s="260" customFormat="1" ht="12.75" x14ac:dyDescent="0.25">
      <c r="A27" s="690" t="s">
        <v>351</v>
      </c>
      <c r="B27" s="691" t="s">
        <v>162</v>
      </c>
      <c r="C27" s="692">
        <v>37</v>
      </c>
      <c r="D27" s="693">
        <v>1841000</v>
      </c>
      <c r="E27" s="694">
        <f>ROUND(E$3/D$35*D27,)</f>
        <v>1497</v>
      </c>
    </row>
    <row r="28" spans="1:5" s="260" customFormat="1" ht="12.75" x14ac:dyDescent="0.25">
      <c r="A28" s="690" t="s">
        <v>352</v>
      </c>
      <c r="B28" s="691" t="s">
        <v>163</v>
      </c>
      <c r="C28" s="692" t="s">
        <v>335</v>
      </c>
      <c r="D28" s="693" t="s">
        <v>335</v>
      </c>
      <c r="E28" s="694"/>
    </row>
    <row r="29" spans="1:5" s="260" customFormat="1" ht="12.75" x14ac:dyDescent="0.25">
      <c r="A29" s="690" t="s">
        <v>353</v>
      </c>
      <c r="B29" s="691" t="s">
        <v>164</v>
      </c>
      <c r="C29" s="692" t="s">
        <v>335</v>
      </c>
      <c r="D29" s="693" t="s">
        <v>335</v>
      </c>
      <c r="E29" s="694"/>
    </row>
    <row r="30" spans="1:5" s="260" customFormat="1" ht="12.75" x14ac:dyDescent="0.25">
      <c r="A30" s="690" t="s">
        <v>354</v>
      </c>
      <c r="B30" s="691" t="s">
        <v>165</v>
      </c>
      <c r="C30" s="692" t="s">
        <v>335</v>
      </c>
      <c r="D30" s="693" t="s">
        <v>335</v>
      </c>
      <c r="E30" s="694"/>
    </row>
    <row r="31" spans="1:5" s="260" customFormat="1" ht="12.75" x14ac:dyDescent="0.25">
      <c r="A31" s="690" t="s">
        <v>355</v>
      </c>
      <c r="B31" s="691" t="s">
        <v>166</v>
      </c>
      <c r="C31" s="692" t="s">
        <v>335</v>
      </c>
      <c r="D31" s="693" t="s">
        <v>335</v>
      </c>
      <c r="E31" s="694"/>
    </row>
    <row r="32" spans="1:5" s="260" customFormat="1" ht="12.75" x14ac:dyDescent="0.25">
      <c r="A32" s="690" t="s">
        <v>356</v>
      </c>
      <c r="B32" s="691" t="s">
        <v>381</v>
      </c>
      <c r="C32" s="692">
        <v>9</v>
      </c>
      <c r="D32" s="693">
        <v>1110000</v>
      </c>
      <c r="E32" s="694">
        <f>ROUND(E$3/D$35*D32,)</f>
        <v>902</v>
      </c>
    </row>
    <row r="33" spans="1:8" s="260" customFormat="1" ht="12.75" x14ac:dyDescent="0.25">
      <c r="A33" s="690" t="s">
        <v>358</v>
      </c>
      <c r="B33" s="691" t="s">
        <v>168</v>
      </c>
      <c r="C33" s="692" t="s">
        <v>335</v>
      </c>
      <c r="D33" s="693" t="s">
        <v>335</v>
      </c>
      <c r="E33" s="694"/>
    </row>
    <row r="34" spans="1:8" s="260" customFormat="1" ht="13.5" thickBot="1" x14ac:dyDescent="0.3">
      <c r="A34" s="699" t="s">
        <v>359</v>
      </c>
      <c r="B34" s="700" t="s">
        <v>376</v>
      </c>
      <c r="C34" s="692" t="s">
        <v>335</v>
      </c>
      <c r="D34" s="693" t="s">
        <v>335</v>
      </c>
      <c r="E34" s="694"/>
    </row>
    <row r="35" spans="1:8" s="706" customFormat="1" ht="14.25" thickTop="1" thickBot="1" x14ac:dyDescent="0.3">
      <c r="A35" s="701"/>
      <c r="B35" s="702"/>
      <c r="C35" s="703">
        <f>SUM(C9:C34)</f>
        <v>854</v>
      </c>
      <c r="D35" s="704">
        <f>SUM(D9:D34)</f>
        <v>49202000</v>
      </c>
      <c r="E35" s="705">
        <f>SUM(E9:E34)</f>
        <v>40000</v>
      </c>
      <c r="F35" s="320"/>
      <c r="G35" s="320"/>
    </row>
    <row r="36" spans="1:8" s="707" customFormat="1" ht="12.75" x14ac:dyDescent="0.25">
      <c r="C36" s="708"/>
    </row>
    <row r="37" spans="1:8" s="709" customFormat="1" ht="12.75" x14ac:dyDescent="0.25"/>
    <row r="38" spans="1:8" s="709" customFormat="1" ht="12.75" x14ac:dyDescent="0.25"/>
    <row r="39" spans="1:8" s="709" customFormat="1" ht="12.75" x14ac:dyDescent="0.25">
      <c r="C39" s="710"/>
    </row>
    <row r="40" spans="1:8" ht="15.75" x14ac:dyDescent="0.25">
      <c r="A40" s="711"/>
      <c r="B40" s="711"/>
      <c r="C40" s="711"/>
      <c r="D40" s="711"/>
      <c r="E40" s="711"/>
      <c r="F40" s="711"/>
      <c r="G40" s="711"/>
      <c r="H40" s="711"/>
    </row>
    <row r="41" spans="1:8" ht="15.75" x14ac:dyDescent="0.25">
      <c r="A41" s="711"/>
      <c r="B41" s="711"/>
      <c r="C41" s="711"/>
      <c r="D41" s="711"/>
      <c r="E41" s="711"/>
      <c r="F41" s="711"/>
      <c r="G41" s="711"/>
      <c r="H41" s="711"/>
    </row>
    <row r="42" spans="1:8" ht="15.75" x14ac:dyDescent="0.25">
      <c r="A42" s="711"/>
      <c r="B42" s="711"/>
      <c r="C42" s="711"/>
      <c r="D42" s="711"/>
      <c r="E42" s="711"/>
      <c r="F42" s="711"/>
      <c r="G42" s="711"/>
      <c r="H42" s="711"/>
    </row>
    <row r="43" spans="1:8" ht="15.75" x14ac:dyDescent="0.25">
      <c r="A43" s="711"/>
      <c r="B43" s="711"/>
      <c r="C43" s="711"/>
      <c r="D43" s="711"/>
      <c r="E43" s="711"/>
      <c r="F43" s="711"/>
      <c r="G43" s="711"/>
      <c r="H43" s="711"/>
    </row>
    <row r="44" spans="1:8" ht="15.75" x14ac:dyDescent="0.25">
      <c r="A44" s="711"/>
      <c r="B44" s="711"/>
      <c r="C44" s="711"/>
      <c r="D44" s="711"/>
      <c r="E44" s="711"/>
      <c r="F44" s="711"/>
      <c r="G44" s="711"/>
      <c r="H44" s="711"/>
    </row>
    <row r="45" spans="1:8" ht="15.75" x14ac:dyDescent="0.25">
      <c r="A45" s="711"/>
      <c r="B45" s="711"/>
      <c r="C45" s="711"/>
      <c r="D45" s="711"/>
      <c r="E45" s="711"/>
      <c r="F45" s="711"/>
      <c r="G45" s="711"/>
      <c r="H45" s="711"/>
    </row>
    <row r="46" spans="1:8" ht="15.75" x14ac:dyDescent="0.25">
      <c r="A46" s="711"/>
      <c r="B46" s="711"/>
      <c r="C46" s="711"/>
      <c r="D46" s="711"/>
      <c r="E46" s="711"/>
      <c r="F46" s="711"/>
      <c r="G46" s="711"/>
      <c r="H46" s="711"/>
    </row>
    <row r="47" spans="1:8" ht="15.75" x14ac:dyDescent="0.25">
      <c r="A47" s="711"/>
      <c r="B47" s="711"/>
      <c r="C47" s="711"/>
      <c r="D47" s="711"/>
      <c r="E47" s="711"/>
      <c r="F47" s="711"/>
      <c r="G47" s="711"/>
      <c r="H47" s="711"/>
    </row>
    <row r="48" spans="1:8" ht="15.75" x14ac:dyDescent="0.25">
      <c r="A48" s="711"/>
      <c r="B48" s="711"/>
      <c r="C48" s="711"/>
      <c r="D48" s="711"/>
      <c r="E48" s="711"/>
      <c r="F48" s="711"/>
      <c r="G48" s="711"/>
      <c r="H48" s="711"/>
    </row>
    <row r="49" spans="1:8" ht="15.75" x14ac:dyDescent="0.25">
      <c r="A49" s="711"/>
      <c r="B49" s="711"/>
      <c r="C49" s="711"/>
      <c r="D49" s="711"/>
      <c r="E49" s="711"/>
      <c r="F49" s="711"/>
      <c r="G49" s="711"/>
      <c r="H49" s="711"/>
    </row>
    <row r="50" spans="1:8" ht="15.75" x14ac:dyDescent="0.25">
      <c r="A50" s="711"/>
      <c r="B50" s="711"/>
      <c r="C50" s="711"/>
      <c r="D50" s="711"/>
      <c r="E50" s="711"/>
      <c r="F50" s="711"/>
      <c r="G50" s="711"/>
      <c r="H50" s="711"/>
    </row>
    <row r="51" spans="1:8" ht="15.75" x14ac:dyDescent="0.25">
      <c r="A51" s="711"/>
      <c r="B51" s="711"/>
      <c r="C51" s="711"/>
      <c r="D51" s="711"/>
      <c r="E51" s="711"/>
      <c r="F51" s="711"/>
      <c r="G51" s="711"/>
      <c r="H51" s="711"/>
    </row>
    <row r="52" spans="1:8" ht="15.75" x14ac:dyDescent="0.25">
      <c r="A52" s="711"/>
      <c r="B52" s="711"/>
      <c r="C52" s="711"/>
      <c r="D52" s="711"/>
      <c r="E52" s="711"/>
      <c r="F52" s="711"/>
      <c r="G52" s="711"/>
      <c r="H52" s="711"/>
    </row>
    <row r="53" spans="1:8" ht="15.75" x14ac:dyDescent="0.25">
      <c r="A53" s="711"/>
      <c r="B53" s="711"/>
      <c r="C53" s="711"/>
      <c r="D53" s="711"/>
      <c r="E53" s="711"/>
      <c r="F53" s="711"/>
      <c r="G53" s="711"/>
      <c r="H53" s="711"/>
    </row>
    <row r="54" spans="1:8" ht="15.75" x14ac:dyDescent="0.25">
      <c r="A54" s="711"/>
      <c r="B54" s="711"/>
      <c r="C54" s="711"/>
      <c r="D54" s="711"/>
      <c r="E54" s="711"/>
      <c r="F54" s="711"/>
      <c r="G54" s="711"/>
      <c r="H54" s="711"/>
    </row>
    <row r="55" spans="1:8" ht="15.75" x14ac:dyDescent="0.25">
      <c r="A55" s="711"/>
      <c r="B55" s="711"/>
      <c r="C55" s="711"/>
      <c r="D55" s="711"/>
      <c r="E55" s="711"/>
      <c r="F55" s="711"/>
      <c r="G55" s="711"/>
      <c r="H55" s="711"/>
    </row>
    <row r="56" spans="1:8" ht="15.75" x14ac:dyDescent="0.25">
      <c r="A56" s="711"/>
      <c r="B56" s="711"/>
      <c r="C56" s="711"/>
      <c r="D56" s="711"/>
      <c r="E56" s="711"/>
      <c r="F56" s="711"/>
      <c r="G56" s="711"/>
      <c r="H56" s="711"/>
    </row>
    <row r="57" spans="1:8" ht="15.75" x14ac:dyDescent="0.25">
      <c r="A57" s="711"/>
      <c r="B57" s="711"/>
      <c r="C57" s="711"/>
      <c r="D57" s="711"/>
      <c r="E57" s="711"/>
      <c r="F57" s="711"/>
      <c r="G57" s="711"/>
      <c r="H57" s="711"/>
    </row>
    <row r="58" spans="1:8" ht="15.75" x14ac:dyDescent="0.25">
      <c r="A58" s="711"/>
      <c r="B58" s="711"/>
      <c r="C58" s="711"/>
      <c r="D58" s="711"/>
      <c r="E58" s="711"/>
      <c r="F58" s="711"/>
      <c r="G58" s="711"/>
      <c r="H58" s="711"/>
    </row>
    <row r="59" spans="1:8" ht="15.75" x14ac:dyDescent="0.25">
      <c r="A59" s="711"/>
      <c r="B59" s="711"/>
      <c r="C59" s="711"/>
      <c r="D59" s="711"/>
      <c r="E59" s="711"/>
      <c r="F59" s="711"/>
      <c r="G59" s="711"/>
      <c r="H59" s="711"/>
    </row>
    <row r="60" spans="1:8" ht="15.75" x14ac:dyDescent="0.25">
      <c r="A60" s="711"/>
      <c r="B60" s="711"/>
      <c r="C60" s="711"/>
      <c r="D60" s="711"/>
      <c r="E60" s="711"/>
      <c r="F60" s="711"/>
      <c r="G60" s="711"/>
      <c r="H60" s="711"/>
    </row>
    <row r="61" spans="1:8" ht="15.75" x14ac:dyDescent="0.25">
      <c r="A61" s="711"/>
      <c r="B61" s="711"/>
      <c r="C61" s="711"/>
      <c r="D61" s="711"/>
      <c r="E61" s="711"/>
      <c r="F61" s="711"/>
      <c r="G61" s="711"/>
      <c r="H61" s="711"/>
    </row>
    <row r="62" spans="1:8" ht="15.75" x14ac:dyDescent="0.25">
      <c r="A62" s="711"/>
      <c r="B62" s="711"/>
      <c r="C62" s="711"/>
      <c r="D62" s="711"/>
      <c r="E62" s="711"/>
      <c r="F62" s="711"/>
      <c r="G62" s="711"/>
      <c r="H62" s="711"/>
    </row>
    <row r="63" spans="1:8" ht="15.75" x14ac:dyDescent="0.25">
      <c r="A63" s="711"/>
      <c r="B63" s="711"/>
      <c r="C63" s="711"/>
      <c r="D63" s="711"/>
      <c r="E63" s="711"/>
      <c r="F63" s="711"/>
      <c r="G63" s="711"/>
      <c r="H63" s="711"/>
    </row>
    <row r="64" spans="1:8" ht="15.75" x14ac:dyDescent="0.25">
      <c r="A64" s="711"/>
      <c r="B64" s="711"/>
      <c r="C64" s="711"/>
      <c r="D64" s="711"/>
      <c r="E64" s="711"/>
      <c r="F64" s="711"/>
      <c r="G64" s="711"/>
      <c r="H64" s="711"/>
    </row>
    <row r="65" spans="1:8" ht="15.75" x14ac:dyDescent="0.25">
      <c r="A65" s="711"/>
      <c r="B65" s="711"/>
      <c r="C65" s="711"/>
      <c r="D65" s="711"/>
      <c r="E65" s="711"/>
      <c r="F65" s="711"/>
      <c r="G65" s="711"/>
      <c r="H65" s="711"/>
    </row>
    <row r="66" spans="1:8" ht="15.75" x14ac:dyDescent="0.25">
      <c r="A66" s="711"/>
      <c r="B66" s="711"/>
      <c r="C66" s="711"/>
      <c r="D66" s="711"/>
      <c r="E66" s="711"/>
      <c r="F66" s="711"/>
      <c r="G66" s="711"/>
      <c r="H66" s="711"/>
    </row>
    <row r="67" spans="1:8" ht="15.75" x14ac:dyDescent="0.25">
      <c r="A67" s="711"/>
      <c r="B67" s="711"/>
      <c r="C67" s="711"/>
      <c r="D67" s="711"/>
      <c r="E67" s="711"/>
      <c r="F67" s="711"/>
      <c r="G67" s="711"/>
      <c r="H67" s="711"/>
    </row>
    <row r="68" spans="1:8" ht="15.75" x14ac:dyDescent="0.25">
      <c r="A68" s="711"/>
      <c r="B68" s="711"/>
      <c r="C68" s="711"/>
      <c r="D68" s="711"/>
      <c r="E68" s="711"/>
      <c r="F68" s="711"/>
      <c r="G68" s="711"/>
      <c r="H68" s="711"/>
    </row>
    <row r="69" spans="1:8" ht="15.75" x14ac:dyDescent="0.25">
      <c r="A69" s="711"/>
      <c r="B69" s="711"/>
      <c r="C69" s="711"/>
      <c r="D69" s="711"/>
      <c r="E69" s="711"/>
      <c r="F69" s="711"/>
      <c r="G69" s="711"/>
      <c r="H69" s="711"/>
    </row>
    <row r="70" spans="1:8" ht="15.75" x14ac:dyDescent="0.25">
      <c r="A70" s="711"/>
      <c r="B70" s="711"/>
      <c r="C70" s="711"/>
      <c r="D70" s="711"/>
      <c r="E70" s="711"/>
      <c r="F70" s="711"/>
      <c r="G70" s="711"/>
      <c r="H70" s="711"/>
    </row>
    <row r="71" spans="1:8" ht="15.75" x14ac:dyDescent="0.25">
      <c r="A71" s="711"/>
      <c r="B71" s="711"/>
      <c r="C71" s="711"/>
      <c r="D71" s="711"/>
      <c r="E71" s="711"/>
      <c r="F71" s="711"/>
      <c r="G71" s="711"/>
      <c r="H71" s="711"/>
    </row>
  </sheetData>
  <mergeCells count="5">
    <mergeCell ref="A7:A8"/>
    <mergeCell ref="B7:B8"/>
    <mergeCell ref="C7:D7"/>
    <mergeCell ref="E7:E8"/>
    <mergeCell ref="A1:E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M38" sqref="M38"/>
    </sheetView>
  </sheetViews>
  <sheetFormatPr defaultRowHeight="12.75" x14ac:dyDescent="0.25"/>
  <cols>
    <col min="1" max="1" width="6.42578125" style="596" customWidth="1"/>
    <col min="2" max="2" width="42.140625" style="596" customWidth="1"/>
    <col min="3" max="3" width="9.28515625" style="595" customWidth="1"/>
    <col min="4" max="4" width="9.5703125" style="596" customWidth="1"/>
    <col min="5" max="5" width="8.7109375" style="597" customWidth="1"/>
    <col min="6" max="6" width="9.42578125" style="596" customWidth="1"/>
    <col min="7" max="7" width="9.5703125" style="597" customWidth="1"/>
    <col min="8" max="8" width="9" style="596" customWidth="1"/>
    <col min="9" max="9" width="5.42578125" style="596" customWidth="1"/>
    <col min="10" max="251" width="9.140625" style="596"/>
    <col min="252" max="252" width="0" style="596" hidden="1" customWidth="1"/>
    <col min="253" max="253" width="18.28515625" style="596" customWidth="1"/>
    <col min="254" max="254" width="9.7109375" style="596" customWidth="1"/>
    <col min="255" max="260" width="9.140625" style="596"/>
    <col min="261" max="261" width="11.140625" style="596" customWidth="1"/>
    <col min="262" max="507" width="9.140625" style="596"/>
    <col min="508" max="508" width="0" style="596" hidden="1" customWidth="1"/>
    <col min="509" max="509" width="18.28515625" style="596" customWidth="1"/>
    <col min="510" max="510" width="9.7109375" style="596" customWidth="1"/>
    <col min="511" max="516" width="9.140625" style="596"/>
    <col min="517" max="517" width="11.140625" style="596" customWidth="1"/>
    <col min="518" max="763" width="9.140625" style="596"/>
    <col min="764" max="764" width="0" style="596" hidden="1" customWidth="1"/>
    <col min="765" max="765" width="18.28515625" style="596" customWidth="1"/>
    <col min="766" max="766" width="9.7109375" style="596" customWidth="1"/>
    <col min="767" max="772" width="9.140625" style="596"/>
    <col min="773" max="773" width="11.140625" style="596" customWidth="1"/>
    <col min="774" max="1019" width="9.140625" style="596"/>
    <col min="1020" max="1020" width="0" style="596" hidden="1" customWidth="1"/>
    <col min="1021" max="1021" width="18.28515625" style="596" customWidth="1"/>
    <col min="1022" max="1022" width="9.7109375" style="596" customWidth="1"/>
    <col min="1023" max="1028" width="9.140625" style="596"/>
    <col min="1029" max="1029" width="11.140625" style="596" customWidth="1"/>
    <col min="1030" max="1275" width="9.140625" style="596"/>
    <col min="1276" max="1276" width="0" style="596" hidden="1" customWidth="1"/>
    <col min="1277" max="1277" width="18.28515625" style="596" customWidth="1"/>
    <col min="1278" max="1278" width="9.7109375" style="596" customWidth="1"/>
    <col min="1279" max="1284" width="9.140625" style="596"/>
    <col min="1285" max="1285" width="11.140625" style="596" customWidth="1"/>
    <col min="1286" max="1531" width="9.140625" style="596"/>
    <col min="1532" max="1532" width="0" style="596" hidden="1" customWidth="1"/>
    <col min="1533" max="1533" width="18.28515625" style="596" customWidth="1"/>
    <col min="1534" max="1534" width="9.7109375" style="596" customWidth="1"/>
    <col min="1535" max="1540" width="9.140625" style="596"/>
    <col min="1541" max="1541" width="11.140625" style="596" customWidth="1"/>
    <col min="1542" max="1787" width="9.140625" style="596"/>
    <col min="1788" max="1788" width="0" style="596" hidden="1" customWidth="1"/>
    <col min="1789" max="1789" width="18.28515625" style="596" customWidth="1"/>
    <col min="1790" max="1790" width="9.7109375" style="596" customWidth="1"/>
    <col min="1791" max="1796" width="9.140625" style="596"/>
    <col min="1797" max="1797" width="11.140625" style="596" customWidth="1"/>
    <col min="1798" max="2043" width="9.140625" style="596"/>
    <col min="2044" max="2044" width="0" style="596" hidden="1" customWidth="1"/>
    <col min="2045" max="2045" width="18.28515625" style="596" customWidth="1"/>
    <col min="2046" max="2046" width="9.7109375" style="596" customWidth="1"/>
    <col min="2047" max="2052" width="9.140625" style="596"/>
    <col min="2053" max="2053" width="11.140625" style="596" customWidth="1"/>
    <col min="2054" max="2299" width="9.140625" style="596"/>
    <col min="2300" max="2300" width="0" style="596" hidden="1" customWidth="1"/>
    <col min="2301" max="2301" width="18.28515625" style="596" customWidth="1"/>
    <col min="2302" max="2302" width="9.7109375" style="596" customWidth="1"/>
    <col min="2303" max="2308" width="9.140625" style="596"/>
    <col min="2309" max="2309" width="11.140625" style="596" customWidth="1"/>
    <col min="2310" max="2555" width="9.140625" style="596"/>
    <col min="2556" max="2556" width="0" style="596" hidden="1" customWidth="1"/>
    <col min="2557" max="2557" width="18.28515625" style="596" customWidth="1"/>
    <col min="2558" max="2558" width="9.7109375" style="596" customWidth="1"/>
    <col min="2559" max="2564" width="9.140625" style="596"/>
    <col min="2565" max="2565" width="11.140625" style="596" customWidth="1"/>
    <col min="2566" max="2811" width="9.140625" style="596"/>
    <col min="2812" max="2812" width="0" style="596" hidden="1" customWidth="1"/>
    <col min="2813" max="2813" width="18.28515625" style="596" customWidth="1"/>
    <col min="2814" max="2814" width="9.7109375" style="596" customWidth="1"/>
    <col min="2815" max="2820" width="9.140625" style="596"/>
    <col min="2821" max="2821" width="11.140625" style="596" customWidth="1"/>
    <col min="2822" max="3067" width="9.140625" style="596"/>
    <col min="3068" max="3068" width="0" style="596" hidden="1" customWidth="1"/>
    <col min="3069" max="3069" width="18.28515625" style="596" customWidth="1"/>
    <col min="3070" max="3070" width="9.7109375" style="596" customWidth="1"/>
    <col min="3071" max="3076" width="9.140625" style="596"/>
    <col min="3077" max="3077" width="11.140625" style="596" customWidth="1"/>
    <col min="3078" max="3323" width="9.140625" style="596"/>
    <col min="3324" max="3324" width="0" style="596" hidden="1" customWidth="1"/>
    <col min="3325" max="3325" width="18.28515625" style="596" customWidth="1"/>
    <col min="3326" max="3326" width="9.7109375" style="596" customWidth="1"/>
    <col min="3327" max="3332" width="9.140625" style="596"/>
    <col min="3333" max="3333" width="11.140625" style="596" customWidth="1"/>
    <col min="3334" max="3579" width="9.140625" style="596"/>
    <col min="3580" max="3580" width="0" style="596" hidden="1" customWidth="1"/>
    <col min="3581" max="3581" width="18.28515625" style="596" customWidth="1"/>
    <col min="3582" max="3582" width="9.7109375" style="596" customWidth="1"/>
    <col min="3583" max="3588" width="9.140625" style="596"/>
    <col min="3589" max="3589" width="11.140625" style="596" customWidth="1"/>
    <col min="3590" max="3835" width="9.140625" style="596"/>
    <col min="3836" max="3836" width="0" style="596" hidden="1" customWidth="1"/>
    <col min="3837" max="3837" width="18.28515625" style="596" customWidth="1"/>
    <col min="3838" max="3838" width="9.7109375" style="596" customWidth="1"/>
    <col min="3839" max="3844" width="9.140625" style="596"/>
    <col min="3845" max="3845" width="11.140625" style="596" customWidth="1"/>
    <col min="3846" max="4091" width="9.140625" style="596"/>
    <col min="4092" max="4092" width="0" style="596" hidden="1" customWidth="1"/>
    <col min="4093" max="4093" width="18.28515625" style="596" customWidth="1"/>
    <col min="4094" max="4094" width="9.7109375" style="596" customWidth="1"/>
    <col min="4095" max="4100" width="9.140625" style="596"/>
    <col min="4101" max="4101" width="11.140625" style="596" customWidth="1"/>
    <col min="4102" max="4347" width="9.140625" style="596"/>
    <col min="4348" max="4348" width="0" style="596" hidden="1" customWidth="1"/>
    <col min="4349" max="4349" width="18.28515625" style="596" customWidth="1"/>
    <col min="4350" max="4350" width="9.7109375" style="596" customWidth="1"/>
    <col min="4351" max="4356" width="9.140625" style="596"/>
    <col min="4357" max="4357" width="11.140625" style="596" customWidth="1"/>
    <col min="4358" max="4603" width="9.140625" style="596"/>
    <col min="4604" max="4604" width="0" style="596" hidden="1" customWidth="1"/>
    <col min="4605" max="4605" width="18.28515625" style="596" customWidth="1"/>
    <col min="4606" max="4606" width="9.7109375" style="596" customWidth="1"/>
    <col min="4607" max="4612" width="9.140625" style="596"/>
    <col min="4613" max="4613" width="11.140625" style="596" customWidth="1"/>
    <col min="4614" max="4859" width="9.140625" style="596"/>
    <col min="4860" max="4860" width="0" style="596" hidden="1" customWidth="1"/>
    <col min="4861" max="4861" width="18.28515625" style="596" customWidth="1"/>
    <col min="4862" max="4862" width="9.7109375" style="596" customWidth="1"/>
    <col min="4863" max="4868" width="9.140625" style="596"/>
    <col min="4869" max="4869" width="11.140625" style="596" customWidth="1"/>
    <col min="4870" max="5115" width="9.140625" style="596"/>
    <col min="5116" max="5116" width="0" style="596" hidden="1" customWidth="1"/>
    <col min="5117" max="5117" width="18.28515625" style="596" customWidth="1"/>
    <col min="5118" max="5118" width="9.7109375" style="596" customWidth="1"/>
    <col min="5119" max="5124" width="9.140625" style="596"/>
    <col min="5125" max="5125" width="11.140625" style="596" customWidth="1"/>
    <col min="5126" max="5371" width="9.140625" style="596"/>
    <col min="5372" max="5372" width="0" style="596" hidden="1" customWidth="1"/>
    <col min="5373" max="5373" width="18.28515625" style="596" customWidth="1"/>
    <col min="5374" max="5374" width="9.7109375" style="596" customWidth="1"/>
    <col min="5375" max="5380" width="9.140625" style="596"/>
    <col min="5381" max="5381" width="11.140625" style="596" customWidth="1"/>
    <col min="5382" max="5627" width="9.140625" style="596"/>
    <col min="5628" max="5628" width="0" style="596" hidden="1" customWidth="1"/>
    <col min="5629" max="5629" width="18.28515625" style="596" customWidth="1"/>
    <col min="5630" max="5630" width="9.7109375" style="596" customWidth="1"/>
    <col min="5631" max="5636" width="9.140625" style="596"/>
    <col min="5637" max="5637" width="11.140625" style="596" customWidth="1"/>
    <col min="5638" max="5883" width="9.140625" style="596"/>
    <col min="5884" max="5884" width="0" style="596" hidden="1" customWidth="1"/>
    <col min="5885" max="5885" width="18.28515625" style="596" customWidth="1"/>
    <col min="5886" max="5886" width="9.7109375" style="596" customWidth="1"/>
    <col min="5887" max="5892" width="9.140625" style="596"/>
    <col min="5893" max="5893" width="11.140625" style="596" customWidth="1"/>
    <col min="5894" max="6139" width="9.140625" style="596"/>
    <col min="6140" max="6140" width="0" style="596" hidden="1" customWidth="1"/>
    <col min="6141" max="6141" width="18.28515625" style="596" customWidth="1"/>
    <col min="6142" max="6142" width="9.7109375" style="596" customWidth="1"/>
    <col min="6143" max="6148" width="9.140625" style="596"/>
    <col min="6149" max="6149" width="11.140625" style="596" customWidth="1"/>
    <col min="6150" max="6395" width="9.140625" style="596"/>
    <col min="6396" max="6396" width="0" style="596" hidden="1" customWidth="1"/>
    <col min="6397" max="6397" width="18.28515625" style="596" customWidth="1"/>
    <col min="6398" max="6398" width="9.7109375" style="596" customWidth="1"/>
    <col min="6399" max="6404" width="9.140625" style="596"/>
    <col min="6405" max="6405" width="11.140625" style="596" customWidth="1"/>
    <col min="6406" max="6651" width="9.140625" style="596"/>
    <col min="6652" max="6652" width="0" style="596" hidden="1" customWidth="1"/>
    <col min="6653" max="6653" width="18.28515625" style="596" customWidth="1"/>
    <col min="6654" max="6654" width="9.7109375" style="596" customWidth="1"/>
    <col min="6655" max="6660" width="9.140625" style="596"/>
    <col min="6661" max="6661" width="11.140625" style="596" customWidth="1"/>
    <col min="6662" max="6907" width="9.140625" style="596"/>
    <col min="6908" max="6908" width="0" style="596" hidden="1" customWidth="1"/>
    <col min="6909" max="6909" width="18.28515625" style="596" customWidth="1"/>
    <col min="6910" max="6910" width="9.7109375" style="596" customWidth="1"/>
    <col min="6911" max="6916" width="9.140625" style="596"/>
    <col min="6917" max="6917" width="11.140625" style="596" customWidth="1"/>
    <col min="6918" max="7163" width="9.140625" style="596"/>
    <col min="7164" max="7164" width="0" style="596" hidden="1" customWidth="1"/>
    <col min="7165" max="7165" width="18.28515625" style="596" customWidth="1"/>
    <col min="7166" max="7166" width="9.7109375" style="596" customWidth="1"/>
    <col min="7167" max="7172" width="9.140625" style="596"/>
    <col min="7173" max="7173" width="11.140625" style="596" customWidth="1"/>
    <col min="7174" max="7419" width="9.140625" style="596"/>
    <col min="7420" max="7420" width="0" style="596" hidden="1" customWidth="1"/>
    <col min="7421" max="7421" width="18.28515625" style="596" customWidth="1"/>
    <col min="7422" max="7422" width="9.7109375" style="596" customWidth="1"/>
    <col min="7423" max="7428" width="9.140625" style="596"/>
    <col min="7429" max="7429" width="11.140625" style="596" customWidth="1"/>
    <col min="7430" max="7675" width="9.140625" style="596"/>
    <col min="7676" max="7676" width="0" style="596" hidden="1" customWidth="1"/>
    <col min="7677" max="7677" width="18.28515625" style="596" customWidth="1"/>
    <col min="7678" max="7678" width="9.7109375" style="596" customWidth="1"/>
    <col min="7679" max="7684" width="9.140625" style="596"/>
    <col min="7685" max="7685" width="11.140625" style="596" customWidth="1"/>
    <col min="7686" max="7931" width="9.140625" style="596"/>
    <col min="7932" max="7932" width="0" style="596" hidden="1" customWidth="1"/>
    <col min="7933" max="7933" width="18.28515625" style="596" customWidth="1"/>
    <col min="7934" max="7934" width="9.7109375" style="596" customWidth="1"/>
    <col min="7935" max="7940" width="9.140625" style="596"/>
    <col min="7941" max="7941" width="11.140625" style="596" customWidth="1"/>
    <col min="7942" max="8187" width="9.140625" style="596"/>
    <col min="8188" max="8188" width="0" style="596" hidden="1" customWidth="1"/>
    <col min="8189" max="8189" width="18.28515625" style="596" customWidth="1"/>
    <col min="8190" max="8190" width="9.7109375" style="596" customWidth="1"/>
    <col min="8191" max="8196" width="9.140625" style="596"/>
    <col min="8197" max="8197" width="11.140625" style="596" customWidth="1"/>
    <col min="8198" max="8443" width="9.140625" style="596"/>
    <col min="8444" max="8444" width="0" style="596" hidden="1" customWidth="1"/>
    <col min="8445" max="8445" width="18.28515625" style="596" customWidth="1"/>
    <col min="8446" max="8446" width="9.7109375" style="596" customWidth="1"/>
    <col min="8447" max="8452" width="9.140625" style="596"/>
    <col min="8453" max="8453" width="11.140625" style="596" customWidth="1"/>
    <col min="8454" max="8699" width="9.140625" style="596"/>
    <col min="8700" max="8700" width="0" style="596" hidden="1" customWidth="1"/>
    <col min="8701" max="8701" width="18.28515625" style="596" customWidth="1"/>
    <col min="8702" max="8702" width="9.7109375" style="596" customWidth="1"/>
    <col min="8703" max="8708" width="9.140625" style="596"/>
    <col min="8709" max="8709" width="11.140625" style="596" customWidth="1"/>
    <col min="8710" max="8955" width="9.140625" style="596"/>
    <col min="8956" max="8956" width="0" style="596" hidden="1" customWidth="1"/>
    <col min="8957" max="8957" width="18.28515625" style="596" customWidth="1"/>
    <col min="8958" max="8958" width="9.7109375" style="596" customWidth="1"/>
    <col min="8959" max="8964" width="9.140625" style="596"/>
    <col min="8965" max="8965" width="11.140625" style="596" customWidth="1"/>
    <col min="8966" max="9211" width="9.140625" style="596"/>
    <col min="9212" max="9212" width="0" style="596" hidden="1" customWidth="1"/>
    <col min="9213" max="9213" width="18.28515625" style="596" customWidth="1"/>
    <col min="9214" max="9214" width="9.7109375" style="596" customWidth="1"/>
    <col min="9215" max="9220" width="9.140625" style="596"/>
    <col min="9221" max="9221" width="11.140625" style="596" customWidth="1"/>
    <col min="9222" max="9467" width="9.140625" style="596"/>
    <col min="9468" max="9468" width="0" style="596" hidden="1" customWidth="1"/>
    <col min="9469" max="9469" width="18.28515625" style="596" customWidth="1"/>
    <col min="9470" max="9470" width="9.7109375" style="596" customWidth="1"/>
    <col min="9471" max="9476" width="9.140625" style="596"/>
    <col min="9477" max="9477" width="11.140625" style="596" customWidth="1"/>
    <col min="9478" max="9723" width="9.140625" style="596"/>
    <col min="9724" max="9724" width="0" style="596" hidden="1" customWidth="1"/>
    <col min="9725" max="9725" width="18.28515625" style="596" customWidth="1"/>
    <col min="9726" max="9726" width="9.7109375" style="596" customWidth="1"/>
    <col min="9727" max="9732" width="9.140625" style="596"/>
    <col min="9733" max="9733" width="11.140625" style="596" customWidth="1"/>
    <col min="9734" max="9979" width="9.140625" style="596"/>
    <col min="9980" max="9980" width="0" style="596" hidden="1" customWidth="1"/>
    <col min="9981" max="9981" width="18.28515625" style="596" customWidth="1"/>
    <col min="9982" max="9982" width="9.7109375" style="596" customWidth="1"/>
    <col min="9983" max="9988" width="9.140625" style="596"/>
    <col min="9989" max="9989" width="11.140625" style="596" customWidth="1"/>
    <col min="9990" max="10235" width="9.140625" style="596"/>
    <col min="10236" max="10236" width="0" style="596" hidden="1" customWidth="1"/>
    <col min="10237" max="10237" width="18.28515625" style="596" customWidth="1"/>
    <col min="10238" max="10238" width="9.7109375" style="596" customWidth="1"/>
    <col min="10239" max="10244" width="9.140625" style="596"/>
    <col min="10245" max="10245" width="11.140625" style="596" customWidth="1"/>
    <col min="10246" max="10491" width="9.140625" style="596"/>
    <col min="10492" max="10492" width="0" style="596" hidden="1" customWidth="1"/>
    <col min="10493" max="10493" width="18.28515625" style="596" customWidth="1"/>
    <col min="10494" max="10494" width="9.7109375" style="596" customWidth="1"/>
    <col min="10495" max="10500" width="9.140625" style="596"/>
    <col min="10501" max="10501" width="11.140625" style="596" customWidth="1"/>
    <col min="10502" max="10747" width="9.140625" style="596"/>
    <col min="10748" max="10748" width="0" style="596" hidden="1" customWidth="1"/>
    <col min="10749" max="10749" width="18.28515625" style="596" customWidth="1"/>
    <col min="10750" max="10750" width="9.7109375" style="596" customWidth="1"/>
    <col min="10751" max="10756" width="9.140625" style="596"/>
    <col min="10757" max="10757" width="11.140625" style="596" customWidth="1"/>
    <col min="10758" max="11003" width="9.140625" style="596"/>
    <col min="11004" max="11004" width="0" style="596" hidden="1" customWidth="1"/>
    <col min="11005" max="11005" width="18.28515625" style="596" customWidth="1"/>
    <col min="11006" max="11006" width="9.7109375" style="596" customWidth="1"/>
    <col min="11007" max="11012" width="9.140625" style="596"/>
    <col min="11013" max="11013" width="11.140625" style="596" customWidth="1"/>
    <col min="11014" max="11259" width="9.140625" style="596"/>
    <col min="11260" max="11260" width="0" style="596" hidden="1" customWidth="1"/>
    <col min="11261" max="11261" width="18.28515625" style="596" customWidth="1"/>
    <col min="11262" max="11262" width="9.7109375" style="596" customWidth="1"/>
    <col min="11263" max="11268" width="9.140625" style="596"/>
    <col min="11269" max="11269" width="11.140625" style="596" customWidth="1"/>
    <col min="11270" max="11515" width="9.140625" style="596"/>
    <col min="11516" max="11516" width="0" style="596" hidden="1" customWidth="1"/>
    <col min="11517" max="11517" width="18.28515625" style="596" customWidth="1"/>
    <col min="11518" max="11518" width="9.7109375" style="596" customWidth="1"/>
    <col min="11519" max="11524" width="9.140625" style="596"/>
    <col min="11525" max="11525" width="11.140625" style="596" customWidth="1"/>
    <col min="11526" max="11771" width="9.140625" style="596"/>
    <col min="11772" max="11772" width="0" style="596" hidden="1" customWidth="1"/>
    <col min="11773" max="11773" width="18.28515625" style="596" customWidth="1"/>
    <col min="11774" max="11774" width="9.7109375" style="596" customWidth="1"/>
    <col min="11775" max="11780" width="9.140625" style="596"/>
    <col min="11781" max="11781" width="11.140625" style="596" customWidth="1"/>
    <col min="11782" max="12027" width="9.140625" style="596"/>
    <col min="12028" max="12028" width="0" style="596" hidden="1" customWidth="1"/>
    <col min="12029" max="12029" width="18.28515625" style="596" customWidth="1"/>
    <col min="12030" max="12030" width="9.7109375" style="596" customWidth="1"/>
    <col min="12031" max="12036" width="9.140625" style="596"/>
    <col min="12037" max="12037" width="11.140625" style="596" customWidth="1"/>
    <col min="12038" max="12283" width="9.140625" style="596"/>
    <col min="12284" max="12284" width="0" style="596" hidden="1" customWidth="1"/>
    <col min="12285" max="12285" width="18.28515625" style="596" customWidth="1"/>
    <col min="12286" max="12286" width="9.7109375" style="596" customWidth="1"/>
    <col min="12287" max="12292" width="9.140625" style="596"/>
    <col min="12293" max="12293" width="11.140625" style="596" customWidth="1"/>
    <col min="12294" max="12539" width="9.140625" style="596"/>
    <col min="12540" max="12540" width="0" style="596" hidden="1" customWidth="1"/>
    <col min="12541" max="12541" width="18.28515625" style="596" customWidth="1"/>
    <col min="12542" max="12542" width="9.7109375" style="596" customWidth="1"/>
    <col min="12543" max="12548" width="9.140625" style="596"/>
    <col min="12549" max="12549" width="11.140625" style="596" customWidth="1"/>
    <col min="12550" max="12795" width="9.140625" style="596"/>
    <col min="12796" max="12796" width="0" style="596" hidden="1" customWidth="1"/>
    <col min="12797" max="12797" width="18.28515625" style="596" customWidth="1"/>
    <col min="12798" max="12798" width="9.7109375" style="596" customWidth="1"/>
    <col min="12799" max="12804" width="9.140625" style="596"/>
    <col min="12805" max="12805" width="11.140625" style="596" customWidth="1"/>
    <col min="12806" max="13051" width="9.140625" style="596"/>
    <col min="13052" max="13052" width="0" style="596" hidden="1" customWidth="1"/>
    <col min="13053" max="13053" width="18.28515625" style="596" customWidth="1"/>
    <col min="13054" max="13054" width="9.7109375" style="596" customWidth="1"/>
    <col min="13055" max="13060" width="9.140625" style="596"/>
    <col min="13061" max="13061" width="11.140625" style="596" customWidth="1"/>
    <col min="13062" max="13307" width="9.140625" style="596"/>
    <col min="13308" max="13308" width="0" style="596" hidden="1" customWidth="1"/>
    <col min="13309" max="13309" width="18.28515625" style="596" customWidth="1"/>
    <col min="13310" max="13310" width="9.7109375" style="596" customWidth="1"/>
    <col min="13311" max="13316" width="9.140625" style="596"/>
    <col min="13317" max="13317" width="11.140625" style="596" customWidth="1"/>
    <col min="13318" max="13563" width="9.140625" style="596"/>
    <col min="13564" max="13564" width="0" style="596" hidden="1" customWidth="1"/>
    <col min="13565" max="13565" width="18.28515625" style="596" customWidth="1"/>
    <col min="13566" max="13566" width="9.7109375" style="596" customWidth="1"/>
    <col min="13567" max="13572" width="9.140625" style="596"/>
    <col min="13573" max="13573" width="11.140625" style="596" customWidth="1"/>
    <col min="13574" max="13819" width="9.140625" style="596"/>
    <col min="13820" max="13820" width="0" style="596" hidden="1" customWidth="1"/>
    <col min="13821" max="13821" width="18.28515625" style="596" customWidth="1"/>
    <col min="13822" max="13822" width="9.7109375" style="596" customWidth="1"/>
    <col min="13823" max="13828" width="9.140625" style="596"/>
    <col min="13829" max="13829" width="11.140625" style="596" customWidth="1"/>
    <col min="13830" max="14075" width="9.140625" style="596"/>
    <col min="14076" max="14076" width="0" style="596" hidden="1" customWidth="1"/>
    <col min="14077" max="14077" width="18.28515625" style="596" customWidth="1"/>
    <col min="14078" max="14078" width="9.7109375" style="596" customWidth="1"/>
    <col min="14079" max="14084" width="9.140625" style="596"/>
    <col min="14085" max="14085" width="11.140625" style="596" customWidth="1"/>
    <col min="14086" max="14331" width="9.140625" style="596"/>
    <col min="14332" max="14332" width="0" style="596" hidden="1" customWidth="1"/>
    <col min="14333" max="14333" width="18.28515625" style="596" customWidth="1"/>
    <col min="14334" max="14334" width="9.7109375" style="596" customWidth="1"/>
    <col min="14335" max="14340" width="9.140625" style="596"/>
    <col min="14341" max="14341" width="11.140625" style="596" customWidth="1"/>
    <col min="14342" max="14587" width="9.140625" style="596"/>
    <col min="14588" max="14588" width="0" style="596" hidden="1" customWidth="1"/>
    <col min="14589" max="14589" width="18.28515625" style="596" customWidth="1"/>
    <col min="14590" max="14590" width="9.7109375" style="596" customWidth="1"/>
    <col min="14591" max="14596" width="9.140625" style="596"/>
    <col min="14597" max="14597" width="11.140625" style="596" customWidth="1"/>
    <col min="14598" max="14843" width="9.140625" style="596"/>
    <col min="14844" max="14844" width="0" style="596" hidden="1" customWidth="1"/>
    <col min="14845" max="14845" width="18.28515625" style="596" customWidth="1"/>
    <col min="14846" max="14846" width="9.7109375" style="596" customWidth="1"/>
    <col min="14847" max="14852" width="9.140625" style="596"/>
    <col min="14853" max="14853" width="11.140625" style="596" customWidth="1"/>
    <col min="14854" max="15099" width="9.140625" style="596"/>
    <col min="15100" max="15100" width="0" style="596" hidden="1" customWidth="1"/>
    <col min="15101" max="15101" width="18.28515625" style="596" customWidth="1"/>
    <col min="15102" max="15102" width="9.7109375" style="596" customWidth="1"/>
    <col min="15103" max="15108" width="9.140625" style="596"/>
    <col min="15109" max="15109" width="11.140625" style="596" customWidth="1"/>
    <col min="15110" max="15355" width="9.140625" style="596"/>
    <col min="15356" max="15356" width="0" style="596" hidden="1" customWidth="1"/>
    <col min="15357" max="15357" width="18.28515625" style="596" customWidth="1"/>
    <col min="15358" max="15358" width="9.7109375" style="596" customWidth="1"/>
    <col min="15359" max="15364" width="9.140625" style="596"/>
    <col min="15365" max="15365" width="11.140625" style="596" customWidth="1"/>
    <col min="15366" max="15611" width="9.140625" style="596"/>
    <col min="15612" max="15612" width="0" style="596" hidden="1" customWidth="1"/>
    <col min="15613" max="15613" width="18.28515625" style="596" customWidth="1"/>
    <col min="15614" max="15614" width="9.7109375" style="596" customWidth="1"/>
    <col min="15615" max="15620" width="9.140625" style="596"/>
    <col min="15621" max="15621" width="11.140625" style="596" customWidth="1"/>
    <col min="15622" max="15867" width="9.140625" style="596"/>
    <col min="15868" max="15868" width="0" style="596" hidden="1" customWidth="1"/>
    <col min="15869" max="15869" width="18.28515625" style="596" customWidth="1"/>
    <col min="15870" max="15870" width="9.7109375" style="596" customWidth="1"/>
    <col min="15871" max="15876" width="9.140625" style="596"/>
    <col min="15877" max="15877" width="11.140625" style="596" customWidth="1"/>
    <col min="15878" max="16123" width="9.140625" style="596"/>
    <col min="16124" max="16124" width="0" style="596" hidden="1" customWidth="1"/>
    <col min="16125" max="16125" width="18.28515625" style="596" customWidth="1"/>
    <col min="16126" max="16126" width="9.7109375" style="596" customWidth="1"/>
    <col min="16127" max="16132" width="9.140625" style="596"/>
    <col min="16133" max="16133" width="11.140625" style="596" customWidth="1"/>
    <col min="16134" max="16384" width="9.140625" style="596"/>
  </cols>
  <sheetData>
    <row r="1" spans="1:8" s="635" customFormat="1" ht="15.75" x14ac:dyDescent="0.25">
      <c r="A1" s="633" t="s">
        <v>407</v>
      </c>
      <c r="B1" s="634"/>
      <c r="C1" s="634"/>
      <c r="E1" s="636"/>
      <c r="G1" s="636"/>
    </row>
    <row r="2" spans="1:8" s="635" customFormat="1" ht="13.5" thickBot="1" x14ac:dyDescent="0.3">
      <c r="B2" s="634"/>
      <c r="C2" s="634"/>
      <c r="E2" s="636"/>
      <c r="G2" s="636"/>
    </row>
    <row r="3" spans="1:8" s="635" customFormat="1" ht="13.5" thickBot="1" x14ac:dyDescent="0.3">
      <c r="A3" s="637" t="s">
        <v>382</v>
      </c>
      <c r="B3" s="638"/>
      <c r="C3" s="639" t="s">
        <v>187</v>
      </c>
      <c r="E3" s="636"/>
      <c r="G3" s="636"/>
    </row>
    <row r="4" spans="1:8" s="635" customFormat="1" x14ac:dyDescent="0.25">
      <c r="A4" s="640" t="s">
        <v>383</v>
      </c>
      <c r="B4" s="641"/>
      <c r="C4" s="642">
        <f>[2]Bilance!L31</f>
        <v>287548</v>
      </c>
      <c r="E4" s="636"/>
      <c r="G4" s="636"/>
    </row>
    <row r="5" spans="1:8" s="635" customFormat="1" x14ac:dyDescent="0.25">
      <c r="A5" s="643" t="s">
        <v>384</v>
      </c>
      <c r="B5" s="644"/>
      <c r="C5" s="645">
        <v>-5175</v>
      </c>
      <c r="E5" s="636"/>
      <c r="G5" s="636"/>
    </row>
    <row r="6" spans="1:8" s="635" customFormat="1" x14ac:dyDescent="0.25">
      <c r="A6" s="643" t="s">
        <v>385</v>
      </c>
      <c r="B6" s="644"/>
      <c r="C6" s="645">
        <f>SUM(C4:C5)</f>
        <v>282373</v>
      </c>
      <c r="E6" s="636"/>
      <c r="G6" s="636"/>
    </row>
    <row r="7" spans="1:8" s="635" customFormat="1" x14ac:dyDescent="0.25">
      <c r="A7" s="643" t="s">
        <v>386</v>
      </c>
      <c r="B7" s="644"/>
      <c r="C7" s="645">
        <v>251273</v>
      </c>
      <c r="E7" s="636"/>
      <c r="G7" s="636"/>
    </row>
    <row r="8" spans="1:8" s="635" customFormat="1" x14ac:dyDescent="0.25">
      <c r="A8" s="643" t="s">
        <v>387</v>
      </c>
      <c r="B8" s="644"/>
      <c r="C8" s="645">
        <f>C6-C7</f>
        <v>31100</v>
      </c>
      <c r="E8" s="636"/>
      <c r="G8" s="636"/>
    </row>
    <row r="9" spans="1:8" s="635" customFormat="1" x14ac:dyDescent="0.25">
      <c r="A9" s="643" t="s">
        <v>388</v>
      </c>
      <c r="B9" s="644"/>
      <c r="C9" s="645">
        <v>22504</v>
      </c>
      <c r="E9" s="636"/>
      <c r="G9" s="636"/>
    </row>
    <row r="10" spans="1:8" s="635" customFormat="1" ht="13.5" thickBot="1" x14ac:dyDescent="0.3">
      <c r="A10" s="646" t="s">
        <v>389</v>
      </c>
      <c r="B10" s="647"/>
      <c r="C10" s="648">
        <f>C8-C9</f>
        <v>8596</v>
      </c>
      <c r="D10" s="649"/>
      <c r="E10" s="636"/>
      <c r="G10" s="636"/>
    </row>
    <row r="11" spans="1:8" s="635" customFormat="1" x14ac:dyDescent="0.25">
      <c r="C11" s="634"/>
      <c r="E11" s="636"/>
      <c r="G11" s="636"/>
    </row>
    <row r="12" spans="1:8" s="635" customFormat="1" ht="13.5" thickBot="1" x14ac:dyDescent="0.3">
      <c r="D12" s="634"/>
      <c r="F12" s="636"/>
      <c r="H12" s="713" t="s">
        <v>187</v>
      </c>
    </row>
    <row r="13" spans="1:8" s="635" customFormat="1" ht="26.25" thickBot="1" x14ac:dyDescent="0.3">
      <c r="A13" s="650" t="s">
        <v>185</v>
      </c>
      <c r="B13" s="651" t="s">
        <v>390</v>
      </c>
      <c r="C13" s="652" t="s">
        <v>391</v>
      </c>
      <c r="D13" s="653" t="s">
        <v>392</v>
      </c>
      <c r="E13" s="652" t="s">
        <v>393</v>
      </c>
      <c r="F13" s="653" t="s">
        <v>392</v>
      </c>
      <c r="G13" s="653" t="s">
        <v>394</v>
      </c>
      <c r="H13" s="654" t="s">
        <v>395</v>
      </c>
    </row>
    <row r="14" spans="1:8" s="635" customFormat="1" x14ac:dyDescent="0.2">
      <c r="A14" s="675">
        <v>1100</v>
      </c>
      <c r="B14" s="589" t="s">
        <v>396</v>
      </c>
      <c r="C14" s="655">
        <v>16162</v>
      </c>
      <c r="D14" s="656">
        <v>13</v>
      </c>
      <c r="E14" s="655">
        <f>7657+5175</f>
        <v>12832</v>
      </c>
      <c r="F14" s="656">
        <v>57</v>
      </c>
      <c r="G14" s="655">
        <f t="shared" ref="G14:H39" si="0">C14+E14</f>
        <v>28994</v>
      </c>
      <c r="H14" s="657">
        <f t="shared" si="0"/>
        <v>70</v>
      </c>
    </row>
    <row r="15" spans="1:8" s="635" customFormat="1" x14ac:dyDescent="0.2">
      <c r="A15" s="676">
        <v>1200</v>
      </c>
      <c r="B15" s="590" t="s">
        <v>145</v>
      </c>
      <c r="C15" s="658">
        <v>5851</v>
      </c>
      <c r="D15" s="659">
        <v>4</v>
      </c>
      <c r="E15" s="658">
        <v>1859</v>
      </c>
      <c r="F15" s="659">
        <v>21</v>
      </c>
      <c r="G15" s="658">
        <f t="shared" si="0"/>
        <v>7710</v>
      </c>
      <c r="H15" s="660">
        <f t="shared" si="0"/>
        <v>25</v>
      </c>
    </row>
    <row r="16" spans="1:8" s="635" customFormat="1" x14ac:dyDescent="0.2">
      <c r="A16" s="676">
        <v>1300</v>
      </c>
      <c r="B16" s="590" t="s">
        <v>334</v>
      </c>
      <c r="C16" s="658">
        <v>3459</v>
      </c>
      <c r="D16" s="659">
        <v>2</v>
      </c>
      <c r="E16" s="658">
        <v>306</v>
      </c>
      <c r="F16" s="659">
        <v>5</v>
      </c>
      <c r="G16" s="658">
        <f t="shared" si="0"/>
        <v>3765</v>
      </c>
      <c r="H16" s="660">
        <f t="shared" si="0"/>
        <v>7</v>
      </c>
    </row>
    <row r="17" spans="1:8" s="635" customFormat="1" x14ac:dyDescent="0.2">
      <c r="A17" s="676">
        <v>1400</v>
      </c>
      <c r="B17" s="590" t="s">
        <v>147</v>
      </c>
      <c r="C17" s="658">
        <v>4156</v>
      </c>
      <c r="D17" s="659">
        <v>4</v>
      </c>
      <c r="E17" s="658">
        <v>5702</v>
      </c>
      <c r="F17" s="659">
        <v>57</v>
      </c>
      <c r="G17" s="658">
        <f t="shared" si="0"/>
        <v>9858</v>
      </c>
      <c r="H17" s="660">
        <f t="shared" si="0"/>
        <v>61</v>
      </c>
    </row>
    <row r="18" spans="1:8" s="635" customFormat="1" x14ac:dyDescent="0.2">
      <c r="A18" s="676">
        <v>1500</v>
      </c>
      <c r="B18" s="590" t="s">
        <v>148</v>
      </c>
      <c r="C18" s="658">
        <v>4639</v>
      </c>
      <c r="D18" s="659">
        <v>3</v>
      </c>
      <c r="E18" s="658">
        <v>5349</v>
      </c>
      <c r="F18" s="659">
        <v>48</v>
      </c>
      <c r="G18" s="658">
        <f t="shared" si="0"/>
        <v>9988</v>
      </c>
      <c r="H18" s="660">
        <f t="shared" si="0"/>
        <v>51</v>
      </c>
    </row>
    <row r="19" spans="1:8" s="635" customFormat="1" x14ac:dyDescent="0.2">
      <c r="A19" s="676">
        <v>1600</v>
      </c>
      <c r="B19" s="590" t="s">
        <v>149</v>
      </c>
      <c r="C19" s="658">
        <v>1745</v>
      </c>
      <c r="D19" s="659">
        <v>1</v>
      </c>
      <c r="E19" s="658">
        <v>939</v>
      </c>
      <c r="F19" s="659">
        <v>6</v>
      </c>
      <c r="G19" s="658">
        <f t="shared" si="0"/>
        <v>2684</v>
      </c>
      <c r="H19" s="660">
        <f t="shared" si="0"/>
        <v>7</v>
      </c>
    </row>
    <row r="20" spans="1:8" s="635" customFormat="1" x14ac:dyDescent="0.2">
      <c r="A20" s="676">
        <v>1700</v>
      </c>
      <c r="B20" s="590" t="s">
        <v>150</v>
      </c>
      <c r="C20" s="658">
        <v>3699</v>
      </c>
      <c r="D20" s="659">
        <v>3</v>
      </c>
      <c r="E20" s="658">
        <v>1432</v>
      </c>
      <c r="F20" s="659">
        <v>11</v>
      </c>
      <c r="G20" s="658">
        <f t="shared" si="0"/>
        <v>5131</v>
      </c>
      <c r="H20" s="660">
        <f t="shared" si="0"/>
        <v>14</v>
      </c>
    </row>
    <row r="21" spans="1:8" s="635" customFormat="1" x14ac:dyDescent="0.2">
      <c r="A21" s="676">
        <v>1800</v>
      </c>
      <c r="B21" s="590" t="s">
        <v>151</v>
      </c>
      <c r="C21" s="658">
        <v>4722</v>
      </c>
      <c r="D21" s="659">
        <v>3</v>
      </c>
      <c r="E21" s="658">
        <v>549</v>
      </c>
      <c r="F21" s="659">
        <v>9</v>
      </c>
      <c r="G21" s="658">
        <f t="shared" si="0"/>
        <v>5271</v>
      </c>
      <c r="H21" s="660">
        <f t="shared" si="0"/>
        <v>12</v>
      </c>
    </row>
    <row r="22" spans="1:8" s="635" customFormat="1" x14ac:dyDescent="0.2">
      <c r="A22" s="676">
        <v>1900</v>
      </c>
      <c r="B22" s="590" t="s">
        <v>152</v>
      </c>
      <c r="C22" s="658">
        <v>5538</v>
      </c>
      <c r="D22" s="659">
        <v>4</v>
      </c>
      <c r="E22" s="658">
        <v>451</v>
      </c>
      <c r="F22" s="659">
        <v>4</v>
      </c>
      <c r="G22" s="658">
        <f t="shared" si="0"/>
        <v>5989</v>
      </c>
      <c r="H22" s="660">
        <f t="shared" si="0"/>
        <v>8</v>
      </c>
    </row>
    <row r="23" spans="1:8" s="635" customFormat="1" x14ac:dyDescent="0.2">
      <c r="A23" s="676">
        <v>2100</v>
      </c>
      <c r="B23" s="590" t="s">
        <v>153</v>
      </c>
      <c r="C23" s="658">
        <v>20294</v>
      </c>
      <c r="D23" s="659">
        <v>12</v>
      </c>
      <c r="E23" s="658">
        <v>17238</v>
      </c>
      <c r="F23" s="659">
        <v>103</v>
      </c>
      <c r="G23" s="658">
        <f t="shared" si="0"/>
        <v>37532</v>
      </c>
      <c r="H23" s="660">
        <f t="shared" si="0"/>
        <v>115</v>
      </c>
    </row>
    <row r="24" spans="1:8" s="635" customFormat="1" x14ac:dyDescent="0.2">
      <c r="A24" s="676">
        <v>2200</v>
      </c>
      <c r="B24" s="590" t="s">
        <v>374</v>
      </c>
      <c r="C24" s="658">
        <v>8734</v>
      </c>
      <c r="D24" s="659">
        <v>5</v>
      </c>
      <c r="E24" s="658">
        <v>1798</v>
      </c>
      <c r="F24" s="659">
        <v>11</v>
      </c>
      <c r="G24" s="658">
        <f t="shared" si="0"/>
        <v>10532</v>
      </c>
      <c r="H24" s="660">
        <f t="shared" si="0"/>
        <v>16</v>
      </c>
    </row>
    <row r="25" spans="1:8" s="635" customFormat="1" x14ac:dyDescent="0.2">
      <c r="A25" s="676">
        <v>2300</v>
      </c>
      <c r="B25" s="590" t="s">
        <v>155</v>
      </c>
      <c r="C25" s="658">
        <v>2631</v>
      </c>
      <c r="D25" s="659">
        <v>2</v>
      </c>
      <c r="E25" s="658">
        <v>3415</v>
      </c>
      <c r="F25" s="659">
        <v>24</v>
      </c>
      <c r="G25" s="658">
        <f t="shared" si="0"/>
        <v>6046</v>
      </c>
      <c r="H25" s="660">
        <f t="shared" si="0"/>
        <v>26</v>
      </c>
    </row>
    <row r="26" spans="1:8" s="635" customFormat="1" x14ac:dyDescent="0.2">
      <c r="A26" s="676">
        <v>2400</v>
      </c>
      <c r="B26" s="590" t="s">
        <v>156</v>
      </c>
      <c r="C26" s="658">
        <v>6682</v>
      </c>
      <c r="D26" s="659">
        <v>4</v>
      </c>
      <c r="E26" s="658">
        <v>777</v>
      </c>
      <c r="F26" s="659">
        <v>8</v>
      </c>
      <c r="G26" s="658">
        <f t="shared" si="0"/>
        <v>7459</v>
      </c>
      <c r="H26" s="660">
        <f t="shared" si="0"/>
        <v>12</v>
      </c>
    </row>
    <row r="27" spans="1:8" s="635" customFormat="1" x14ac:dyDescent="0.2">
      <c r="A27" s="676">
        <v>2500</v>
      </c>
      <c r="B27" s="590" t="s">
        <v>157</v>
      </c>
      <c r="C27" s="658">
        <v>7139</v>
      </c>
      <c r="D27" s="659">
        <v>5</v>
      </c>
      <c r="E27" s="658">
        <v>3583</v>
      </c>
      <c r="F27" s="659">
        <v>21</v>
      </c>
      <c r="G27" s="658">
        <f t="shared" si="0"/>
        <v>10722</v>
      </c>
      <c r="H27" s="660">
        <f t="shared" si="0"/>
        <v>26</v>
      </c>
    </row>
    <row r="28" spans="1:8" s="635" customFormat="1" x14ac:dyDescent="0.2">
      <c r="A28" s="676">
        <v>2600</v>
      </c>
      <c r="B28" s="590" t="s">
        <v>158</v>
      </c>
      <c r="C28" s="658">
        <v>21937</v>
      </c>
      <c r="D28" s="659">
        <v>14</v>
      </c>
      <c r="E28" s="658">
        <v>23965</v>
      </c>
      <c r="F28" s="659">
        <v>133</v>
      </c>
      <c r="G28" s="658">
        <f t="shared" si="0"/>
        <v>45902</v>
      </c>
      <c r="H28" s="660">
        <f t="shared" si="0"/>
        <v>147</v>
      </c>
    </row>
    <row r="29" spans="1:8" s="635" customFormat="1" x14ac:dyDescent="0.2">
      <c r="A29" s="676">
        <v>2700</v>
      </c>
      <c r="B29" s="590" t="s">
        <v>375</v>
      </c>
      <c r="C29" s="658">
        <v>15597</v>
      </c>
      <c r="D29" s="659">
        <v>11</v>
      </c>
      <c r="E29" s="658">
        <v>6173</v>
      </c>
      <c r="F29" s="659">
        <v>42</v>
      </c>
      <c r="G29" s="658">
        <f t="shared" si="0"/>
        <v>21770</v>
      </c>
      <c r="H29" s="660">
        <f t="shared" si="0"/>
        <v>53</v>
      </c>
    </row>
    <row r="30" spans="1:8" s="635" customFormat="1" x14ac:dyDescent="0.2">
      <c r="A30" s="676">
        <v>2800</v>
      </c>
      <c r="B30" s="590" t="s">
        <v>160</v>
      </c>
      <c r="C30" s="658">
        <v>5245</v>
      </c>
      <c r="D30" s="659">
        <v>3</v>
      </c>
      <c r="E30" s="658">
        <v>551</v>
      </c>
      <c r="F30" s="659">
        <v>3</v>
      </c>
      <c r="G30" s="658">
        <f t="shared" si="0"/>
        <v>5796</v>
      </c>
      <c r="H30" s="660">
        <f t="shared" si="0"/>
        <v>6</v>
      </c>
    </row>
    <row r="31" spans="1:8" s="635" customFormat="1" x14ac:dyDescent="0.2">
      <c r="A31" s="676">
        <v>3100</v>
      </c>
      <c r="B31" s="590" t="s">
        <v>161</v>
      </c>
      <c r="C31" s="661">
        <v>488</v>
      </c>
      <c r="D31" s="659">
        <v>1</v>
      </c>
      <c r="E31" s="658">
        <v>360</v>
      </c>
      <c r="F31" s="659">
        <v>4</v>
      </c>
      <c r="G31" s="658">
        <f t="shared" si="0"/>
        <v>848</v>
      </c>
      <c r="H31" s="660">
        <f t="shared" si="0"/>
        <v>5</v>
      </c>
    </row>
    <row r="32" spans="1:8" s="635" customFormat="1" x14ac:dyDescent="0.2">
      <c r="A32" s="676">
        <v>4100</v>
      </c>
      <c r="B32" s="590" t="s">
        <v>162</v>
      </c>
      <c r="C32" s="658">
        <v>7463</v>
      </c>
      <c r="D32" s="659">
        <v>6</v>
      </c>
      <c r="E32" s="658">
        <v>3008</v>
      </c>
      <c r="F32" s="659">
        <v>27</v>
      </c>
      <c r="G32" s="658">
        <f t="shared" si="0"/>
        <v>10471</v>
      </c>
      <c r="H32" s="660">
        <f t="shared" si="0"/>
        <v>33</v>
      </c>
    </row>
    <row r="33" spans="1:8" s="635" customFormat="1" x14ac:dyDescent="0.2">
      <c r="A33" s="676">
        <v>4300</v>
      </c>
      <c r="B33" s="590" t="s">
        <v>163</v>
      </c>
      <c r="C33" s="658">
        <v>9393</v>
      </c>
      <c r="D33" s="659">
        <v>6</v>
      </c>
      <c r="E33" s="658">
        <v>1623</v>
      </c>
      <c r="F33" s="659">
        <v>18</v>
      </c>
      <c r="G33" s="658">
        <f t="shared" si="0"/>
        <v>11016</v>
      </c>
      <c r="H33" s="660">
        <f t="shared" si="0"/>
        <v>24</v>
      </c>
    </row>
    <row r="34" spans="1:8" s="635" customFormat="1" x14ac:dyDescent="0.2">
      <c r="A34" s="676">
        <v>5100</v>
      </c>
      <c r="B34" s="590" t="s">
        <v>164</v>
      </c>
      <c r="C34" s="658">
        <v>2872</v>
      </c>
      <c r="D34" s="659">
        <v>3</v>
      </c>
      <c r="E34" s="658">
        <v>1560</v>
      </c>
      <c r="F34" s="659">
        <v>12</v>
      </c>
      <c r="G34" s="658">
        <f t="shared" si="0"/>
        <v>4432</v>
      </c>
      <c r="H34" s="660">
        <f t="shared" si="0"/>
        <v>15</v>
      </c>
    </row>
    <row r="35" spans="1:8" s="635" customFormat="1" x14ac:dyDescent="0.2">
      <c r="A35" s="676">
        <v>5200</v>
      </c>
      <c r="B35" s="590" t="s">
        <v>165</v>
      </c>
      <c r="C35" s="658">
        <v>0</v>
      </c>
      <c r="D35" s="659">
        <v>0</v>
      </c>
      <c r="E35" s="658">
        <v>200</v>
      </c>
      <c r="F35" s="659">
        <v>1</v>
      </c>
      <c r="G35" s="658">
        <f t="shared" si="0"/>
        <v>200</v>
      </c>
      <c r="H35" s="660">
        <f t="shared" si="0"/>
        <v>1</v>
      </c>
    </row>
    <row r="36" spans="1:8" s="635" customFormat="1" x14ac:dyDescent="0.2">
      <c r="A36" s="676">
        <v>5300</v>
      </c>
      <c r="B36" s="590" t="s">
        <v>166</v>
      </c>
      <c r="C36" s="661">
        <v>0</v>
      </c>
      <c r="D36" s="659">
        <v>0</v>
      </c>
      <c r="E36" s="658">
        <v>208</v>
      </c>
      <c r="F36" s="659">
        <v>2</v>
      </c>
      <c r="G36" s="658">
        <f t="shared" si="0"/>
        <v>208</v>
      </c>
      <c r="H36" s="660">
        <f t="shared" si="0"/>
        <v>2</v>
      </c>
    </row>
    <row r="37" spans="1:8" s="635" customFormat="1" x14ac:dyDescent="0.2">
      <c r="A37" s="676">
        <v>5400</v>
      </c>
      <c r="B37" s="590" t="s">
        <v>167</v>
      </c>
      <c r="C37" s="658">
        <v>3381</v>
      </c>
      <c r="D37" s="659">
        <v>2</v>
      </c>
      <c r="E37" s="658">
        <v>513</v>
      </c>
      <c r="F37" s="659">
        <v>5</v>
      </c>
      <c r="G37" s="658">
        <f t="shared" si="0"/>
        <v>3894</v>
      </c>
      <c r="H37" s="660">
        <f t="shared" si="0"/>
        <v>7</v>
      </c>
    </row>
    <row r="38" spans="1:8" s="635" customFormat="1" x14ac:dyDescent="0.2">
      <c r="A38" s="676">
        <v>5500</v>
      </c>
      <c r="B38" s="590" t="s">
        <v>168</v>
      </c>
      <c r="C38" s="658">
        <v>0</v>
      </c>
      <c r="D38" s="659">
        <v>0</v>
      </c>
      <c r="E38" s="658">
        <v>110</v>
      </c>
      <c r="F38" s="659">
        <v>1</v>
      </c>
      <c r="G38" s="658">
        <f t="shared" si="0"/>
        <v>110</v>
      </c>
      <c r="H38" s="660">
        <f t="shared" si="0"/>
        <v>1</v>
      </c>
    </row>
    <row r="39" spans="1:8" s="635" customFormat="1" x14ac:dyDescent="0.2">
      <c r="A39" s="676">
        <v>5600</v>
      </c>
      <c r="B39" s="621" t="s">
        <v>397</v>
      </c>
      <c r="C39" s="662">
        <v>0</v>
      </c>
      <c r="D39" s="663">
        <v>0</v>
      </c>
      <c r="E39" s="662">
        <v>120</v>
      </c>
      <c r="F39" s="663">
        <v>2</v>
      </c>
      <c r="G39" s="662">
        <f t="shared" si="0"/>
        <v>120</v>
      </c>
      <c r="H39" s="664">
        <f t="shared" si="0"/>
        <v>2</v>
      </c>
    </row>
    <row r="40" spans="1:8" s="635" customFormat="1" ht="12.75" customHeight="1" thickBot="1" x14ac:dyDescent="0.3">
      <c r="A40" s="665"/>
      <c r="B40" s="677" t="s">
        <v>398</v>
      </c>
      <c r="C40" s="666">
        <v>22504</v>
      </c>
      <c r="D40" s="667"/>
      <c r="E40" s="666">
        <v>8596</v>
      </c>
      <c r="F40" s="667"/>
      <c r="G40" s="662">
        <f t="shared" ref="G40:H40" si="1">C40+E40</f>
        <v>31100</v>
      </c>
      <c r="H40" s="668">
        <f t="shared" si="1"/>
        <v>0</v>
      </c>
    </row>
    <row r="41" spans="1:8" s="635" customFormat="1" ht="13.5" thickBot="1" x14ac:dyDescent="0.3">
      <c r="A41" s="669"/>
      <c r="B41" s="670" t="s">
        <v>71</v>
      </c>
      <c r="C41" s="671">
        <f t="shared" ref="C41:H41" si="2">SUM(C14:C40)</f>
        <v>184331</v>
      </c>
      <c r="D41" s="672">
        <f t="shared" si="2"/>
        <v>111</v>
      </c>
      <c r="E41" s="671">
        <f t="shared" si="2"/>
        <v>103217</v>
      </c>
      <c r="F41" s="651">
        <f t="shared" si="2"/>
        <v>635</v>
      </c>
      <c r="G41" s="673">
        <f t="shared" si="2"/>
        <v>287548</v>
      </c>
      <c r="H41" s="674">
        <f t="shared" si="2"/>
        <v>746</v>
      </c>
    </row>
    <row r="42" spans="1:8" s="635" customFormat="1" x14ac:dyDescent="0.25">
      <c r="B42" s="634"/>
      <c r="D42" s="636"/>
      <c r="F42" s="636"/>
    </row>
    <row r="43" spans="1:8" s="635" customFormat="1" ht="12.75" customHeight="1" x14ac:dyDescent="0.25">
      <c r="A43" s="1055" t="str">
        <f>"*) NIV UK zahrnuje i dotaci pro Agenturu Rady VŠ na činnost FRVŠ ve výši "&amp;-C5&amp;" tis. Kč (1,8 % ukazatele G= "&amp;G41&amp;" tis. Kč) "</f>
        <v xml:space="preserve">*) NIV UK zahrnuje i dotaci pro Agenturu Rady VŠ na činnost FRVŠ ve výši 5175 tis. Kč (1,8 % ukazatele G= 287548 tis. Kč) </v>
      </c>
      <c r="B43" s="1055"/>
      <c r="C43" s="1055"/>
      <c r="D43" s="1055"/>
      <c r="E43" s="1055"/>
      <c r="F43" s="1055"/>
      <c r="G43" s="636"/>
      <c r="H43" s="636"/>
    </row>
    <row r="44" spans="1:8" s="635" customFormat="1" x14ac:dyDescent="0.25">
      <c r="A44" s="1055"/>
      <c r="B44" s="1055"/>
      <c r="C44" s="1055"/>
      <c r="D44" s="1055"/>
      <c r="E44" s="1055"/>
      <c r="F44" s="1055"/>
      <c r="G44" s="636"/>
      <c r="H44" s="636"/>
    </row>
    <row r="45" spans="1:8" s="635" customFormat="1" x14ac:dyDescent="0.25">
      <c r="C45" s="634"/>
      <c r="E45" s="636"/>
      <c r="G45" s="636"/>
    </row>
    <row r="46" spans="1:8" s="635" customFormat="1" x14ac:dyDescent="0.25">
      <c r="C46" s="634"/>
      <c r="E46" s="636"/>
      <c r="G46" s="636"/>
    </row>
  </sheetData>
  <mergeCells count="1">
    <mergeCell ref="A43:F44"/>
  </mergeCells>
  <printOptions horizontalCentered="1"/>
  <pageMargins left="0.51181102362204722" right="0.55118110236220474" top="0.78740157480314965" bottom="0.19685039370078741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Z39"/>
  <sheetViews>
    <sheetView topLeftCell="C1" zoomScale="84" zoomScaleNormal="84" workbookViewId="0">
      <selection activeCell="H51" sqref="H51"/>
    </sheetView>
  </sheetViews>
  <sheetFormatPr defaultRowHeight="12.75" x14ac:dyDescent="0.25"/>
  <cols>
    <col min="1" max="1" width="10.5703125" style="389" customWidth="1"/>
    <col min="2" max="2" width="10.28515625" style="389" customWidth="1"/>
    <col min="3" max="3" width="10" style="389" customWidth="1"/>
    <col min="4" max="4" width="9.140625" style="389" customWidth="1"/>
    <col min="5" max="5" width="9.42578125" style="389" customWidth="1"/>
    <col min="6" max="6" width="9.5703125" style="389" customWidth="1"/>
    <col min="7" max="7" width="10.5703125" style="389" customWidth="1"/>
    <col min="8" max="8" width="8.5703125" style="389" customWidth="1"/>
    <col min="9" max="9" width="2.42578125" style="389" customWidth="1"/>
    <col min="10" max="10" width="10.28515625" style="389" customWidth="1"/>
    <col min="11" max="11" width="10.5703125" style="389" customWidth="1"/>
    <col min="12" max="12" width="10" style="389" customWidth="1"/>
    <col min="13" max="13" width="9.85546875" style="389" customWidth="1"/>
    <col min="14" max="14" width="9.42578125" style="389" customWidth="1"/>
    <col min="15" max="15" width="10.28515625" style="389" customWidth="1"/>
    <col min="16" max="16" width="8.85546875" style="389" customWidth="1"/>
    <col min="17" max="17" width="2.28515625" style="389" customWidth="1"/>
    <col min="18" max="19" width="10.5703125" style="389" customWidth="1"/>
    <col min="20" max="20" width="10.85546875" style="389" customWidth="1"/>
    <col min="21" max="21" width="9.5703125" style="389" customWidth="1"/>
    <col min="22" max="22" width="10.140625" style="389" customWidth="1"/>
    <col min="23" max="23" width="10.7109375" style="389" customWidth="1"/>
    <col min="24" max="24" width="8.7109375" style="389" customWidth="1"/>
    <col min="25" max="25" width="5.42578125" style="389" customWidth="1"/>
    <col min="26" max="16384" width="9.140625" style="389"/>
  </cols>
  <sheetData>
    <row r="1" spans="1:26" ht="19.5" x14ac:dyDescent="0.25">
      <c r="A1" s="406" t="s">
        <v>314</v>
      </c>
    </row>
    <row r="3" spans="1:26" x14ac:dyDescent="0.25">
      <c r="A3" s="388"/>
      <c r="B3" s="391"/>
      <c r="C3" s="391"/>
    </row>
    <row r="4" spans="1:26" ht="39.75" customHeight="1" x14ac:dyDescent="0.25">
      <c r="A4" s="966" t="s">
        <v>409</v>
      </c>
      <c r="B4" s="966"/>
      <c r="C4" s="966"/>
      <c r="D4" s="966"/>
      <c r="E4" s="966"/>
      <c r="F4" s="966"/>
      <c r="G4" s="966"/>
      <c r="H4" s="966"/>
      <c r="J4" s="967" t="s">
        <v>410</v>
      </c>
      <c r="K4" s="967"/>
      <c r="L4" s="967"/>
      <c r="M4" s="967"/>
      <c r="N4" s="967"/>
      <c r="O4" s="967"/>
      <c r="P4" s="967"/>
      <c r="R4" s="968" t="s">
        <v>399</v>
      </c>
      <c r="S4" s="968"/>
      <c r="T4" s="968"/>
      <c r="U4" s="968"/>
      <c r="V4" s="968"/>
      <c r="W4" s="968"/>
      <c r="X4" s="968"/>
    </row>
    <row r="5" spans="1:26" x14ac:dyDescent="0.25">
      <c r="A5" s="388"/>
      <c r="J5" s="388"/>
      <c r="R5" s="388"/>
    </row>
    <row r="6" spans="1:26" x14ac:dyDescent="0.25">
      <c r="A6" s="944" t="s">
        <v>297</v>
      </c>
      <c r="B6" s="945"/>
      <c r="C6" s="392">
        <v>13288205</v>
      </c>
      <c r="D6" s="393" t="s">
        <v>187</v>
      </c>
      <c r="J6" s="969" t="s">
        <v>297</v>
      </c>
      <c r="K6" s="970"/>
      <c r="L6" s="394">
        <f>L8*0.8</f>
        <v>12382584</v>
      </c>
      <c r="M6" s="393" t="s">
        <v>187</v>
      </c>
      <c r="R6" s="390"/>
    </row>
    <row r="7" spans="1:26" x14ac:dyDescent="0.25">
      <c r="A7" s="944" t="s">
        <v>296</v>
      </c>
      <c r="B7" s="945"/>
      <c r="C7" s="392">
        <v>1655202</v>
      </c>
      <c r="D7" s="393" t="s">
        <v>187</v>
      </c>
      <c r="J7" s="944" t="s">
        <v>295</v>
      </c>
      <c r="K7" s="945"/>
      <c r="L7" s="394">
        <f>L8*0.2</f>
        <v>3095646</v>
      </c>
      <c r="M7" s="393" t="s">
        <v>187</v>
      </c>
      <c r="R7" s="388"/>
    </row>
    <row r="8" spans="1:26" x14ac:dyDescent="0.25">
      <c r="A8" s="944" t="s">
        <v>294</v>
      </c>
      <c r="B8" s="945"/>
      <c r="C8" s="392">
        <v>1655202</v>
      </c>
      <c r="D8" s="393" t="s">
        <v>187</v>
      </c>
      <c r="J8" s="971" t="s">
        <v>71</v>
      </c>
      <c r="K8" s="972"/>
      <c r="L8" s="394">
        <f>O39</f>
        <v>15478230</v>
      </c>
      <c r="M8" s="393" t="s">
        <v>187</v>
      </c>
      <c r="R8" s="388"/>
    </row>
    <row r="9" spans="1:26" x14ac:dyDescent="0.25">
      <c r="A9" s="944" t="s">
        <v>71</v>
      </c>
      <c r="B9" s="945"/>
      <c r="C9" s="392">
        <v>16598609</v>
      </c>
      <c r="D9" s="393" t="s">
        <v>187</v>
      </c>
      <c r="R9" s="388"/>
    </row>
    <row r="10" spans="1:26" ht="13.5" thickBot="1" x14ac:dyDescent="0.3"/>
    <row r="11" spans="1:26" s="395" customFormat="1" ht="19.5" customHeight="1" x14ac:dyDescent="0.25">
      <c r="A11" s="948" t="s">
        <v>287</v>
      </c>
      <c r="B11" s="950" t="s">
        <v>286</v>
      </c>
      <c r="C11" s="952" t="s">
        <v>290</v>
      </c>
      <c r="D11" s="954" t="s">
        <v>293</v>
      </c>
      <c r="E11" s="954" t="s">
        <v>292</v>
      </c>
      <c r="F11" s="958" t="s">
        <v>291</v>
      </c>
      <c r="G11" s="956" t="s">
        <v>71</v>
      </c>
      <c r="H11" s="964" t="s">
        <v>299</v>
      </c>
      <c r="J11" s="938" t="s">
        <v>287</v>
      </c>
      <c r="K11" s="950" t="s">
        <v>286</v>
      </c>
      <c r="L11" s="952" t="s">
        <v>290</v>
      </c>
      <c r="M11" s="954" t="s">
        <v>289</v>
      </c>
      <c r="N11" s="952" t="s">
        <v>288</v>
      </c>
      <c r="O11" s="960" t="s">
        <v>71</v>
      </c>
      <c r="P11" s="962" t="s">
        <v>299</v>
      </c>
      <c r="R11" s="946" t="s">
        <v>287</v>
      </c>
      <c r="S11" s="942" t="s">
        <v>317</v>
      </c>
      <c r="T11" s="936" t="s">
        <v>318</v>
      </c>
      <c r="U11" s="936" t="s">
        <v>319</v>
      </c>
      <c r="V11" s="936" t="s">
        <v>315</v>
      </c>
      <c r="W11" s="936" t="s">
        <v>316</v>
      </c>
      <c r="X11" s="940" t="s">
        <v>298</v>
      </c>
    </row>
    <row r="12" spans="1:26" s="396" customFormat="1" ht="39" customHeight="1" thickBot="1" x14ac:dyDescent="0.3">
      <c r="A12" s="949"/>
      <c r="B12" s="951"/>
      <c r="C12" s="953"/>
      <c r="D12" s="955"/>
      <c r="E12" s="955"/>
      <c r="F12" s="959"/>
      <c r="G12" s="957"/>
      <c r="H12" s="965"/>
      <c r="J12" s="939"/>
      <c r="K12" s="951"/>
      <c r="L12" s="953"/>
      <c r="M12" s="955"/>
      <c r="N12" s="953"/>
      <c r="O12" s="961"/>
      <c r="P12" s="963"/>
      <c r="R12" s="947"/>
      <c r="S12" s="943"/>
      <c r="T12" s="937"/>
      <c r="U12" s="937"/>
      <c r="V12" s="937"/>
      <c r="W12" s="937" t="s">
        <v>285</v>
      </c>
      <c r="X12" s="941"/>
    </row>
    <row r="13" spans="1:26" ht="12.95" customHeight="1" x14ac:dyDescent="0.25">
      <c r="A13" s="355" t="s">
        <v>80</v>
      </c>
      <c r="B13" s="356">
        <v>1880536</v>
      </c>
      <c r="C13" s="357">
        <f t="shared" ref="C13:C38" si="0">B13/B$39</f>
        <v>0.14151918938637686</v>
      </c>
      <c r="D13" s="358">
        <v>256471</v>
      </c>
      <c r="E13" s="359">
        <v>485248</v>
      </c>
      <c r="F13" s="360">
        <f t="shared" ref="F13:F38" si="1">(D13+E13)/(D$39*2)</f>
        <v>0.22405694289881234</v>
      </c>
      <c r="G13" s="412">
        <f>B13+D13+E13</f>
        <v>2622255</v>
      </c>
      <c r="H13" s="362">
        <f>G13/G$39</f>
        <v>0.15798040667142652</v>
      </c>
      <c r="J13" s="355" t="s">
        <v>80</v>
      </c>
      <c r="K13" s="356">
        <f>Tab.3_A!L20</f>
        <v>1771459</v>
      </c>
      <c r="L13" s="357">
        <f t="shared" ref="L13:L38" si="2">K13/K$39</f>
        <v>0.14306052759262525</v>
      </c>
      <c r="M13" s="361">
        <f>Tab.4_K!BG9</f>
        <v>710850.22226553492</v>
      </c>
      <c r="N13" s="357">
        <f t="shared" ref="N13:N38" si="3">M13/M$39</f>
        <v>0.22962904100324616</v>
      </c>
      <c r="O13" s="416">
        <f>K13+M13</f>
        <v>2482309.222265535</v>
      </c>
      <c r="P13" s="363">
        <f>O13/O$39</f>
        <v>0.16037423027474945</v>
      </c>
      <c r="Q13" s="397"/>
      <c r="R13" s="398" t="s">
        <v>80</v>
      </c>
      <c r="S13" s="408">
        <f t="shared" ref="S13:S38" si="4">L13-C13</f>
        <v>1.5413382062483827E-3</v>
      </c>
      <c r="T13" s="401">
        <f t="shared" ref="T13:T38" si="5">N13-F13</f>
        <v>5.5720981044338203E-3</v>
      </c>
      <c r="U13" s="401">
        <f>P13-H13</f>
        <v>2.3938236033229365E-3</v>
      </c>
      <c r="V13" s="402">
        <f t="shared" ref="V13:V38" si="6">O13-G13</f>
        <v>-139945.77773446497</v>
      </c>
      <c r="W13" s="407">
        <f t="shared" ref="W13:W39" si="7">O13/G13-1</f>
        <v>-5.3368485419787559E-2</v>
      </c>
      <c r="X13" s="409">
        <f t="shared" ref="X13:X38" si="8">W13-$W$39</f>
        <v>1.4129881461437233E-2</v>
      </c>
      <c r="Z13" s="391"/>
    </row>
    <row r="14" spans="1:26" ht="12.95" customHeight="1" x14ac:dyDescent="0.25">
      <c r="A14" s="364" t="s">
        <v>81</v>
      </c>
      <c r="B14" s="365">
        <v>479305</v>
      </c>
      <c r="C14" s="366">
        <f t="shared" si="0"/>
        <v>3.6069958282552085E-2</v>
      </c>
      <c r="D14" s="367">
        <v>65937</v>
      </c>
      <c r="E14" s="368">
        <v>39762</v>
      </c>
      <c r="F14" s="369">
        <f t="shared" si="1"/>
        <v>3.1929335513127703E-2</v>
      </c>
      <c r="G14" s="413">
        <f t="shared" ref="G14:G39" si="9">B14+D14+E14</f>
        <v>585004</v>
      </c>
      <c r="H14" s="371">
        <f t="shared" ref="H14:H39" si="10">G14/G$39</f>
        <v>3.524415810987535E-2</v>
      </c>
      <c r="J14" s="364" t="s">
        <v>81</v>
      </c>
      <c r="K14" s="365">
        <f>Tab.3_A!L26</f>
        <v>438883</v>
      </c>
      <c r="L14" s="366">
        <f t="shared" si="2"/>
        <v>3.5443571390268783E-2</v>
      </c>
      <c r="M14" s="370">
        <f>Tab.4_K!BG10</f>
        <v>93945.78865604724</v>
      </c>
      <c r="N14" s="366">
        <f t="shared" si="3"/>
        <v>3.0347716972821581E-2</v>
      </c>
      <c r="O14" s="417">
        <f t="shared" ref="O14:O39" si="11">K14+M14</f>
        <v>532828.7886560472</v>
      </c>
      <c r="P14" s="372">
        <f t="shared" ref="P14:P38" si="12">O14/O$39</f>
        <v>3.4424400506779342E-2</v>
      </c>
      <c r="Q14" s="399"/>
      <c r="R14" s="400" t="s">
        <v>81</v>
      </c>
      <c r="S14" s="408">
        <f t="shared" si="4"/>
        <v>-6.2638689228330241E-4</v>
      </c>
      <c r="T14" s="401">
        <f t="shared" si="5"/>
        <v>-1.5816185403061227E-3</v>
      </c>
      <c r="U14" s="401">
        <f>P14-H14</f>
        <v>-8.1975760309600798E-4</v>
      </c>
      <c r="V14" s="402">
        <f t="shared" si="6"/>
        <v>-52175.211343952804</v>
      </c>
      <c r="W14" s="407">
        <f t="shared" si="7"/>
        <v>-8.9187785628735528E-2</v>
      </c>
      <c r="X14" s="409">
        <f t="shared" si="8"/>
        <v>-2.1689418747510736E-2</v>
      </c>
      <c r="Z14" s="391"/>
    </row>
    <row r="15" spans="1:26" ht="12.95" customHeight="1" x14ac:dyDescent="0.25">
      <c r="A15" s="364" t="s">
        <v>82</v>
      </c>
      <c r="B15" s="365">
        <v>382258</v>
      </c>
      <c r="C15" s="366">
        <f t="shared" si="0"/>
        <v>2.8766714541204021E-2</v>
      </c>
      <c r="D15" s="367">
        <v>46524</v>
      </c>
      <c r="E15" s="368">
        <v>14384</v>
      </c>
      <c r="F15" s="369">
        <f t="shared" si="1"/>
        <v>1.839896278520688E-2</v>
      </c>
      <c r="G15" s="413">
        <f t="shared" si="9"/>
        <v>443166</v>
      </c>
      <c r="H15" s="371">
        <f t="shared" si="10"/>
        <v>2.6698984234160825E-2</v>
      </c>
      <c r="J15" s="364" t="s">
        <v>82</v>
      </c>
      <c r="K15" s="365">
        <f>Tab.3_A!L32</f>
        <v>359392</v>
      </c>
      <c r="L15" s="366">
        <f t="shared" si="2"/>
        <v>2.9023990469194474E-2</v>
      </c>
      <c r="M15" s="370">
        <f>Tab.4_K!BG11</f>
        <v>56512.387765948173</v>
      </c>
      <c r="N15" s="366">
        <f t="shared" si="3"/>
        <v>1.8255442568674899E-2</v>
      </c>
      <c r="O15" s="417">
        <f t="shared" si="11"/>
        <v>415904.3877659482</v>
      </c>
      <c r="P15" s="372">
        <f t="shared" si="12"/>
        <v>2.6870280889090561E-2</v>
      </c>
      <c r="Q15" s="399"/>
      <c r="R15" s="400" t="s">
        <v>82</v>
      </c>
      <c r="S15" s="408">
        <f t="shared" si="4"/>
        <v>2.572759279904531E-4</v>
      </c>
      <c r="T15" s="401">
        <f t="shared" si="5"/>
        <v>-1.4352021653198099E-4</v>
      </c>
      <c r="U15" s="401">
        <f t="shared" ref="U15:U39" si="13">P15-H15</f>
        <v>1.7129665492973678E-4</v>
      </c>
      <c r="V15" s="402">
        <f t="shared" si="6"/>
        <v>-27261.612234051805</v>
      </c>
      <c r="W15" s="407">
        <f t="shared" si="7"/>
        <v>-6.1515577084098938E-2</v>
      </c>
      <c r="X15" s="409">
        <f t="shared" si="8"/>
        <v>5.9827897971258537E-3</v>
      </c>
      <c r="Z15" s="391"/>
    </row>
    <row r="16" spans="1:26" ht="12.95" customHeight="1" x14ac:dyDescent="0.25">
      <c r="A16" s="364" t="s">
        <v>83</v>
      </c>
      <c r="B16" s="365">
        <v>1432255</v>
      </c>
      <c r="C16" s="366">
        <f t="shared" si="0"/>
        <v>0.10778393319488976</v>
      </c>
      <c r="D16" s="367">
        <v>168409</v>
      </c>
      <c r="E16" s="368">
        <v>205793</v>
      </c>
      <c r="F16" s="369">
        <f t="shared" si="1"/>
        <v>0.1130381669427659</v>
      </c>
      <c r="G16" s="413">
        <f t="shared" si="9"/>
        <v>1806457</v>
      </c>
      <c r="H16" s="371">
        <f t="shared" si="10"/>
        <v>0.10883183042627247</v>
      </c>
      <c r="J16" s="364" t="s">
        <v>83</v>
      </c>
      <c r="K16" s="365">
        <f>Tab.3_A!L38</f>
        <v>1364381</v>
      </c>
      <c r="L16" s="366">
        <f t="shared" si="2"/>
        <v>0.11018548309464325</v>
      </c>
      <c r="M16" s="370">
        <f>Tab.4_K!BG12</f>
        <v>380140.44396596262</v>
      </c>
      <c r="N16" s="366">
        <f t="shared" si="3"/>
        <v>0.12279842203080153</v>
      </c>
      <c r="O16" s="417">
        <f t="shared" si="11"/>
        <v>1744521.4439659626</v>
      </c>
      <c r="P16" s="372">
        <f t="shared" si="12"/>
        <v>0.1127080708818749</v>
      </c>
      <c r="Q16" s="399"/>
      <c r="R16" s="400" t="s">
        <v>83</v>
      </c>
      <c r="S16" s="408">
        <f t="shared" si="4"/>
        <v>2.4015498997534968E-3</v>
      </c>
      <c r="T16" s="401">
        <f t="shared" si="5"/>
        <v>9.7602550880356298E-3</v>
      </c>
      <c r="U16" s="401">
        <f t="shared" si="13"/>
        <v>3.8762404556024338E-3</v>
      </c>
      <c r="V16" s="402">
        <f t="shared" si="6"/>
        <v>-61935.556034037378</v>
      </c>
      <c r="W16" s="407">
        <f t="shared" si="7"/>
        <v>-3.42856519884156E-2</v>
      </c>
      <c r="X16" s="409">
        <f t="shared" si="8"/>
        <v>3.3212714892809192E-2</v>
      </c>
      <c r="Z16" s="391"/>
    </row>
    <row r="17" spans="1:26" ht="12.95" customHeight="1" x14ac:dyDescent="0.25">
      <c r="A17" s="364" t="s">
        <v>84</v>
      </c>
      <c r="B17" s="365">
        <v>805049</v>
      </c>
      <c r="C17" s="366">
        <f t="shared" si="0"/>
        <v>6.0583728201062524E-2</v>
      </c>
      <c r="D17" s="367">
        <v>116778</v>
      </c>
      <c r="E17" s="368">
        <v>103352</v>
      </c>
      <c r="F17" s="369">
        <f t="shared" si="1"/>
        <v>6.6496415543238832E-2</v>
      </c>
      <c r="G17" s="413">
        <f t="shared" si="9"/>
        <v>1025179</v>
      </c>
      <c r="H17" s="371">
        <f t="shared" si="10"/>
        <v>6.1762946521603107E-2</v>
      </c>
      <c r="J17" s="364" t="s">
        <v>84</v>
      </c>
      <c r="K17" s="365">
        <f>Tab.3_A!L44</f>
        <v>769172</v>
      </c>
      <c r="L17" s="366">
        <f t="shared" si="2"/>
        <v>6.2117244672032911E-2</v>
      </c>
      <c r="M17" s="370">
        <f>Tab.4_K!BG13</f>
        <v>193881.62157349542</v>
      </c>
      <c r="N17" s="366">
        <f t="shared" si="3"/>
        <v>6.2630424012789385E-2</v>
      </c>
      <c r="O17" s="417">
        <f t="shared" si="11"/>
        <v>963053.62157349545</v>
      </c>
      <c r="P17" s="372">
        <f t="shared" si="12"/>
        <v>6.2219880540184208E-2</v>
      </c>
      <c r="Q17" s="399"/>
      <c r="R17" s="400" t="s">
        <v>84</v>
      </c>
      <c r="S17" s="408">
        <f t="shared" si="4"/>
        <v>1.5335164709703863E-3</v>
      </c>
      <c r="T17" s="401">
        <f t="shared" si="5"/>
        <v>-3.8659915304494474E-3</v>
      </c>
      <c r="U17" s="401">
        <f t="shared" si="13"/>
        <v>4.5693401858110105E-4</v>
      </c>
      <c r="V17" s="402">
        <f t="shared" si="6"/>
        <v>-62125.378426504554</v>
      </c>
      <c r="W17" s="407">
        <f t="shared" si="7"/>
        <v>-6.0599542544769847E-2</v>
      </c>
      <c r="X17" s="409">
        <f t="shared" si="8"/>
        <v>6.8988243364549451E-3</v>
      </c>
      <c r="Z17" s="391"/>
    </row>
    <row r="18" spans="1:26" ht="12.95" customHeight="1" x14ac:dyDescent="0.25">
      <c r="A18" s="364" t="s">
        <v>85</v>
      </c>
      <c r="B18" s="365">
        <v>223840</v>
      </c>
      <c r="C18" s="366">
        <f t="shared" si="0"/>
        <v>1.6845014055698267E-2</v>
      </c>
      <c r="D18" s="367">
        <v>29590</v>
      </c>
      <c r="E18" s="368">
        <v>21476</v>
      </c>
      <c r="F18" s="369">
        <f t="shared" si="1"/>
        <v>1.5425911761827258E-2</v>
      </c>
      <c r="G18" s="413">
        <f t="shared" si="9"/>
        <v>274906</v>
      </c>
      <c r="H18" s="371">
        <f t="shared" si="10"/>
        <v>1.6561990224602554E-2</v>
      </c>
      <c r="J18" s="364" t="s">
        <v>85</v>
      </c>
      <c r="K18" s="365">
        <f>Tab.3_A!L50</f>
        <v>207016</v>
      </c>
      <c r="L18" s="366">
        <f t="shared" si="2"/>
        <v>1.6718319859570507E-2</v>
      </c>
      <c r="M18" s="370">
        <f>Tab.4_K!BG14</f>
        <v>37052.956107592625</v>
      </c>
      <c r="N18" s="366">
        <f t="shared" si="3"/>
        <v>1.1969377670312635E-2</v>
      </c>
      <c r="O18" s="417">
        <f t="shared" si="11"/>
        <v>244068.95610759262</v>
      </c>
      <c r="P18" s="372">
        <f t="shared" si="12"/>
        <v>1.5768531421718933E-2</v>
      </c>
      <c r="Q18" s="399"/>
      <c r="R18" s="400" t="s">
        <v>85</v>
      </c>
      <c r="S18" s="408">
        <f t="shared" si="4"/>
        <v>-1.2669419612775998E-4</v>
      </c>
      <c r="T18" s="401">
        <f t="shared" si="5"/>
        <v>-3.456534091514623E-3</v>
      </c>
      <c r="U18" s="401">
        <f t="shared" si="13"/>
        <v>-7.9345880288362106E-4</v>
      </c>
      <c r="V18" s="402">
        <f t="shared" si="6"/>
        <v>-30837.043892407382</v>
      </c>
      <c r="W18" s="407">
        <f t="shared" si="7"/>
        <v>-0.11217304785056481</v>
      </c>
      <c r="X18" s="409">
        <f t="shared" si="8"/>
        <v>-4.4674680969340019E-2</v>
      </c>
      <c r="Z18" s="391"/>
    </row>
    <row r="19" spans="1:26" ht="12.95" customHeight="1" x14ac:dyDescent="0.25">
      <c r="A19" s="364" t="s">
        <v>86</v>
      </c>
      <c r="B19" s="365">
        <v>353476</v>
      </c>
      <c r="C19" s="366">
        <f t="shared" si="0"/>
        <v>2.6600733507648324E-2</v>
      </c>
      <c r="D19" s="367">
        <v>68701</v>
      </c>
      <c r="E19" s="368">
        <v>17827</v>
      </c>
      <c r="F19" s="369">
        <f t="shared" si="1"/>
        <v>2.6138199446351564E-2</v>
      </c>
      <c r="G19" s="413">
        <f t="shared" si="9"/>
        <v>440004</v>
      </c>
      <c r="H19" s="371">
        <f t="shared" si="10"/>
        <v>2.6508486343644819E-2</v>
      </c>
      <c r="J19" s="364" t="s">
        <v>86</v>
      </c>
      <c r="K19" s="365">
        <f>Tab.3_A!L56</f>
        <v>336799</v>
      </c>
      <c r="L19" s="366">
        <f t="shared" si="2"/>
        <v>2.7199411689837919E-2</v>
      </c>
      <c r="M19" s="370">
        <f>Tab.4_K!BG15</f>
        <v>70695.263286698639</v>
      </c>
      <c r="N19" s="366">
        <f t="shared" si="3"/>
        <v>2.2836998573705986E-2</v>
      </c>
      <c r="O19" s="417">
        <f t="shared" si="11"/>
        <v>407494.26328669861</v>
      </c>
      <c r="P19" s="372">
        <f t="shared" si="12"/>
        <v>2.6326929066611531E-2</v>
      </c>
      <c r="Q19" s="399"/>
      <c r="R19" s="400" t="s">
        <v>86</v>
      </c>
      <c r="S19" s="408">
        <f t="shared" si="4"/>
        <v>5.9867818218959507E-4</v>
      </c>
      <c r="T19" s="401">
        <f t="shared" si="5"/>
        <v>-3.301200872645578E-3</v>
      </c>
      <c r="U19" s="401">
        <f t="shared" si="13"/>
        <v>-1.8155727703328753E-4</v>
      </c>
      <c r="V19" s="402">
        <f t="shared" si="6"/>
        <v>-32509.73671330139</v>
      </c>
      <c r="W19" s="407">
        <f t="shared" si="7"/>
        <v>-7.3885093574834304E-2</v>
      </c>
      <c r="X19" s="409">
        <f t="shared" si="8"/>
        <v>-6.3867266936095124E-3</v>
      </c>
      <c r="Z19" s="391"/>
    </row>
    <row r="20" spans="1:26" ht="12.95" customHeight="1" x14ac:dyDescent="0.25">
      <c r="A20" s="364" t="s">
        <v>87</v>
      </c>
      <c r="B20" s="365">
        <v>253261</v>
      </c>
      <c r="C20" s="366">
        <f t="shared" si="0"/>
        <v>1.9059082848285377E-2</v>
      </c>
      <c r="D20" s="367">
        <v>37027</v>
      </c>
      <c r="E20" s="368">
        <v>12100</v>
      </c>
      <c r="F20" s="369">
        <f t="shared" si="1"/>
        <v>1.4840182648401826E-2</v>
      </c>
      <c r="G20" s="413">
        <f t="shared" si="9"/>
        <v>302388</v>
      </c>
      <c r="H20" s="371">
        <f t="shared" si="10"/>
        <v>1.8217671131358054E-2</v>
      </c>
      <c r="J20" s="364" t="s">
        <v>87</v>
      </c>
      <c r="K20" s="365">
        <f>Tab.3_A!L62</f>
        <v>244215</v>
      </c>
      <c r="L20" s="366">
        <f t="shared" si="2"/>
        <v>1.9722458575689855E-2</v>
      </c>
      <c r="M20" s="370">
        <f>Tab.4_K!BG16</f>
        <v>46002.557585351933</v>
      </c>
      <c r="N20" s="366">
        <f t="shared" si="3"/>
        <v>1.4860406385404512E-2</v>
      </c>
      <c r="O20" s="417">
        <f t="shared" si="11"/>
        <v>290217.55758535193</v>
      </c>
      <c r="P20" s="372">
        <f t="shared" si="12"/>
        <v>1.8750048137632785E-2</v>
      </c>
      <c r="Q20" s="399"/>
      <c r="R20" s="400" t="s">
        <v>87</v>
      </c>
      <c r="S20" s="408">
        <f t="shared" si="4"/>
        <v>6.633757274044777E-4</v>
      </c>
      <c r="T20" s="401">
        <f t="shared" si="5"/>
        <v>2.0223737002686079E-5</v>
      </c>
      <c r="U20" s="401">
        <f t="shared" si="13"/>
        <v>5.3237700627473128E-4</v>
      </c>
      <c r="V20" s="402">
        <f t="shared" si="6"/>
        <v>-12170.442414648074</v>
      </c>
      <c r="W20" s="407">
        <f t="shared" si="7"/>
        <v>-4.0247769139807432E-2</v>
      </c>
      <c r="X20" s="409">
        <f t="shared" si="8"/>
        <v>2.7250597741417359E-2</v>
      </c>
      <c r="Z20" s="391"/>
    </row>
    <row r="21" spans="1:26" ht="12.95" customHeight="1" x14ac:dyDescent="0.25">
      <c r="A21" s="364" t="s">
        <v>88</v>
      </c>
      <c r="B21" s="365">
        <v>253829</v>
      </c>
      <c r="C21" s="366">
        <f t="shared" si="0"/>
        <v>1.9101827522979967E-2</v>
      </c>
      <c r="D21" s="367">
        <v>30554</v>
      </c>
      <c r="E21" s="368">
        <v>10440</v>
      </c>
      <c r="F21" s="369">
        <f t="shared" si="1"/>
        <v>1.2383382813698872E-2</v>
      </c>
      <c r="G21" s="413">
        <f t="shared" si="9"/>
        <v>294823</v>
      </c>
      <c r="H21" s="371">
        <f t="shared" si="10"/>
        <v>1.7761910049209545E-2</v>
      </c>
      <c r="J21" s="364" t="s">
        <v>88</v>
      </c>
      <c r="K21" s="365">
        <f>Tab.3_A!L68</f>
        <v>234860</v>
      </c>
      <c r="L21" s="366">
        <f t="shared" si="2"/>
        <v>1.8966961984671373E-2</v>
      </c>
      <c r="M21" s="370">
        <f>Tab.4_K!BG17</f>
        <v>35894.389297276532</v>
      </c>
      <c r="N21" s="366">
        <f t="shared" si="3"/>
        <v>1.1595120791355515E-2</v>
      </c>
      <c r="O21" s="417">
        <f t="shared" si="11"/>
        <v>270754.3892972765</v>
      </c>
      <c r="P21" s="372">
        <f t="shared" si="12"/>
        <v>1.74925937460082E-2</v>
      </c>
      <c r="Q21" s="399"/>
      <c r="R21" s="400" t="s">
        <v>88</v>
      </c>
      <c r="S21" s="408">
        <f t="shared" si="4"/>
        <v>-1.3486553830859352E-4</v>
      </c>
      <c r="T21" s="401">
        <f t="shared" si="5"/>
        <v>-7.8826202234335771E-4</v>
      </c>
      <c r="U21" s="401">
        <f t="shared" si="13"/>
        <v>-2.6931630320134459E-4</v>
      </c>
      <c r="V21" s="402">
        <f t="shared" si="6"/>
        <v>-24068.610702723498</v>
      </c>
      <c r="W21" s="407">
        <f t="shared" si="7"/>
        <v>-8.1637493352701429E-2</v>
      </c>
      <c r="X21" s="409">
        <f t="shared" si="8"/>
        <v>-1.4139126471476637E-2</v>
      </c>
      <c r="Z21" s="391"/>
    </row>
    <row r="22" spans="1:26" ht="12.95" customHeight="1" x14ac:dyDescent="0.25">
      <c r="A22" s="364" t="s">
        <v>89</v>
      </c>
      <c r="B22" s="365">
        <v>1023870</v>
      </c>
      <c r="C22" s="366">
        <f t="shared" si="0"/>
        <v>7.7051038872443647E-2</v>
      </c>
      <c r="D22" s="367">
        <v>111873</v>
      </c>
      <c r="E22" s="368">
        <v>184776</v>
      </c>
      <c r="F22" s="369">
        <f t="shared" si="1"/>
        <v>8.96111169512845E-2</v>
      </c>
      <c r="G22" s="413">
        <f t="shared" si="9"/>
        <v>1320519</v>
      </c>
      <c r="H22" s="371">
        <f t="shared" si="10"/>
        <v>7.9556003759110178E-2</v>
      </c>
      <c r="J22" s="364" t="s">
        <v>89</v>
      </c>
      <c r="K22" s="365">
        <f>Tab.3_A!L74</f>
        <v>959301</v>
      </c>
      <c r="L22" s="366">
        <f t="shared" si="2"/>
        <v>7.7471794255544721E-2</v>
      </c>
      <c r="M22" s="370">
        <f>Tab.4_K!BG18</f>
        <v>298050.27334492246</v>
      </c>
      <c r="N22" s="366">
        <f t="shared" si="3"/>
        <v>9.6280476948889651E-2</v>
      </c>
      <c r="O22" s="417">
        <f t="shared" si="11"/>
        <v>1257351.2733449223</v>
      </c>
      <c r="P22" s="372">
        <f t="shared" si="12"/>
        <v>8.1233530794213707E-2</v>
      </c>
      <c r="Q22" s="399"/>
      <c r="R22" s="400" t="s">
        <v>89</v>
      </c>
      <c r="S22" s="408">
        <f t="shared" si="4"/>
        <v>4.2075538310107352E-4</v>
      </c>
      <c r="T22" s="401">
        <f t="shared" si="5"/>
        <v>6.669359997605151E-3</v>
      </c>
      <c r="U22" s="401">
        <f t="shared" si="13"/>
        <v>1.6775270351035293E-3</v>
      </c>
      <c r="V22" s="402">
        <f t="shared" si="6"/>
        <v>-63167.726655077655</v>
      </c>
      <c r="W22" s="407">
        <f t="shared" si="7"/>
        <v>-4.783553031427612E-2</v>
      </c>
      <c r="X22" s="409">
        <f t="shared" si="8"/>
        <v>1.9662836566948672E-2</v>
      </c>
      <c r="Z22" s="391"/>
    </row>
    <row r="23" spans="1:26" ht="12.95" customHeight="1" x14ac:dyDescent="0.25">
      <c r="A23" s="364" t="s">
        <v>90</v>
      </c>
      <c r="B23" s="365">
        <v>233971</v>
      </c>
      <c r="C23" s="366">
        <f t="shared" si="0"/>
        <v>1.7607419512266707E-2</v>
      </c>
      <c r="D23" s="367">
        <v>28992</v>
      </c>
      <c r="E23" s="368">
        <v>58738</v>
      </c>
      <c r="F23" s="369">
        <f t="shared" si="1"/>
        <v>2.6501297122647267E-2</v>
      </c>
      <c r="G23" s="413">
        <f t="shared" si="9"/>
        <v>321701</v>
      </c>
      <c r="H23" s="371">
        <f t="shared" si="10"/>
        <v>1.9381202364607782E-2</v>
      </c>
      <c r="J23" s="364" t="s">
        <v>90</v>
      </c>
      <c r="K23" s="365">
        <f>Tab.3_A!L80</f>
        <v>221131</v>
      </c>
      <c r="L23" s="366">
        <f t="shared" si="2"/>
        <v>1.7858227329610687E-2</v>
      </c>
      <c r="M23" s="370">
        <f>Tab.4_K!BG19</f>
        <v>77199.25876746366</v>
      </c>
      <c r="N23" s="366">
        <f t="shared" si="3"/>
        <v>2.4938012540020291E-2</v>
      </c>
      <c r="O23" s="417">
        <f t="shared" si="11"/>
        <v>298330.25876746367</v>
      </c>
      <c r="P23" s="372">
        <f t="shared" si="12"/>
        <v>1.9274184371692607E-2</v>
      </c>
      <c r="Q23" s="399"/>
      <c r="R23" s="400" t="s">
        <v>90</v>
      </c>
      <c r="S23" s="408">
        <f t="shared" si="4"/>
        <v>2.5080781734397942E-4</v>
      </c>
      <c r="T23" s="401">
        <f t="shared" si="5"/>
        <v>-1.563284582626976E-3</v>
      </c>
      <c r="U23" s="401">
        <f t="shared" si="13"/>
        <v>-1.0701799291517461E-4</v>
      </c>
      <c r="V23" s="402">
        <f t="shared" si="6"/>
        <v>-23370.741232536326</v>
      </c>
      <c r="W23" s="407">
        <f t="shared" si="7"/>
        <v>-7.2647400015966146E-2</v>
      </c>
      <c r="X23" s="409">
        <f t="shared" si="8"/>
        <v>-5.1490331347413543E-3</v>
      </c>
      <c r="Z23" s="391"/>
    </row>
    <row r="24" spans="1:26" ht="12.95" customHeight="1" x14ac:dyDescent="0.25">
      <c r="A24" s="364" t="s">
        <v>91</v>
      </c>
      <c r="B24" s="365">
        <v>595284</v>
      </c>
      <c r="C24" s="366">
        <f t="shared" si="0"/>
        <v>4.4797924174107787E-2</v>
      </c>
      <c r="D24" s="367">
        <v>76176</v>
      </c>
      <c r="E24" s="368">
        <v>46077</v>
      </c>
      <c r="F24" s="369">
        <f t="shared" si="1"/>
        <v>3.6929933627436407E-2</v>
      </c>
      <c r="G24" s="413">
        <f t="shared" si="9"/>
        <v>717537</v>
      </c>
      <c r="H24" s="371">
        <f t="shared" si="10"/>
        <v>4.3228742842246599E-2</v>
      </c>
      <c r="J24" s="364" t="s">
        <v>91</v>
      </c>
      <c r="K24" s="365">
        <f>Tab.3_A!L86</f>
        <v>519306</v>
      </c>
      <c r="L24" s="366">
        <f t="shared" si="2"/>
        <v>4.1938419315386839E-2</v>
      </c>
      <c r="M24" s="370">
        <f>Tab.4_K!BG20</f>
        <v>115972.07381190696</v>
      </c>
      <c r="N24" s="366">
        <f t="shared" si="3"/>
        <v>3.746296372773468E-2</v>
      </c>
      <c r="O24" s="417">
        <f t="shared" si="11"/>
        <v>635278.07381190697</v>
      </c>
      <c r="P24" s="372">
        <f t="shared" si="12"/>
        <v>4.1043328197856409E-2</v>
      </c>
      <c r="Q24" s="399"/>
      <c r="R24" s="400" t="s">
        <v>91</v>
      </c>
      <c r="S24" s="408">
        <f t="shared" si="4"/>
        <v>-2.8595048587209473E-3</v>
      </c>
      <c r="T24" s="401">
        <f t="shared" si="5"/>
        <v>5.3303010029827347E-4</v>
      </c>
      <c r="U24" s="401">
        <f t="shared" si="13"/>
        <v>-2.1854146443901906E-3</v>
      </c>
      <c r="V24" s="402">
        <f t="shared" si="6"/>
        <v>-82258.926188093028</v>
      </c>
      <c r="W24" s="407">
        <f t="shared" si="7"/>
        <v>-0.11464067523778287</v>
      </c>
      <c r="X24" s="409">
        <f t="shared" si="8"/>
        <v>-4.7142308356558082E-2</v>
      </c>
      <c r="Z24" s="391"/>
    </row>
    <row r="25" spans="1:26" ht="12.95" customHeight="1" x14ac:dyDescent="0.25">
      <c r="A25" s="364" t="s">
        <v>92</v>
      </c>
      <c r="B25" s="365">
        <v>341199</v>
      </c>
      <c r="C25" s="366">
        <f t="shared" si="0"/>
        <v>2.5676831445631671E-2</v>
      </c>
      <c r="D25" s="367">
        <v>42705</v>
      </c>
      <c r="E25" s="368">
        <v>31894</v>
      </c>
      <c r="F25" s="369">
        <f t="shared" si="1"/>
        <v>2.2534711775360348E-2</v>
      </c>
      <c r="G25" s="413">
        <f t="shared" si="9"/>
        <v>415798</v>
      </c>
      <c r="H25" s="371">
        <f t="shared" si="10"/>
        <v>2.5050171372793948E-2</v>
      </c>
      <c r="J25" s="364" t="s">
        <v>92</v>
      </c>
      <c r="K25" s="365">
        <f>Tab.3_A!L92</f>
        <v>299179</v>
      </c>
      <c r="L25" s="366">
        <f t="shared" si="2"/>
        <v>2.4161273608158038E-2</v>
      </c>
      <c r="M25" s="370">
        <f>Tab.4_K!BG21</f>
        <v>64176.618516623668</v>
      </c>
      <c r="N25" s="366">
        <f t="shared" si="3"/>
        <v>2.0731252383710434E-2</v>
      </c>
      <c r="O25" s="417">
        <f t="shared" si="11"/>
        <v>363355.61851662368</v>
      </c>
      <c r="P25" s="372">
        <f t="shared" si="12"/>
        <v>2.3475269363268519E-2</v>
      </c>
      <c r="Q25" s="399"/>
      <c r="R25" s="400" t="s">
        <v>92</v>
      </c>
      <c r="S25" s="408">
        <f t="shared" si="4"/>
        <v>-1.5155578374736328E-3</v>
      </c>
      <c r="T25" s="401">
        <f t="shared" si="5"/>
        <v>-1.8034593916499142E-3</v>
      </c>
      <c r="U25" s="401">
        <f t="shared" si="13"/>
        <v>-1.5749020095254286E-3</v>
      </c>
      <c r="V25" s="402">
        <f t="shared" si="6"/>
        <v>-52442.381483376317</v>
      </c>
      <c r="W25" s="407">
        <f t="shared" si="7"/>
        <v>-0.12612466025179614</v>
      </c>
      <c r="X25" s="409">
        <f t="shared" si="8"/>
        <v>-5.8626293370571347E-2</v>
      </c>
      <c r="Z25" s="391"/>
    </row>
    <row r="26" spans="1:26" ht="12.95" customHeight="1" x14ac:dyDescent="0.25">
      <c r="A26" s="364" t="s">
        <v>93</v>
      </c>
      <c r="B26" s="365">
        <v>395747</v>
      </c>
      <c r="C26" s="366">
        <f t="shared" si="0"/>
        <v>2.9781825310491523E-2</v>
      </c>
      <c r="D26" s="367">
        <v>40441</v>
      </c>
      <c r="E26" s="368">
        <v>33201</v>
      </c>
      <c r="F26" s="369">
        <f t="shared" si="1"/>
        <v>2.224562319281876E-2</v>
      </c>
      <c r="G26" s="413">
        <f t="shared" si="9"/>
        <v>469389</v>
      </c>
      <c r="H26" s="371">
        <f t="shared" si="10"/>
        <v>2.8278815411580574E-2</v>
      </c>
      <c r="J26" s="364" t="s">
        <v>93</v>
      </c>
      <c r="K26" s="365">
        <f>Tab.3_A!L98</f>
        <v>385972</v>
      </c>
      <c r="L26" s="366">
        <f t="shared" si="2"/>
        <v>3.1170553739025716E-2</v>
      </c>
      <c r="M26" s="370">
        <f>Tab.4_K!BG22</f>
        <v>76005.4205954723</v>
      </c>
      <c r="N26" s="366">
        <f t="shared" si="3"/>
        <v>2.4552361799596047E-2</v>
      </c>
      <c r="O26" s="417">
        <f t="shared" si="11"/>
        <v>461977.42059547233</v>
      </c>
      <c r="P26" s="372">
        <f t="shared" si="12"/>
        <v>2.9846915351139782E-2</v>
      </c>
      <c r="Q26" s="399"/>
      <c r="R26" s="400" t="s">
        <v>93</v>
      </c>
      <c r="S26" s="408">
        <f t="shared" si="4"/>
        <v>1.388728428534193E-3</v>
      </c>
      <c r="T26" s="401">
        <f t="shared" si="5"/>
        <v>2.3067386067772873E-3</v>
      </c>
      <c r="U26" s="401">
        <f t="shared" si="13"/>
        <v>1.5680999395592081E-3</v>
      </c>
      <c r="V26" s="402">
        <f t="shared" si="6"/>
        <v>-7411.5794045276707</v>
      </c>
      <c r="W26" s="407">
        <f t="shared" si="7"/>
        <v>-1.5789844680057841E-2</v>
      </c>
      <c r="X26" s="409">
        <f t="shared" si="8"/>
        <v>5.1708522201166951E-2</v>
      </c>
      <c r="Z26" s="391"/>
    </row>
    <row r="27" spans="1:26" ht="12.95" customHeight="1" x14ac:dyDescent="0.25">
      <c r="A27" s="364" t="s">
        <v>94</v>
      </c>
      <c r="B27" s="365">
        <v>922958</v>
      </c>
      <c r="C27" s="366">
        <f t="shared" si="0"/>
        <v>6.9456935680929061E-2</v>
      </c>
      <c r="D27" s="367">
        <v>109287</v>
      </c>
      <c r="E27" s="368">
        <v>118908</v>
      </c>
      <c r="F27" s="369">
        <f t="shared" si="1"/>
        <v>6.8932674078450842E-2</v>
      </c>
      <c r="G27" s="413">
        <f t="shared" si="9"/>
        <v>1151153</v>
      </c>
      <c r="H27" s="371">
        <f t="shared" si="10"/>
        <v>6.9352377660079831E-2</v>
      </c>
      <c r="J27" s="364" t="s">
        <v>94</v>
      </c>
      <c r="K27" s="365">
        <f>Tab.3_A!L104</f>
        <v>841307</v>
      </c>
      <c r="L27" s="366">
        <f t="shared" si="2"/>
        <v>6.794276541956025E-2</v>
      </c>
      <c r="M27" s="370">
        <f>Tab.4_K!BG23</f>
        <v>221714.95486490059</v>
      </c>
      <c r="N27" s="366">
        <f t="shared" si="3"/>
        <v>7.1621546799892688E-2</v>
      </c>
      <c r="O27" s="417">
        <f t="shared" si="11"/>
        <v>1063021.9548649006</v>
      </c>
      <c r="P27" s="372">
        <f t="shared" si="12"/>
        <v>6.8678521695626729E-2</v>
      </c>
      <c r="Q27" s="399"/>
      <c r="R27" s="400" t="s">
        <v>94</v>
      </c>
      <c r="S27" s="408">
        <f t="shared" si="4"/>
        <v>-1.5141702613688107E-3</v>
      </c>
      <c r="T27" s="401">
        <f t="shared" si="5"/>
        <v>2.6888727214418456E-3</v>
      </c>
      <c r="U27" s="401">
        <f t="shared" si="13"/>
        <v>-6.738559644531017E-4</v>
      </c>
      <c r="V27" s="402">
        <f t="shared" si="6"/>
        <v>-88131.045135099441</v>
      </c>
      <c r="W27" s="407">
        <f t="shared" si="7"/>
        <v>-7.6558932770100396E-2</v>
      </c>
      <c r="X27" s="409">
        <f t="shared" si="8"/>
        <v>-9.0605658888756047E-3</v>
      </c>
      <c r="Z27" s="391"/>
    </row>
    <row r="28" spans="1:26" ht="12.95" customHeight="1" x14ac:dyDescent="0.25">
      <c r="A28" s="364" t="s">
        <v>95</v>
      </c>
      <c r="B28" s="365">
        <v>848045</v>
      </c>
      <c r="C28" s="366">
        <f t="shared" si="0"/>
        <v>6.3819379667908488E-2</v>
      </c>
      <c r="D28" s="367">
        <v>89960</v>
      </c>
      <c r="E28" s="368">
        <v>67346</v>
      </c>
      <c r="F28" s="369">
        <f t="shared" si="1"/>
        <v>4.7518671437081397E-2</v>
      </c>
      <c r="G28" s="413">
        <f t="shared" si="9"/>
        <v>1005351</v>
      </c>
      <c r="H28" s="371">
        <f t="shared" si="10"/>
        <v>6.0568388592080219E-2</v>
      </c>
      <c r="J28" s="364" t="s">
        <v>95</v>
      </c>
      <c r="K28" s="365">
        <f>Tab.3_A!L110</f>
        <v>752677</v>
      </c>
      <c r="L28" s="366">
        <f t="shared" si="2"/>
        <v>6.0785131762481889E-2</v>
      </c>
      <c r="M28" s="370">
        <f>Tab.4_K!BG24</f>
        <v>116887.03760873075</v>
      </c>
      <c r="N28" s="366">
        <f t="shared" si="3"/>
        <v>3.7758528465054064E-2</v>
      </c>
      <c r="O28" s="417">
        <f t="shared" si="11"/>
        <v>869564.03760873072</v>
      </c>
      <c r="P28" s="372">
        <f t="shared" si="12"/>
        <v>5.6179811102996323E-2</v>
      </c>
      <c r="Q28" s="399"/>
      <c r="R28" s="400" t="s">
        <v>95</v>
      </c>
      <c r="S28" s="408">
        <f t="shared" si="4"/>
        <v>-3.0342479054265986E-3</v>
      </c>
      <c r="T28" s="401">
        <f t="shared" si="5"/>
        <v>-9.7601429720273331E-3</v>
      </c>
      <c r="U28" s="401">
        <f t="shared" si="13"/>
        <v>-4.3885774890838961E-3</v>
      </c>
      <c r="V28" s="402">
        <f t="shared" si="6"/>
        <v>-135786.96239126928</v>
      </c>
      <c r="W28" s="407">
        <f t="shared" si="7"/>
        <v>-0.13506423367686438</v>
      </c>
      <c r="X28" s="409">
        <f t="shared" si="8"/>
        <v>-6.7565866795639584E-2</v>
      </c>
      <c r="Z28" s="391"/>
    </row>
    <row r="29" spans="1:26" ht="12.95" customHeight="1" x14ac:dyDescent="0.25">
      <c r="A29" s="364" t="s">
        <v>96</v>
      </c>
      <c r="B29" s="365">
        <v>527453</v>
      </c>
      <c r="C29" s="366">
        <f t="shared" si="0"/>
        <v>3.9693322010008122E-2</v>
      </c>
      <c r="D29" s="367">
        <v>70210</v>
      </c>
      <c r="E29" s="368">
        <v>28816</v>
      </c>
      <c r="F29" s="369">
        <f t="shared" si="1"/>
        <v>2.9913569461612541E-2</v>
      </c>
      <c r="G29" s="413">
        <f t="shared" si="9"/>
        <v>626479</v>
      </c>
      <c r="H29" s="371">
        <f t="shared" si="10"/>
        <v>3.7742861465078187E-2</v>
      </c>
      <c r="J29" s="364" t="s">
        <v>96</v>
      </c>
      <c r="K29" s="365">
        <f>Tab.3_A!L116</f>
        <v>477636</v>
      </c>
      <c r="L29" s="366">
        <f t="shared" si="2"/>
        <v>3.857320895218639E-2</v>
      </c>
      <c r="M29" s="370">
        <f>Tab.4_K!BG25</f>
        <v>79120.549019577724</v>
      </c>
      <c r="N29" s="366">
        <f t="shared" si="3"/>
        <v>2.5558655291844649E-2</v>
      </c>
      <c r="O29" s="417">
        <f t="shared" si="11"/>
        <v>556756.54901957768</v>
      </c>
      <c r="P29" s="372">
        <f t="shared" si="12"/>
        <v>3.597029822011804E-2</v>
      </c>
      <c r="Q29" s="399"/>
      <c r="R29" s="400" t="s">
        <v>96</v>
      </c>
      <c r="S29" s="408">
        <f t="shared" si="4"/>
        <v>-1.1201130578217325E-3</v>
      </c>
      <c r="T29" s="401">
        <f t="shared" si="5"/>
        <v>-4.3549141697678921E-3</v>
      </c>
      <c r="U29" s="401">
        <f t="shared" si="13"/>
        <v>-1.7725632449601472E-3</v>
      </c>
      <c r="V29" s="402">
        <f t="shared" si="6"/>
        <v>-69722.45098042232</v>
      </c>
      <c r="W29" s="407">
        <f t="shared" si="7"/>
        <v>-0.11129255885739553</v>
      </c>
      <c r="X29" s="409">
        <f t="shared" si="8"/>
        <v>-4.3794191976170738E-2</v>
      </c>
      <c r="Z29" s="391"/>
    </row>
    <row r="30" spans="1:26" ht="12.95" customHeight="1" x14ac:dyDescent="0.25">
      <c r="A30" s="364" t="s">
        <v>97</v>
      </c>
      <c r="B30" s="365">
        <v>512317</v>
      </c>
      <c r="C30" s="366">
        <f t="shared" si="0"/>
        <v>3.8554266735048109E-2</v>
      </c>
      <c r="D30" s="367">
        <v>59806</v>
      </c>
      <c r="E30" s="368">
        <v>54211</v>
      </c>
      <c r="F30" s="369">
        <f t="shared" si="1"/>
        <v>3.444201976556336E-2</v>
      </c>
      <c r="G30" s="413">
        <f t="shared" si="9"/>
        <v>626334</v>
      </c>
      <c r="H30" s="371">
        <f t="shared" si="10"/>
        <v>3.7734125793311958E-2</v>
      </c>
      <c r="J30" s="364" t="s">
        <v>97</v>
      </c>
      <c r="K30" s="365">
        <f>Tab.3_A!L122</f>
        <v>464509</v>
      </c>
      <c r="L30" s="366">
        <f t="shared" si="2"/>
        <v>3.7513090967119626E-2</v>
      </c>
      <c r="M30" s="370">
        <f>Tab.4_K!BG26</f>
        <v>105980.02496712719</v>
      </c>
      <c r="N30" s="366">
        <f t="shared" si="3"/>
        <v>3.4235188702819115E-2</v>
      </c>
      <c r="O30" s="417">
        <f t="shared" si="11"/>
        <v>570489.02496712725</v>
      </c>
      <c r="P30" s="372">
        <f t="shared" si="12"/>
        <v>3.6857510514259527E-2</v>
      </c>
      <c r="Q30" s="399"/>
      <c r="R30" s="400" t="s">
        <v>97</v>
      </c>
      <c r="S30" s="408">
        <f t="shared" si="4"/>
        <v>-1.041175767928483E-3</v>
      </c>
      <c r="T30" s="401">
        <f t="shared" si="5"/>
        <v>-2.068310627442449E-4</v>
      </c>
      <c r="U30" s="401">
        <f t="shared" si="13"/>
        <v>-8.766152790524312E-4</v>
      </c>
      <c r="V30" s="402">
        <f t="shared" si="6"/>
        <v>-55844.975032872753</v>
      </c>
      <c r="W30" s="407">
        <f t="shared" si="7"/>
        <v>-8.9161653419537745E-2</v>
      </c>
      <c r="X30" s="409">
        <f t="shared" si="8"/>
        <v>-2.1663286538312954E-2</v>
      </c>
      <c r="Z30" s="391"/>
    </row>
    <row r="31" spans="1:26" ht="12.95" customHeight="1" x14ac:dyDescent="0.25">
      <c r="A31" s="364" t="s">
        <v>98</v>
      </c>
      <c r="B31" s="365">
        <v>796048</v>
      </c>
      <c r="C31" s="366">
        <f t="shared" si="0"/>
        <v>5.9906360565629445E-2</v>
      </c>
      <c r="D31" s="367">
        <v>91334</v>
      </c>
      <c r="E31" s="368">
        <v>40337</v>
      </c>
      <c r="F31" s="369">
        <f t="shared" si="1"/>
        <v>3.977490360693136E-2</v>
      </c>
      <c r="G31" s="413">
        <f t="shared" si="9"/>
        <v>927719</v>
      </c>
      <c r="H31" s="371">
        <f t="shared" si="10"/>
        <v>5.5891370174452573E-2</v>
      </c>
      <c r="J31" s="364" t="s">
        <v>98</v>
      </c>
      <c r="K31" s="365">
        <f>Tab.3_A!L128</f>
        <v>749416</v>
      </c>
      <c r="L31" s="366">
        <f t="shared" si="2"/>
        <v>6.0521778006916813E-2</v>
      </c>
      <c r="M31" s="370">
        <f>Tab.4_K!BG27</f>
        <v>123903.53831518358</v>
      </c>
      <c r="N31" s="366">
        <f t="shared" si="3"/>
        <v>4.0025099224906074E-2</v>
      </c>
      <c r="O31" s="417">
        <f t="shared" si="11"/>
        <v>873319.5383151836</v>
      </c>
      <c r="P31" s="372">
        <f t="shared" si="12"/>
        <v>5.6422442250514668E-2</v>
      </c>
      <c r="Q31" s="399"/>
      <c r="R31" s="400" t="s">
        <v>98</v>
      </c>
      <c r="S31" s="408">
        <f t="shared" si="4"/>
        <v>6.1541744128736781E-4</v>
      </c>
      <c r="T31" s="401">
        <f t="shared" si="5"/>
        <v>2.5019561797471473E-4</v>
      </c>
      <c r="U31" s="401">
        <f t="shared" si="13"/>
        <v>5.3107207606209461E-4</v>
      </c>
      <c r="V31" s="402">
        <f t="shared" si="6"/>
        <v>-54399.461684816401</v>
      </c>
      <c r="W31" s="407">
        <f t="shared" si="7"/>
        <v>-5.8637865220844243E-2</v>
      </c>
      <c r="X31" s="409">
        <f t="shared" si="8"/>
        <v>8.8605016603805486E-3</v>
      </c>
      <c r="Z31" s="391"/>
    </row>
    <row r="32" spans="1:26" ht="12.95" customHeight="1" x14ac:dyDescent="0.25">
      <c r="A32" s="364" t="s">
        <v>99</v>
      </c>
      <c r="B32" s="365">
        <v>467371</v>
      </c>
      <c r="C32" s="366">
        <f t="shared" si="0"/>
        <v>3.5171868585711918E-2</v>
      </c>
      <c r="D32" s="367">
        <v>55427</v>
      </c>
      <c r="E32" s="368">
        <v>44259</v>
      </c>
      <c r="F32" s="369">
        <f t="shared" si="1"/>
        <v>3.0112940897848117E-2</v>
      </c>
      <c r="G32" s="413">
        <f t="shared" si="9"/>
        <v>567057</v>
      </c>
      <c r="H32" s="371">
        <f t="shared" si="10"/>
        <v>3.4162922929264733E-2</v>
      </c>
      <c r="J32" s="364" t="s">
        <v>99</v>
      </c>
      <c r="K32" s="365">
        <f>Tab.3_A!L134</f>
        <v>430838</v>
      </c>
      <c r="L32" s="366">
        <f t="shared" si="2"/>
        <v>3.4793868549569298E-2</v>
      </c>
      <c r="M32" s="370">
        <f>Tab.4_K!BG28</f>
        <v>81930.962864211106</v>
      </c>
      <c r="N32" s="366">
        <f t="shared" si="3"/>
        <v>2.6466515507332269E-2</v>
      </c>
      <c r="O32" s="417">
        <f t="shared" si="11"/>
        <v>512768.96286421112</v>
      </c>
      <c r="P32" s="372">
        <f t="shared" si="12"/>
        <v>3.3128397941121893E-2</v>
      </c>
      <c r="Q32" s="399"/>
      <c r="R32" s="400" t="s">
        <v>99</v>
      </c>
      <c r="S32" s="408">
        <f t="shared" si="4"/>
        <v>-3.7800003614262001E-4</v>
      </c>
      <c r="T32" s="401">
        <f t="shared" si="5"/>
        <v>-3.6464253905158471E-3</v>
      </c>
      <c r="U32" s="401">
        <f t="shared" si="13"/>
        <v>-1.0345249881428403E-3</v>
      </c>
      <c r="V32" s="402">
        <f t="shared" si="6"/>
        <v>-54288.03713578888</v>
      </c>
      <c r="W32" s="407">
        <f t="shared" si="7"/>
        <v>-9.5736472939737749E-2</v>
      </c>
      <c r="X32" s="409">
        <f t="shared" si="8"/>
        <v>-2.8238106058512957E-2</v>
      </c>
      <c r="Z32" s="391"/>
    </row>
    <row r="33" spans="1:26" ht="12.95" customHeight="1" x14ac:dyDescent="0.25">
      <c r="A33" s="364" t="s">
        <v>100</v>
      </c>
      <c r="B33" s="365">
        <v>191741</v>
      </c>
      <c r="C33" s="366">
        <f t="shared" si="0"/>
        <v>1.4429413152491251E-2</v>
      </c>
      <c r="D33" s="367">
        <v>23751</v>
      </c>
      <c r="E33" s="368">
        <v>18872</v>
      </c>
      <c r="F33" s="369">
        <f t="shared" si="1"/>
        <v>1.287546776768032E-2</v>
      </c>
      <c r="G33" s="413">
        <f t="shared" si="9"/>
        <v>234364</v>
      </c>
      <c r="H33" s="371">
        <f t="shared" si="10"/>
        <v>1.4119496398764499E-2</v>
      </c>
      <c r="J33" s="364" t="s">
        <v>100</v>
      </c>
      <c r="K33" s="365">
        <f>Tab.3_A!L140</f>
        <v>179619</v>
      </c>
      <c r="L33" s="366">
        <f t="shared" si="2"/>
        <v>1.4505776823318946E-2</v>
      </c>
      <c r="M33" s="370">
        <f>Tab.4_K!BG29</f>
        <v>45759.483352020427</v>
      </c>
      <c r="N33" s="366">
        <f t="shared" si="3"/>
        <v>1.4781885057923428E-2</v>
      </c>
      <c r="O33" s="417">
        <f t="shared" si="11"/>
        <v>225378.48335202044</v>
      </c>
      <c r="P33" s="372">
        <f t="shared" si="12"/>
        <v>1.4560998470239842E-2</v>
      </c>
      <c r="Q33" s="399"/>
      <c r="R33" s="400" t="s">
        <v>100</v>
      </c>
      <c r="S33" s="408">
        <f t="shared" si="4"/>
        <v>7.6363670827694907E-5</v>
      </c>
      <c r="T33" s="401">
        <f t="shared" si="5"/>
        <v>1.9064172902431079E-3</v>
      </c>
      <c r="U33" s="401">
        <f t="shared" si="13"/>
        <v>4.4150207147534287E-4</v>
      </c>
      <c r="V33" s="402">
        <f t="shared" si="6"/>
        <v>-8985.5166479795589</v>
      </c>
      <c r="W33" s="407">
        <f t="shared" si="7"/>
        <v>-3.8340003788890575E-2</v>
      </c>
      <c r="X33" s="409">
        <f t="shared" si="8"/>
        <v>2.9158363092334216E-2</v>
      </c>
      <c r="Z33" s="391"/>
    </row>
    <row r="34" spans="1:26" ht="12.95" customHeight="1" x14ac:dyDescent="0.25">
      <c r="A34" s="364" t="s">
        <v>101</v>
      </c>
      <c r="B34" s="365">
        <v>49553</v>
      </c>
      <c r="C34" s="366">
        <f t="shared" si="0"/>
        <v>3.7290965935579713E-3</v>
      </c>
      <c r="D34" s="367">
        <v>6926</v>
      </c>
      <c r="E34" s="368">
        <v>3996</v>
      </c>
      <c r="F34" s="369">
        <f t="shared" si="1"/>
        <v>3.299295191765114E-3</v>
      </c>
      <c r="G34" s="413">
        <f t="shared" si="9"/>
        <v>60475</v>
      </c>
      <c r="H34" s="371">
        <f t="shared" si="10"/>
        <v>3.6433775866399408E-3</v>
      </c>
      <c r="J34" s="364" t="s">
        <v>101</v>
      </c>
      <c r="K34" s="365">
        <f>Tab.3_A!L146</f>
        <v>46165</v>
      </c>
      <c r="L34" s="366">
        <f t="shared" si="2"/>
        <v>3.7282202163942519E-3</v>
      </c>
      <c r="M34" s="370">
        <f>Tab.4_K!BG30</f>
        <v>12342.417939901758</v>
      </c>
      <c r="N34" s="366">
        <f t="shared" si="3"/>
        <v>3.9870249827989885E-3</v>
      </c>
      <c r="O34" s="417">
        <f t="shared" si="11"/>
        <v>58507.417939901759</v>
      </c>
      <c r="P34" s="372">
        <f t="shared" si="12"/>
        <v>3.7799811696751992E-3</v>
      </c>
      <c r="Q34" s="399"/>
      <c r="R34" s="400" t="s">
        <v>101</v>
      </c>
      <c r="S34" s="408">
        <f t="shared" si="4"/>
        <v>-8.7637716371944188E-7</v>
      </c>
      <c r="T34" s="401">
        <f t="shared" si="5"/>
        <v>6.8772979103387446E-4</v>
      </c>
      <c r="U34" s="401">
        <f t="shared" si="13"/>
        <v>1.3660358303525843E-4</v>
      </c>
      <c r="V34" s="402">
        <f t="shared" si="6"/>
        <v>-1967.5820600982406</v>
      </c>
      <c r="W34" s="407">
        <f t="shared" si="7"/>
        <v>-3.2535461928040355E-2</v>
      </c>
      <c r="X34" s="409">
        <f t="shared" si="8"/>
        <v>3.4962904953184437E-2</v>
      </c>
      <c r="Z34" s="391"/>
    </row>
    <row r="35" spans="1:26" ht="12.95" customHeight="1" x14ac:dyDescent="0.25">
      <c r="A35" s="364" t="s">
        <v>102</v>
      </c>
      <c r="B35" s="365">
        <v>64890</v>
      </c>
      <c r="C35" s="366">
        <f t="shared" si="0"/>
        <v>4.8832780650208208E-3</v>
      </c>
      <c r="D35" s="367">
        <v>8908</v>
      </c>
      <c r="E35" s="368">
        <v>4628</v>
      </c>
      <c r="F35" s="369">
        <f t="shared" si="1"/>
        <v>4.0889269104314764E-3</v>
      </c>
      <c r="G35" s="413">
        <f t="shared" si="9"/>
        <v>78426</v>
      </c>
      <c r="H35" s="371">
        <f t="shared" si="10"/>
        <v>4.7248537512992808E-3</v>
      </c>
      <c r="J35" s="364" t="s">
        <v>102</v>
      </c>
      <c r="K35" s="365">
        <f>Tab.3_A!L152</f>
        <v>59485</v>
      </c>
      <c r="L35" s="366">
        <f t="shared" si="2"/>
        <v>4.803924608950765E-3</v>
      </c>
      <c r="M35" s="370">
        <f>Tab.4_K!BG31</f>
        <v>17333.937302574373</v>
      </c>
      <c r="N35" s="366">
        <f t="shared" si="3"/>
        <v>5.599457206209745E-3</v>
      </c>
      <c r="O35" s="417">
        <f t="shared" si="11"/>
        <v>76818.93730257437</v>
      </c>
      <c r="P35" s="372">
        <f t="shared" si="12"/>
        <v>4.9630311284025608E-3</v>
      </c>
      <c r="Q35" s="399"/>
      <c r="R35" s="400" t="s">
        <v>102</v>
      </c>
      <c r="S35" s="408">
        <f t="shared" si="4"/>
        <v>-7.9353456070055742E-5</v>
      </c>
      <c r="T35" s="401">
        <f t="shared" si="5"/>
        <v>1.5105302957782686E-3</v>
      </c>
      <c r="U35" s="401">
        <f t="shared" si="13"/>
        <v>2.3817737710328003E-4</v>
      </c>
      <c r="V35" s="402">
        <f t="shared" si="6"/>
        <v>-1607.0626974256302</v>
      </c>
      <c r="W35" s="407">
        <f t="shared" si="7"/>
        <v>-2.0491453056711184E-2</v>
      </c>
      <c r="X35" s="409">
        <f t="shared" si="8"/>
        <v>4.7006913824513608E-2</v>
      </c>
      <c r="Z35" s="391"/>
    </row>
    <row r="36" spans="1:26" ht="12.95" customHeight="1" x14ac:dyDescent="0.25">
      <c r="A36" s="364" t="s">
        <v>103</v>
      </c>
      <c r="B36" s="365">
        <v>103242</v>
      </c>
      <c r="C36" s="366">
        <f t="shared" si="0"/>
        <v>7.7694466634131544E-3</v>
      </c>
      <c r="D36" s="367">
        <v>13773</v>
      </c>
      <c r="E36" s="368">
        <v>7147</v>
      </c>
      <c r="F36" s="369">
        <f t="shared" si="1"/>
        <v>6.3194703728004196E-3</v>
      </c>
      <c r="G36" s="413">
        <f t="shared" si="9"/>
        <v>124162</v>
      </c>
      <c r="H36" s="371">
        <f t="shared" si="10"/>
        <v>7.4802653644049331E-3</v>
      </c>
      <c r="J36" s="364" t="s">
        <v>103</v>
      </c>
      <c r="K36" s="365">
        <f>Tab.3_A!L158</f>
        <v>98475</v>
      </c>
      <c r="L36" s="366">
        <f t="shared" si="2"/>
        <v>7.9527019562314304E-3</v>
      </c>
      <c r="M36" s="370">
        <f>Tab.4_K!BG32</f>
        <v>24971.275314853578</v>
      </c>
      <c r="N36" s="366">
        <f t="shared" si="3"/>
        <v>8.0665797429207275E-3</v>
      </c>
      <c r="O36" s="417">
        <f t="shared" si="11"/>
        <v>123446.27531485358</v>
      </c>
      <c r="P36" s="372">
        <f t="shared" si="12"/>
        <v>7.9754775135692894E-3</v>
      </c>
      <c r="Q36" s="399"/>
      <c r="R36" s="400" t="s">
        <v>103</v>
      </c>
      <c r="S36" s="408">
        <f t="shared" si="4"/>
        <v>1.8325529281827593E-4</v>
      </c>
      <c r="T36" s="401">
        <f t="shared" si="5"/>
        <v>1.7471093701203078E-3</v>
      </c>
      <c r="U36" s="401">
        <f t="shared" si="13"/>
        <v>4.952121491643563E-4</v>
      </c>
      <c r="V36" s="402">
        <f t="shared" si="6"/>
        <v>-715.72468514641514</v>
      </c>
      <c r="W36" s="407">
        <f t="shared" si="7"/>
        <v>-5.7644423023663904E-3</v>
      </c>
      <c r="X36" s="409">
        <f t="shared" si="8"/>
        <v>6.1733924578858401E-2</v>
      </c>
      <c r="Z36" s="391"/>
    </row>
    <row r="37" spans="1:26" ht="12.95" customHeight="1" x14ac:dyDescent="0.25">
      <c r="A37" s="364" t="s">
        <v>104</v>
      </c>
      <c r="B37" s="365">
        <v>86478</v>
      </c>
      <c r="C37" s="366">
        <f t="shared" si="0"/>
        <v>6.507876722251049E-3</v>
      </c>
      <c r="D37" s="367">
        <v>5642</v>
      </c>
      <c r="E37" s="368">
        <v>1341</v>
      </c>
      <c r="F37" s="369">
        <f t="shared" si="1"/>
        <v>2.1094102109591459E-3</v>
      </c>
      <c r="G37" s="413">
        <f t="shared" si="9"/>
        <v>93461</v>
      </c>
      <c r="H37" s="371">
        <f t="shared" si="10"/>
        <v>5.6306525444391152E-3</v>
      </c>
      <c r="J37" s="364" t="s">
        <v>104</v>
      </c>
      <c r="K37" s="365">
        <f>Tab.3_A!L164</f>
        <v>86196</v>
      </c>
      <c r="L37" s="366">
        <f t="shared" si="2"/>
        <v>6.9610672538139053E-3</v>
      </c>
      <c r="M37" s="370">
        <f>Tab.4_K!BG33</f>
        <v>7538.7778982512409</v>
      </c>
      <c r="N37" s="366">
        <f t="shared" si="3"/>
        <v>2.4352842341311769E-3</v>
      </c>
      <c r="O37" s="417">
        <f t="shared" si="11"/>
        <v>93734.777898251239</v>
      </c>
      <c r="P37" s="372">
        <f t="shared" si="12"/>
        <v>6.0559106498773597E-3</v>
      </c>
      <c r="Q37" s="399"/>
      <c r="R37" s="400" t="s">
        <v>104</v>
      </c>
      <c r="S37" s="408">
        <f t="shared" si="4"/>
        <v>4.5319053156285625E-4</v>
      </c>
      <c r="T37" s="401">
        <f t="shared" si="5"/>
        <v>3.25874023172031E-4</v>
      </c>
      <c r="U37" s="401">
        <f t="shared" si="13"/>
        <v>4.2525810543824448E-4</v>
      </c>
      <c r="V37" s="402">
        <f t="shared" si="6"/>
        <v>273.77789825123909</v>
      </c>
      <c r="W37" s="407">
        <f t="shared" si="7"/>
        <v>2.929327722271724E-3</v>
      </c>
      <c r="X37" s="409">
        <f t="shared" si="8"/>
        <v>7.0427694603496516E-2</v>
      </c>
      <c r="Z37" s="391"/>
    </row>
    <row r="38" spans="1:26" ht="12.95" customHeight="1" thickBot="1" x14ac:dyDescent="0.3">
      <c r="A38" s="373" t="s">
        <v>105</v>
      </c>
      <c r="B38" s="374">
        <v>64229</v>
      </c>
      <c r="C38" s="375">
        <f t="shared" si="0"/>
        <v>4.8335347023920842E-3</v>
      </c>
      <c r="D38" s="376">
        <v>0</v>
      </c>
      <c r="E38" s="377">
        <v>273</v>
      </c>
      <c r="F38" s="378">
        <f t="shared" si="1"/>
        <v>8.2467275897443328E-5</v>
      </c>
      <c r="G38" s="414">
        <f t="shared" si="9"/>
        <v>64502</v>
      </c>
      <c r="H38" s="380">
        <f t="shared" si="10"/>
        <v>3.8859882776924259E-3</v>
      </c>
      <c r="J38" s="373" t="s">
        <v>105</v>
      </c>
      <c r="K38" s="374">
        <f>Tab.3_A!L170</f>
        <v>85195</v>
      </c>
      <c r="L38" s="375">
        <f t="shared" si="2"/>
        <v>6.8802279071961073E-3</v>
      </c>
      <c r="M38" s="379">
        <f>Tab.4_K!BG34</f>
        <v>1783.7650123710068</v>
      </c>
      <c r="N38" s="375">
        <f t="shared" si="3"/>
        <v>5.7621737510393854E-4</v>
      </c>
      <c r="O38" s="418">
        <f t="shared" si="11"/>
        <v>86978.765012371005</v>
      </c>
      <c r="P38" s="381">
        <f t="shared" si="12"/>
        <v>5.6194258007776733E-3</v>
      </c>
      <c r="Q38" s="399"/>
      <c r="R38" s="400" t="s">
        <v>105</v>
      </c>
      <c r="S38" s="408">
        <f t="shared" si="4"/>
        <v>2.0466932048040232E-3</v>
      </c>
      <c r="T38" s="401">
        <f t="shared" si="5"/>
        <v>4.9375009920649517E-4</v>
      </c>
      <c r="U38" s="401">
        <f t="shared" si="13"/>
        <v>1.7334375230852474E-3</v>
      </c>
      <c r="V38" s="402">
        <f t="shared" si="6"/>
        <v>22476.765012371005</v>
      </c>
      <c r="W38" s="407">
        <f t="shared" si="7"/>
        <v>0.34846617178337103</v>
      </c>
      <c r="X38" s="409">
        <f t="shared" si="8"/>
        <v>0.41596453866459582</v>
      </c>
      <c r="Z38" s="391"/>
    </row>
    <row r="39" spans="1:26" ht="12.95" customHeight="1" thickBot="1" x14ac:dyDescent="0.3">
      <c r="A39" s="420"/>
      <c r="B39" s="382">
        <f>SUM(B13:B38)</f>
        <v>13288205</v>
      </c>
      <c r="C39" s="383"/>
      <c r="D39" s="384">
        <f>SUM(D13:D38)</f>
        <v>1655202</v>
      </c>
      <c r="E39" s="384">
        <f>SUM(E13:E38)</f>
        <v>1655202</v>
      </c>
      <c r="F39" s="385"/>
      <c r="G39" s="415">
        <f t="shared" si="9"/>
        <v>16598609</v>
      </c>
      <c r="H39" s="386">
        <f t="shared" si="10"/>
        <v>1</v>
      </c>
      <c r="J39" s="403"/>
      <c r="K39" s="382">
        <f>SUM(K13:K38)</f>
        <v>12382584</v>
      </c>
      <c r="L39" s="383"/>
      <c r="M39" s="384">
        <f>SUM(M13:M38)</f>
        <v>3095646</v>
      </c>
      <c r="N39" s="383"/>
      <c r="O39" s="419">
        <f t="shared" si="11"/>
        <v>15478230</v>
      </c>
      <c r="P39" s="387">
        <f>O39/O$39</f>
        <v>1</v>
      </c>
      <c r="R39" s="404"/>
      <c r="S39" s="410">
        <f>SUM(S13:S38)</f>
        <v>0</v>
      </c>
      <c r="T39" s="405">
        <f>SUM(T13:T38)</f>
        <v>1.7596601259439737E-16</v>
      </c>
      <c r="U39" s="405">
        <f t="shared" si="13"/>
        <v>0</v>
      </c>
      <c r="V39" s="405">
        <f>SUM(V13:V38)</f>
        <v>-1120378.9999999995</v>
      </c>
      <c r="W39" s="411">
        <f t="shared" si="7"/>
        <v>-6.7498366881224792E-2</v>
      </c>
      <c r="X39" s="393"/>
    </row>
  </sheetData>
  <mergeCells count="32">
    <mergeCell ref="A4:H4"/>
    <mergeCell ref="J4:P4"/>
    <mergeCell ref="R4:X4"/>
    <mergeCell ref="A7:B7"/>
    <mergeCell ref="A8:B8"/>
    <mergeCell ref="A6:B6"/>
    <mergeCell ref="J6:K6"/>
    <mergeCell ref="J7:K7"/>
    <mergeCell ref="J8:K8"/>
    <mergeCell ref="A9:B9"/>
    <mergeCell ref="R11:R12"/>
    <mergeCell ref="A11:A12"/>
    <mergeCell ref="B11:B12"/>
    <mergeCell ref="C11:C12"/>
    <mergeCell ref="D11:D12"/>
    <mergeCell ref="E11:E12"/>
    <mergeCell ref="G11:G12"/>
    <mergeCell ref="F11:F12"/>
    <mergeCell ref="L11:L12"/>
    <mergeCell ref="N11:N12"/>
    <mergeCell ref="O11:O12"/>
    <mergeCell ref="K11:K12"/>
    <mergeCell ref="M11:M12"/>
    <mergeCell ref="P11:P12"/>
    <mergeCell ref="H11:H12"/>
    <mergeCell ref="U11:U12"/>
    <mergeCell ref="J11:J12"/>
    <mergeCell ref="X11:X12"/>
    <mergeCell ref="W11:W12"/>
    <mergeCell ref="T11:T12"/>
    <mergeCell ref="S11:S12"/>
    <mergeCell ref="V11:V12"/>
  </mergeCells>
  <conditionalFormatting sqref="T13:T38">
    <cfRule type="cellIs" dxfId="5" priority="15" stopIfTrue="1" operator="lessThan">
      <formula>0</formula>
    </cfRule>
  </conditionalFormatting>
  <conditionalFormatting sqref="S13:S38">
    <cfRule type="cellIs" dxfId="4" priority="13" stopIfTrue="1" operator="lessThan">
      <formula>0</formula>
    </cfRule>
  </conditionalFormatting>
  <conditionalFormatting sqref="U13:U38">
    <cfRule type="cellIs" dxfId="3" priority="6" stopIfTrue="1" operator="lessThan">
      <formula>0</formula>
    </cfRule>
  </conditionalFormatting>
  <conditionalFormatting sqref="W13:W38">
    <cfRule type="cellIs" dxfId="2" priority="2" operator="lessThan">
      <formula>-0.1</formula>
    </cfRule>
    <cfRule type="cellIs" dxfId="1" priority="3" operator="greaterThan">
      <formula>0.1</formula>
    </cfRule>
  </conditionalFormatting>
  <conditionalFormatting sqref="X13:X38">
    <cfRule type="cellIs" dxfId="0" priority="1" operator="lessThan">
      <formula>-0.05</formula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 r:id="rId1"/>
  <ignoredErrors>
    <ignoredError sqref="M13:M15 M16:M38 O13:O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6"/>
  <sheetViews>
    <sheetView topLeftCell="A124" zoomScale="70" zoomScaleNormal="70" zoomScaleSheetLayoutView="70" workbookViewId="0">
      <selection activeCell="H183" sqref="H183"/>
    </sheetView>
  </sheetViews>
  <sheetFormatPr defaultRowHeight="12.75" x14ac:dyDescent="0.2"/>
  <cols>
    <col min="1" max="1" width="22.5703125" style="75" customWidth="1"/>
    <col min="2" max="2" width="15" style="75" customWidth="1"/>
    <col min="3" max="3" width="18.140625" style="74" customWidth="1"/>
    <col min="4" max="4" width="24.140625" style="75" customWidth="1"/>
    <col min="5" max="6" width="16" style="75" customWidth="1"/>
    <col min="7" max="7" width="16.5703125" style="75" customWidth="1"/>
    <col min="8" max="8" width="15.28515625" style="75" customWidth="1"/>
    <col min="9" max="9" width="15.28515625" style="76" customWidth="1"/>
    <col min="10" max="10" width="16.140625" style="75" customWidth="1"/>
    <col min="11" max="11" width="15.5703125" style="75" customWidth="1"/>
    <col min="12" max="12" width="13.7109375" style="77" customWidth="1"/>
    <col min="13" max="13" width="12.7109375" style="75" customWidth="1"/>
    <col min="14" max="14" width="14" style="79" customWidth="1"/>
    <col min="15" max="15" width="10.42578125" style="70" bestFit="1" customWidth="1"/>
    <col min="16" max="16" width="9.140625" style="70"/>
    <col min="17" max="256" width="9.140625" style="75"/>
    <col min="257" max="257" width="22.5703125" style="75" customWidth="1"/>
    <col min="258" max="258" width="15" style="75" customWidth="1"/>
    <col min="259" max="259" width="18.140625" style="75" customWidth="1"/>
    <col min="260" max="260" width="24.140625" style="75" customWidth="1"/>
    <col min="261" max="262" width="16" style="75" customWidth="1"/>
    <col min="263" max="263" width="16.5703125" style="75" customWidth="1"/>
    <col min="264" max="265" width="15.28515625" style="75" customWidth="1"/>
    <col min="266" max="266" width="16.140625" style="75" customWidth="1"/>
    <col min="267" max="267" width="15.5703125" style="75" customWidth="1"/>
    <col min="268" max="268" width="13.7109375" style="75" customWidth="1"/>
    <col min="269" max="269" width="12.7109375" style="75" customWidth="1"/>
    <col min="270" max="270" width="14" style="75" customWidth="1"/>
    <col min="271" max="271" width="10.42578125" style="75" bestFit="1" customWidth="1"/>
    <col min="272" max="512" width="9.140625" style="75"/>
    <col min="513" max="513" width="22.5703125" style="75" customWidth="1"/>
    <col min="514" max="514" width="15" style="75" customWidth="1"/>
    <col min="515" max="515" width="18.140625" style="75" customWidth="1"/>
    <col min="516" max="516" width="24.140625" style="75" customWidth="1"/>
    <col min="517" max="518" width="16" style="75" customWidth="1"/>
    <col min="519" max="519" width="16.5703125" style="75" customWidth="1"/>
    <col min="520" max="521" width="15.28515625" style="75" customWidth="1"/>
    <col min="522" max="522" width="16.140625" style="75" customWidth="1"/>
    <col min="523" max="523" width="15.5703125" style="75" customWidth="1"/>
    <col min="524" max="524" width="13.7109375" style="75" customWidth="1"/>
    <col min="525" max="525" width="12.7109375" style="75" customWidth="1"/>
    <col min="526" max="526" width="14" style="75" customWidth="1"/>
    <col min="527" max="527" width="10.42578125" style="75" bestFit="1" customWidth="1"/>
    <col min="528" max="768" width="9.140625" style="75"/>
    <col min="769" max="769" width="22.5703125" style="75" customWidth="1"/>
    <col min="770" max="770" width="15" style="75" customWidth="1"/>
    <col min="771" max="771" width="18.140625" style="75" customWidth="1"/>
    <col min="772" max="772" width="24.140625" style="75" customWidth="1"/>
    <col min="773" max="774" width="16" style="75" customWidth="1"/>
    <col min="775" max="775" width="16.5703125" style="75" customWidth="1"/>
    <col min="776" max="777" width="15.28515625" style="75" customWidth="1"/>
    <col min="778" max="778" width="16.140625" style="75" customWidth="1"/>
    <col min="779" max="779" width="15.5703125" style="75" customWidth="1"/>
    <col min="780" max="780" width="13.7109375" style="75" customWidth="1"/>
    <col min="781" max="781" width="12.7109375" style="75" customWidth="1"/>
    <col min="782" max="782" width="14" style="75" customWidth="1"/>
    <col min="783" max="783" width="10.42578125" style="75" bestFit="1" customWidth="1"/>
    <col min="784" max="1024" width="9.140625" style="75"/>
    <col min="1025" max="1025" width="22.5703125" style="75" customWidth="1"/>
    <col min="1026" max="1026" width="15" style="75" customWidth="1"/>
    <col min="1027" max="1027" width="18.140625" style="75" customWidth="1"/>
    <col min="1028" max="1028" width="24.140625" style="75" customWidth="1"/>
    <col min="1029" max="1030" width="16" style="75" customWidth="1"/>
    <col min="1031" max="1031" width="16.5703125" style="75" customWidth="1"/>
    <col min="1032" max="1033" width="15.28515625" style="75" customWidth="1"/>
    <col min="1034" max="1034" width="16.140625" style="75" customWidth="1"/>
    <col min="1035" max="1035" width="15.5703125" style="75" customWidth="1"/>
    <col min="1036" max="1036" width="13.7109375" style="75" customWidth="1"/>
    <col min="1037" max="1037" width="12.7109375" style="75" customWidth="1"/>
    <col min="1038" max="1038" width="14" style="75" customWidth="1"/>
    <col min="1039" max="1039" width="10.42578125" style="75" bestFit="1" customWidth="1"/>
    <col min="1040" max="1280" width="9.140625" style="75"/>
    <col min="1281" max="1281" width="22.5703125" style="75" customWidth="1"/>
    <col min="1282" max="1282" width="15" style="75" customWidth="1"/>
    <col min="1283" max="1283" width="18.140625" style="75" customWidth="1"/>
    <col min="1284" max="1284" width="24.140625" style="75" customWidth="1"/>
    <col min="1285" max="1286" width="16" style="75" customWidth="1"/>
    <col min="1287" max="1287" width="16.5703125" style="75" customWidth="1"/>
    <col min="1288" max="1289" width="15.28515625" style="75" customWidth="1"/>
    <col min="1290" max="1290" width="16.140625" style="75" customWidth="1"/>
    <col min="1291" max="1291" width="15.5703125" style="75" customWidth="1"/>
    <col min="1292" max="1292" width="13.7109375" style="75" customWidth="1"/>
    <col min="1293" max="1293" width="12.7109375" style="75" customWidth="1"/>
    <col min="1294" max="1294" width="14" style="75" customWidth="1"/>
    <col min="1295" max="1295" width="10.42578125" style="75" bestFit="1" customWidth="1"/>
    <col min="1296" max="1536" width="9.140625" style="75"/>
    <col min="1537" max="1537" width="22.5703125" style="75" customWidth="1"/>
    <col min="1538" max="1538" width="15" style="75" customWidth="1"/>
    <col min="1539" max="1539" width="18.140625" style="75" customWidth="1"/>
    <col min="1540" max="1540" width="24.140625" style="75" customWidth="1"/>
    <col min="1541" max="1542" width="16" style="75" customWidth="1"/>
    <col min="1543" max="1543" width="16.5703125" style="75" customWidth="1"/>
    <col min="1544" max="1545" width="15.28515625" style="75" customWidth="1"/>
    <col min="1546" max="1546" width="16.140625" style="75" customWidth="1"/>
    <col min="1547" max="1547" width="15.5703125" style="75" customWidth="1"/>
    <col min="1548" max="1548" width="13.7109375" style="75" customWidth="1"/>
    <col min="1549" max="1549" width="12.7109375" style="75" customWidth="1"/>
    <col min="1550" max="1550" width="14" style="75" customWidth="1"/>
    <col min="1551" max="1551" width="10.42578125" style="75" bestFit="1" customWidth="1"/>
    <col min="1552" max="1792" width="9.140625" style="75"/>
    <col min="1793" max="1793" width="22.5703125" style="75" customWidth="1"/>
    <col min="1794" max="1794" width="15" style="75" customWidth="1"/>
    <col min="1795" max="1795" width="18.140625" style="75" customWidth="1"/>
    <col min="1796" max="1796" width="24.140625" style="75" customWidth="1"/>
    <col min="1797" max="1798" width="16" style="75" customWidth="1"/>
    <col min="1799" max="1799" width="16.5703125" style="75" customWidth="1"/>
    <col min="1800" max="1801" width="15.28515625" style="75" customWidth="1"/>
    <col min="1802" max="1802" width="16.140625" style="75" customWidth="1"/>
    <col min="1803" max="1803" width="15.5703125" style="75" customWidth="1"/>
    <col min="1804" max="1804" width="13.7109375" style="75" customWidth="1"/>
    <col min="1805" max="1805" width="12.7109375" style="75" customWidth="1"/>
    <col min="1806" max="1806" width="14" style="75" customWidth="1"/>
    <col min="1807" max="1807" width="10.42578125" style="75" bestFit="1" customWidth="1"/>
    <col min="1808" max="2048" width="9.140625" style="75"/>
    <col min="2049" max="2049" width="22.5703125" style="75" customWidth="1"/>
    <col min="2050" max="2050" width="15" style="75" customWidth="1"/>
    <col min="2051" max="2051" width="18.140625" style="75" customWidth="1"/>
    <col min="2052" max="2052" width="24.140625" style="75" customWidth="1"/>
    <col min="2053" max="2054" width="16" style="75" customWidth="1"/>
    <col min="2055" max="2055" width="16.5703125" style="75" customWidth="1"/>
    <col min="2056" max="2057" width="15.28515625" style="75" customWidth="1"/>
    <col min="2058" max="2058" width="16.140625" style="75" customWidth="1"/>
    <col min="2059" max="2059" width="15.5703125" style="75" customWidth="1"/>
    <col min="2060" max="2060" width="13.7109375" style="75" customWidth="1"/>
    <col min="2061" max="2061" width="12.7109375" style="75" customWidth="1"/>
    <col min="2062" max="2062" width="14" style="75" customWidth="1"/>
    <col min="2063" max="2063" width="10.42578125" style="75" bestFit="1" customWidth="1"/>
    <col min="2064" max="2304" width="9.140625" style="75"/>
    <col min="2305" max="2305" width="22.5703125" style="75" customWidth="1"/>
    <col min="2306" max="2306" width="15" style="75" customWidth="1"/>
    <col min="2307" max="2307" width="18.140625" style="75" customWidth="1"/>
    <col min="2308" max="2308" width="24.140625" style="75" customWidth="1"/>
    <col min="2309" max="2310" width="16" style="75" customWidth="1"/>
    <col min="2311" max="2311" width="16.5703125" style="75" customWidth="1"/>
    <col min="2312" max="2313" width="15.28515625" style="75" customWidth="1"/>
    <col min="2314" max="2314" width="16.140625" style="75" customWidth="1"/>
    <col min="2315" max="2315" width="15.5703125" style="75" customWidth="1"/>
    <col min="2316" max="2316" width="13.7109375" style="75" customWidth="1"/>
    <col min="2317" max="2317" width="12.7109375" style="75" customWidth="1"/>
    <col min="2318" max="2318" width="14" style="75" customWidth="1"/>
    <col min="2319" max="2319" width="10.42578125" style="75" bestFit="1" customWidth="1"/>
    <col min="2320" max="2560" width="9.140625" style="75"/>
    <col min="2561" max="2561" width="22.5703125" style="75" customWidth="1"/>
    <col min="2562" max="2562" width="15" style="75" customWidth="1"/>
    <col min="2563" max="2563" width="18.140625" style="75" customWidth="1"/>
    <col min="2564" max="2564" width="24.140625" style="75" customWidth="1"/>
    <col min="2565" max="2566" width="16" style="75" customWidth="1"/>
    <col min="2567" max="2567" width="16.5703125" style="75" customWidth="1"/>
    <col min="2568" max="2569" width="15.28515625" style="75" customWidth="1"/>
    <col min="2570" max="2570" width="16.140625" style="75" customWidth="1"/>
    <col min="2571" max="2571" width="15.5703125" style="75" customWidth="1"/>
    <col min="2572" max="2572" width="13.7109375" style="75" customWidth="1"/>
    <col min="2573" max="2573" width="12.7109375" style="75" customWidth="1"/>
    <col min="2574" max="2574" width="14" style="75" customWidth="1"/>
    <col min="2575" max="2575" width="10.42578125" style="75" bestFit="1" customWidth="1"/>
    <col min="2576" max="2816" width="9.140625" style="75"/>
    <col min="2817" max="2817" width="22.5703125" style="75" customWidth="1"/>
    <col min="2818" max="2818" width="15" style="75" customWidth="1"/>
    <col min="2819" max="2819" width="18.140625" style="75" customWidth="1"/>
    <col min="2820" max="2820" width="24.140625" style="75" customWidth="1"/>
    <col min="2821" max="2822" width="16" style="75" customWidth="1"/>
    <col min="2823" max="2823" width="16.5703125" style="75" customWidth="1"/>
    <col min="2824" max="2825" width="15.28515625" style="75" customWidth="1"/>
    <col min="2826" max="2826" width="16.140625" style="75" customWidth="1"/>
    <col min="2827" max="2827" width="15.5703125" style="75" customWidth="1"/>
    <col min="2828" max="2828" width="13.7109375" style="75" customWidth="1"/>
    <col min="2829" max="2829" width="12.7109375" style="75" customWidth="1"/>
    <col min="2830" max="2830" width="14" style="75" customWidth="1"/>
    <col min="2831" max="2831" width="10.42578125" style="75" bestFit="1" customWidth="1"/>
    <col min="2832" max="3072" width="9.140625" style="75"/>
    <col min="3073" max="3073" width="22.5703125" style="75" customWidth="1"/>
    <col min="3074" max="3074" width="15" style="75" customWidth="1"/>
    <col min="3075" max="3075" width="18.140625" style="75" customWidth="1"/>
    <col min="3076" max="3076" width="24.140625" style="75" customWidth="1"/>
    <col min="3077" max="3078" width="16" style="75" customWidth="1"/>
    <col min="3079" max="3079" width="16.5703125" style="75" customWidth="1"/>
    <col min="3080" max="3081" width="15.28515625" style="75" customWidth="1"/>
    <col min="3082" max="3082" width="16.140625" style="75" customWidth="1"/>
    <col min="3083" max="3083" width="15.5703125" style="75" customWidth="1"/>
    <col min="3084" max="3084" width="13.7109375" style="75" customWidth="1"/>
    <col min="3085" max="3085" width="12.7109375" style="75" customWidth="1"/>
    <col min="3086" max="3086" width="14" style="75" customWidth="1"/>
    <col min="3087" max="3087" width="10.42578125" style="75" bestFit="1" customWidth="1"/>
    <col min="3088" max="3328" width="9.140625" style="75"/>
    <col min="3329" max="3329" width="22.5703125" style="75" customWidth="1"/>
    <col min="3330" max="3330" width="15" style="75" customWidth="1"/>
    <col min="3331" max="3331" width="18.140625" style="75" customWidth="1"/>
    <col min="3332" max="3332" width="24.140625" style="75" customWidth="1"/>
    <col min="3333" max="3334" width="16" style="75" customWidth="1"/>
    <col min="3335" max="3335" width="16.5703125" style="75" customWidth="1"/>
    <col min="3336" max="3337" width="15.28515625" style="75" customWidth="1"/>
    <col min="3338" max="3338" width="16.140625" style="75" customWidth="1"/>
    <col min="3339" max="3339" width="15.5703125" style="75" customWidth="1"/>
    <col min="3340" max="3340" width="13.7109375" style="75" customWidth="1"/>
    <col min="3341" max="3341" width="12.7109375" style="75" customWidth="1"/>
    <col min="3342" max="3342" width="14" style="75" customWidth="1"/>
    <col min="3343" max="3343" width="10.42578125" style="75" bestFit="1" customWidth="1"/>
    <col min="3344" max="3584" width="9.140625" style="75"/>
    <col min="3585" max="3585" width="22.5703125" style="75" customWidth="1"/>
    <col min="3586" max="3586" width="15" style="75" customWidth="1"/>
    <col min="3587" max="3587" width="18.140625" style="75" customWidth="1"/>
    <col min="3588" max="3588" width="24.140625" style="75" customWidth="1"/>
    <col min="3589" max="3590" width="16" style="75" customWidth="1"/>
    <col min="3591" max="3591" width="16.5703125" style="75" customWidth="1"/>
    <col min="3592" max="3593" width="15.28515625" style="75" customWidth="1"/>
    <col min="3594" max="3594" width="16.140625" style="75" customWidth="1"/>
    <col min="3595" max="3595" width="15.5703125" style="75" customWidth="1"/>
    <col min="3596" max="3596" width="13.7109375" style="75" customWidth="1"/>
    <col min="3597" max="3597" width="12.7109375" style="75" customWidth="1"/>
    <col min="3598" max="3598" width="14" style="75" customWidth="1"/>
    <col min="3599" max="3599" width="10.42578125" style="75" bestFit="1" customWidth="1"/>
    <col min="3600" max="3840" width="9.140625" style="75"/>
    <col min="3841" max="3841" width="22.5703125" style="75" customWidth="1"/>
    <col min="3842" max="3842" width="15" style="75" customWidth="1"/>
    <col min="3843" max="3843" width="18.140625" style="75" customWidth="1"/>
    <col min="3844" max="3844" width="24.140625" style="75" customWidth="1"/>
    <col min="3845" max="3846" width="16" style="75" customWidth="1"/>
    <col min="3847" max="3847" width="16.5703125" style="75" customWidth="1"/>
    <col min="3848" max="3849" width="15.28515625" style="75" customWidth="1"/>
    <col min="3850" max="3850" width="16.140625" style="75" customWidth="1"/>
    <col min="3851" max="3851" width="15.5703125" style="75" customWidth="1"/>
    <col min="3852" max="3852" width="13.7109375" style="75" customWidth="1"/>
    <col min="3853" max="3853" width="12.7109375" style="75" customWidth="1"/>
    <col min="3854" max="3854" width="14" style="75" customWidth="1"/>
    <col min="3855" max="3855" width="10.42578125" style="75" bestFit="1" customWidth="1"/>
    <col min="3856" max="4096" width="9.140625" style="75"/>
    <col min="4097" max="4097" width="22.5703125" style="75" customWidth="1"/>
    <col min="4098" max="4098" width="15" style="75" customWidth="1"/>
    <col min="4099" max="4099" width="18.140625" style="75" customWidth="1"/>
    <col min="4100" max="4100" width="24.140625" style="75" customWidth="1"/>
    <col min="4101" max="4102" width="16" style="75" customWidth="1"/>
    <col min="4103" max="4103" width="16.5703125" style="75" customWidth="1"/>
    <col min="4104" max="4105" width="15.28515625" style="75" customWidth="1"/>
    <col min="4106" max="4106" width="16.140625" style="75" customWidth="1"/>
    <col min="4107" max="4107" width="15.5703125" style="75" customWidth="1"/>
    <col min="4108" max="4108" width="13.7109375" style="75" customWidth="1"/>
    <col min="4109" max="4109" width="12.7109375" style="75" customWidth="1"/>
    <col min="4110" max="4110" width="14" style="75" customWidth="1"/>
    <col min="4111" max="4111" width="10.42578125" style="75" bestFit="1" customWidth="1"/>
    <col min="4112" max="4352" width="9.140625" style="75"/>
    <col min="4353" max="4353" width="22.5703125" style="75" customWidth="1"/>
    <col min="4354" max="4354" width="15" style="75" customWidth="1"/>
    <col min="4355" max="4355" width="18.140625" style="75" customWidth="1"/>
    <col min="4356" max="4356" width="24.140625" style="75" customWidth="1"/>
    <col min="4357" max="4358" width="16" style="75" customWidth="1"/>
    <col min="4359" max="4359" width="16.5703125" style="75" customWidth="1"/>
    <col min="4360" max="4361" width="15.28515625" style="75" customWidth="1"/>
    <col min="4362" max="4362" width="16.140625" style="75" customWidth="1"/>
    <col min="4363" max="4363" width="15.5703125" style="75" customWidth="1"/>
    <col min="4364" max="4364" width="13.7109375" style="75" customWidth="1"/>
    <col min="4365" max="4365" width="12.7109375" style="75" customWidth="1"/>
    <col min="4366" max="4366" width="14" style="75" customWidth="1"/>
    <col min="4367" max="4367" width="10.42578125" style="75" bestFit="1" customWidth="1"/>
    <col min="4368" max="4608" width="9.140625" style="75"/>
    <col min="4609" max="4609" width="22.5703125" style="75" customWidth="1"/>
    <col min="4610" max="4610" width="15" style="75" customWidth="1"/>
    <col min="4611" max="4611" width="18.140625" style="75" customWidth="1"/>
    <col min="4612" max="4612" width="24.140625" style="75" customWidth="1"/>
    <col min="4613" max="4614" width="16" style="75" customWidth="1"/>
    <col min="4615" max="4615" width="16.5703125" style="75" customWidth="1"/>
    <col min="4616" max="4617" width="15.28515625" style="75" customWidth="1"/>
    <col min="4618" max="4618" width="16.140625" style="75" customWidth="1"/>
    <col min="4619" max="4619" width="15.5703125" style="75" customWidth="1"/>
    <col min="4620" max="4620" width="13.7109375" style="75" customWidth="1"/>
    <col min="4621" max="4621" width="12.7109375" style="75" customWidth="1"/>
    <col min="4622" max="4622" width="14" style="75" customWidth="1"/>
    <col min="4623" max="4623" width="10.42578125" style="75" bestFit="1" customWidth="1"/>
    <col min="4624" max="4864" width="9.140625" style="75"/>
    <col min="4865" max="4865" width="22.5703125" style="75" customWidth="1"/>
    <col min="4866" max="4866" width="15" style="75" customWidth="1"/>
    <col min="4867" max="4867" width="18.140625" style="75" customWidth="1"/>
    <col min="4868" max="4868" width="24.140625" style="75" customWidth="1"/>
    <col min="4869" max="4870" width="16" style="75" customWidth="1"/>
    <col min="4871" max="4871" width="16.5703125" style="75" customWidth="1"/>
    <col min="4872" max="4873" width="15.28515625" style="75" customWidth="1"/>
    <col min="4874" max="4874" width="16.140625" style="75" customWidth="1"/>
    <col min="4875" max="4875" width="15.5703125" style="75" customWidth="1"/>
    <col min="4876" max="4876" width="13.7109375" style="75" customWidth="1"/>
    <col min="4877" max="4877" width="12.7109375" style="75" customWidth="1"/>
    <col min="4878" max="4878" width="14" style="75" customWidth="1"/>
    <col min="4879" max="4879" width="10.42578125" style="75" bestFit="1" customWidth="1"/>
    <col min="4880" max="5120" width="9.140625" style="75"/>
    <col min="5121" max="5121" width="22.5703125" style="75" customWidth="1"/>
    <col min="5122" max="5122" width="15" style="75" customWidth="1"/>
    <col min="5123" max="5123" width="18.140625" style="75" customWidth="1"/>
    <col min="5124" max="5124" width="24.140625" style="75" customWidth="1"/>
    <col min="5125" max="5126" width="16" style="75" customWidth="1"/>
    <col min="5127" max="5127" width="16.5703125" style="75" customWidth="1"/>
    <col min="5128" max="5129" width="15.28515625" style="75" customWidth="1"/>
    <col min="5130" max="5130" width="16.140625" style="75" customWidth="1"/>
    <col min="5131" max="5131" width="15.5703125" style="75" customWidth="1"/>
    <col min="5132" max="5132" width="13.7109375" style="75" customWidth="1"/>
    <col min="5133" max="5133" width="12.7109375" style="75" customWidth="1"/>
    <col min="5134" max="5134" width="14" style="75" customWidth="1"/>
    <col min="5135" max="5135" width="10.42578125" style="75" bestFit="1" customWidth="1"/>
    <col min="5136" max="5376" width="9.140625" style="75"/>
    <col min="5377" max="5377" width="22.5703125" style="75" customWidth="1"/>
    <col min="5378" max="5378" width="15" style="75" customWidth="1"/>
    <col min="5379" max="5379" width="18.140625" style="75" customWidth="1"/>
    <col min="5380" max="5380" width="24.140625" style="75" customWidth="1"/>
    <col min="5381" max="5382" width="16" style="75" customWidth="1"/>
    <col min="5383" max="5383" width="16.5703125" style="75" customWidth="1"/>
    <col min="5384" max="5385" width="15.28515625" style="75" customWidth="1"/>
    <col min="5386" max="5386" width="16.140625" style="75" customWidth="1"/>
    <col min="5387" max="5387" width="15.5703125" style="75" customWidth="1"/>
    <col min="5388" max="5388" width="13.7109375" style="75" customWidth="1"/>
    <col min="5389" max="5389" width="12.7109375" style="75" customWidth="1"/>
    <col min="5390" max="5390" width="14" style="75" customWidth="1"/>
    <col min="5391" max="5391" width="10.42578125" style="75" bestFit="1" customWidth="1"/>
    <col min="5392" max="5632" width="9.140625" style="75"/>
    <col min="5633" max="5633" width="22.5703125" style="75" customWidth="1"/>
    <col min="5634" max="5634" width="15" style="75" customWidth="1"/>
    <col min="5635" max="5635" width="18.140625" style="75" customWidth="1"/>
    <col min="5636" max="5636" width="24.140625" style="75" customWidth="1"/>
    <col min="5637" max="5638" width="16" style="75" customWidth="1"/>
    <col min="5639" max="5639" width="16.5703125" style="75" customWidth="1"/>
    <col min="5640" max="5641" width="15.28515625" style="75" customWidth="1"/>
    <col min="5642" max="5642" width="16.140625" style="75" customWidth="1"/>
    <col min="5643" max="5643" width="15.5703125" style="75" customWidth="1"/>
    <col min="5644" max="5644" width="13.7109375" style="75" customWidth="1"/>
    <col min="5645" max="5645" width="12.7109375" style="75" customWidth="1"/>
    <col min="5646" max="5646" width="14" style="75" customWidth="1"/>
    <col min="5647" max="5647" width="10.42578125" style="75" bestFit="1" customWidth="1"/>
    <col min="5648" max="5888" width="9.140625" style="75"/>
    <col min="5889" max="5889" width="22.5703125" style="75" customWidth="1"/>
    <col min="5890" max="5890" width="15" style="75" customWidth="1"/>
    <col min="5891" max="5891" width="18.140625" style="75" customWidth="1"/>
    <col min="5892" max="5892" width="24.140625" style="75" customWidth="1"/>
    <col min="5893" max="5894" width="16" style="75" customWidth="1"/>
    <col min="5895" max="5895" width="16.5703125" style="75" customWidth="1"/>
    <col min="5896" max="5897" width="15.28515625" style="75" customWidth="1"/>
    <col min="5898" max="5898" width="16.140625" style="75" customWidth="1"/>
    <col min="5899" max="5899" width="15.5703125" style="75" customWidth="1"/>
    <col min="5900" max="5900" width="13.7109375" style="75" customWidth="1"/>
    <col min="5901" max="5901" width="12.7109375" style="75" customWidth="1"/>
    <col min="5902" max="5902" width="14" style="75" customWidth="1"/>
    <col min="5903" max="5903" width="10.42578125" style="75" bestFit="1" customWidth="1"/>
    <col min="5904" max="6144" width="9.140625" style="75"/>
    <col min="6145" max="6145" width="22.5703125" style="75" customWidth="1"/>
    <col min="6146" max="6146" width="15" style="75" customWidth="1"/>
    <col min="6147" max="6147" width="18.140625" style="75" customWidth="1"/>
    <col min="6148" max="6148" width="24.140625" style="75" customWidth="1"/>
    <col min="6149" max="6150" width="16" style="75" customWidth="1"/>
    <col min="6151" max="6151" width="16.5703125" style="75" customWidth="1"/>
    <col min="6152" max="6153" width="15.28515625" style="75" customWidth="1"/>
    <col min="6154" max="6154" width="16.140625" style="75" customWidth="1"/>
    <col min="6155" max="6155" width="15.5703125" style="75" customWidth="1"/>
    <col min="6156" max="6156" width="13.7109375" style="75" customWidth="1"/>
    <col min="6157" max="6157" width="12.7109375" style="75" customWidth="1"/>
    <col min="6158" max="6158" width="14" style="75" customWidth="1"/>
    <col min="6159" max="6159" width="10.42578125" style="75" bestFit="1" customWidth="1"/>
    <col min="6160" max="6400" width="9.140625" style="75"/>
    <col min="6401" max="6401" width="22.5703125" style="75" customWidth="1"/>
    <col min="6402" max="6402" width="15" style="75" customWidth="1"/>
    <col min="6403" max="6403" width="18.140625" style="75" customWidth="1"/>
    <col min="6404" max="6404" width="24.140625" style="75" customWidth="1"/>
    <col min="6405" max="6406" width="16" style="75" customWidth="1"/>
    <col min="6407" max="6407" width="16.5703125" style="75" customWidth="1"/>
    <col min="6408" max="6409" width="15.28515625" style="75" customWidth="1"/>
    <col min="6410" max="6410" width="16.140625" style="75" customWidth="1"/>
    <col min="6411" max="6411" width="15.5703125" style="75" customWidth="1"/>
    <col min="6412" max="6412" width="13.7109375" style="75" customWidth="1"/>
    <col min="6413" max="6413" width="12.7109375" style="75" customWidth="1"/>
    <col min="6414" max="6414" width="14" style="75" customWidth="1"/>
    <col min="6415" max="6415" width="10.42578125" style="75" bestFit="1" customWidth="1"/>
    <col min="6416" max="6656" width="9.140625" style="75"/>
    <col min="6657" max="6657" width="22.5703125" style="75" customWidth="1"/>
    <col min="6658" max="6658" width="15" style="75" customWidth="1"/>
    <col min="6659" max="6659" width="18.140625" style="75" customWidth="1"/>
    <col min="6660" max="6660" width="24.140625" style="75" customWidth="1"/>
    <col min="6661" max="6662" width="16" style="75" customWidth="1"/>
    <col min="6663" max="6663" width="16.5703125" style="75" customWidth="1"/>
    <col min="6664" max="6665" width="15.28515625" style="75" customWidth="1"/>
    <col min="6666" max="6666" width="16.140625" style="75" customWidth="1"/>
    <col min="6667" max="6667" width="15.5703125" style="75" customWidth="1"/>
    <col min="6668" max="6668" width="13.7109375" style="75" customWidth="1"/>
    <col min="6669" max="6669" width="12.7109375" style="75" customWidth="1"/>
    <col min="6670" max="6670" width="14" style="75" customWidth="1"/>
    <col min="6671" max="6671" width="10.42578125" style="75" bestFit="1" customWidth="1"/>
    <col min="6672" max="6912" width="9.140625" style="75"/>
    <col min="6913" max="6913" width="22.5703125" style="75" customWidth="1"/>
    <col min="6914" max="6914" width="15" style="75" customWidth="1"/>
    <col min="6915" max="6915" width="18.140625" style="75" customWidth="1"/>
    <col min="6916" max="6916" width="24.140625" style="75" customWidth="1"/>
    <col min="6917" max="6918" width="16" style="75" customWidth="1"/>
    <col min="6919" max="6919" width="16.5703125" style="75" customWidth="1"/>
    <col min="6920" max="6921" width="15.28515625" style="75" customWidth="1"/>
    <col min="6922" max="6922" width="16.140625" style="75" customWidth="1"/>
    <col min="6923" max="6923" width="15.5703125" style="75" customWidth="1"/>
    <col min="6924" max="6924" width="13.7109375" style="75" customWidth="1"/>
    <col min="6925" max="6925" width="12.7109375" style="75" customWidth="1"/>
    <col min="6926" max="6926" width="14" style="75" customWidth="1"/>
    <col min="6927" max="6927" width="10.42578125" style="75" bestFit="1" customWidth="1"/>
    <col min="6928" max="7168" width="9.140625" style="75"/>
    <col min="7169" max="7169" width="22.5703125" style="75" customWidth="1"/>
    <col min="7170" max="7170" width="15" style="75" customWidth="1"/>
    <col min="7171" max="7171" width="18.140625" style="75" customWidth="1"/>
    <col min="7172" max="7172" width="24.140625" style="75" customWidth="1"/>
    <col min="7173" max="7174" width="16" style="75" customWidth="1"/>
    <col min="7175" max="7175" width="16.5703125" style="75" customWidth="1"/>
    <col min="7176" max="7177" width="15.28515625" style="75" customWidth="1"/>
    <col min="7178" max="7178" width="16.140625" style="75" customWidth="1"/>
    <col min="7179" max="7179" width="15.5703125" style="75" customWidth="1"/>
    <col min="7180" max="7180" width="13.7109375" style="75" customWidth="1"/>
    <col min="7181" max="7181" width="12.7109375" style="75" customWidth="1"/>
    <col min="7182" max="7182" width="14" style="75" customWidth="1"/>
    <col min="7183" max="7183" width="10.42578125" style="75" bestFit="1" customWidth="1"/>
    <col min="7184" max="7424" width="9.140625" style="75"/>
    <col min="7425" max="7425" width="22.5703125" style="75" customWidth="1"/>
    <col min="7426" max="7426" width="15" style="75" customWidth="1"/>
    <col min="7427" max="7427" width="18.140625" style="75" customWidth="1"/>
    <col min="7428" max="7428" width="24.140625" style="75" customWidth="1"/>
    <col min="7429" max="7430" width="16" style="75" customWidth="1"/>
    <col min="7431" max="7431" width="16.5703125" style="75" customWidth="1"/>
    <col min="7432" max="7433" width="15.28515625" style="75" customWidth="1"/>
    <col min="7434" max="7434" width="16.140625" style="75" customWidth="1"/>
    <col min="7435" max="7435" width="15.5703125" style="75" customWidth="1"/>
    <col min="7436" max="7436" width="13.7109375" style="75" customWidth="1"/>
    <col min="7437" max="7437" width="12.7109375" style="75" customWidth="1"/>
    <col min="7438" max="7438" width="14" style="75" customWidth="1"/>
    <col min="7439" max="7439" width="10.42578125" style="75" bestFit="1" customWidth="1"/>
    <col min="7440" max="7680" width="9.140625" style="75"/>
    <col min="7681" max="7681" width="22.5703125" style="75" customWidth="1"/>
    <col min="7682" max="7682" width="15" style="75" customWidth="1"/>
    <col min="7683" max="7683" width="18.140625" style="75" customWidth="1"/>
    <col min="7684" max="7684" width="24.140625" style="75" customWidth="1"/>
    <col min="7685" max="7686" width="16" style="75" customWidth="1"/>
    <col min="7687" max="7687" width="16.5703125" style="75" customWidth="1"/>
    <col min="7688" max="7689" width="15.28515625" style="75" customWidth="1"/>
    <col min="7690" max="7690" width="16.140625" style="75" customWidth="1"/>
    <col min="7691" max="7691" width="15.5703125" style="75" customWidth="1"/>
    <col min="7692" max="7692" width="13.7109375" style="75" customWidth="1"/>
    <col min="7693" max="7693" width="12.7109375" style="75" customWidth="1"/>
    <col min="7694" max="7694" width="14" style="75" customWidth="1"/>
    <col min="7695" max="7695" width="10.42578125" style="75" bestFit="1" customWidth="1"/>
    <col min="7696" max="7936" width="9.140625" style="75"/>
    <col min="7937" max="7937" width="22.5703125" style="75" customWidth="1"/>
    <col min="7938" max="7938" width="15" style="75" customWidth="1"/>
    <col min="7939" max="7939" width="18.140625" style="75" customWidth="1"/>
    <col min="7940" max="7940" width="24.140625" style="75" customWidth="1"/>
    <col min="7941" max="7942" width="16" style="75" customWidth="1"/>
    <col min="7943" max="7943" width="16.5703125" style="75" customWidth="1"/>
    <col min="7944" max="7945" width="15.28515625" style="75" customWidth="1"/>
    <col min="7946" max="7946" width="16.140625" style="75" customWidth="1"/>
    <col min="7947" max="7947" width="15.5703125" style="75" customWidth="1"/>
    <col min="7948" max="7948" width="13.7109375" style="75" customWidth="1"/>
    <col min="7949" max="7949" width="12.7109375" style="75" customWidth="1"/>
    <col min="7950" max="7950" width="14" style="75" customWidth="1"/>
    <col min="7951" max="7951" width="10.42578125" style="75" bestFit="1" customWidth="1"/>
    <col min="7952" max="8192" width="9.140625" style="75"/>
    <col min="8193" max="8193" width="22.5703125" style="75" customWidth="1"/>
    <col min="8194" max="8194" width="15" style="75" customWidth="1"/>
    <col min="8195" max="8195" width="18.140625" style="75" customWidth="1"/>
    <col min="8196" max="8196" width="24.140625" style="75" customWidth="1"/>
    <col min="8197" max="8198" width="16" style="75" customWidth="1"/>
    <col min="8199" max="8199" width="16.5703125" style="75" customWidth="1"/>
    <col min="8200" max="8201" width="15.28515625" style="75" customWidth="1"/>
    <col min="8202" max="8202" width="16.140625" style="75" customWidth="1"/>
    <col min="8203" max="8203" width="15.5703125" style="75" customWidth="1"/>
    <col min="8204" max="8204" width="13.7109375" style="75" customWidth="1"/>
    <col min="8205" max="8205" width="12.7109375" style="75" customWidth="1"/>
    <col min="8206" max="8206" width="14" style="75" customWidth="1"/>
    <col min="8207" max="8207" width="10.42578125" style="75" bestFit="1" customWidth="1"/>
    <col min="8208" max="8448" width="9.140625" style="75"/>
    <col min="8449" max="8449" width="22.5703125" style="75" customWidth="1"/>
    <col min="8450" max="8450" width="15" style="75" customWidth="1"/>
    <col min="8451" max="8451" width="18.140625" style="75" customWidth="1"/>
    <col min="8452" max="8452" width="24.140625" style="75" customWidth="1"/>
    <col min="8453" max="8454" width="16" style="75" customWidth="1"/>
    <col min="8455" max="8455" width="16.5703125" style="75" customWidth="1"/>
    <col min="8456" max="8457" width="15.28515625" style="75" customWidth="1"/>
    <col min="8458" max="8458" width="16.140625" style="75" customWidth="1"/>
    <col min="8459" max="8459" width="15.5703125" style="75" customWidth="1"/>
    <col min="8460" max="8460" width="13.7109375" style="75" customWidth="1"/>
    <col min="8461" max="8461" width="12.7109375" style="75" customWidth="1"/>
    <col min="8462" max="8462" width="14" style="75" customWidth="1"/>
    <col min="8463" max="8463" width="10.42578125" style="75" bestFit="1" customWidth="1"/>
    <col min="8464" max="8704" width="9.140625" style="75"/>
    <col min="8705" max="8705" width="22.5703125" style="75" customWidth="1"/>
    <col min="8706" max="8706" width="15" style="75" customWidth="1"/>
    <col min="8707" max="8707" width="18.140625" style="75" customWidth="1"/>
    <col min="8708" max="8708" width="24.140625" style="75" customWidth="1"/>
    <col min="8709" max="8710" width="16" style="75" customWidth="1"/>
    <col min="8711" max="8711" width="16.5703125" style="75" customWidth="1"/>
    <col min="8712" max="8713" width="15.28515625" style="75" customWidth="1"/>
    <col min="8714" max="8714" width="16.140625" style="75" customWidth="1"/>
    <col min="8715" max="8715" width="15.5703125" style="75" customWidth="1"/>
    <col min="8716" max="8716" width="13.7109375" style="75" customWidth="1"/>
    <col min="8717" max="8717" width="12.7109375" style="75" customWidth="1"/>
    <col min="8718" max="8718" width="14" style="75" customWidth="1"/>
    <col min="8719" max="8719" width="10.42578125" style="75" bestFit="1" customWidth="1"/>
    <col min="8720" max="8960" width="9.140625" style="75"/>
    <col min="8961" max="8961" width="22.5703125" style="75" customWidth="1"/>
    <col min="8962" max="8962" width="15" style="75" customWidth="1"/>
    <col min="8963" max="8963" width="18.140625" style="75" customWidth="1"/>
    <col min="8964" max="8964" width="24.140625" style="75" customWidth="1"/>
    <col min="8965" max="8966" width="16" style="75" customWidth="1"/>
    <col min="8967" max="8967" width="16.5703125" style="75" customWidth="1"/>
    <col min="8968" max="8969" width="15.28515625" style="75" customWidth="1"/>
    <col min="8970" max="8970" width="16.140625" style="75" customWidth="1"/>
    <col min="8971" max="8971" width="15.5703125" style="75" customWidth="1"/>
    <col min="8972" max="8972" width="13.7109375" style="75" customWidth="1"/>
    <col min="8973" max="8973" width="12.7109375" style="75" customWidth="1"/>
    <col min="8974" max="8974" width="14" style="75" customWidth="1"/>
    <col min="8975" max="8975" width="10.42578125" style="75" bestFit="1" customWidth="1"/>
    <col min="8976" max="9216" width="9.140625" style="75"/>
    <col min="9217" max="9217" width="22.5703125" style="75" customWidth="1"/>
    <col min="9218" max="9218" width="15" style="75" customWidth="1"/>
    <col min="9219" max="9219" width="18.140625" style="75" customWidth="1"/>
    <col min="9220" max="9220" width="24.140625" style="75" customWidth="1"/>
    <col min="9221" max="9222" width="16" style="75" customWidth="1"/>
    <col min="9223" max="9223" width="16.5703125" style="75" customWidth="1"/>
    <col min="9224" max="9225" width="15.28515625" style="75" customWidth="1"/>
    <col min="9226" max="9226" width="16.140625" style="75" customWidth="1"/>
    <col min="9227" max="9227" width="15.5703125" style="75" customWidth="1"/>
    <col min="9228" max="9228" width="13.7109375" style="75" customWidth="1"/>
    <col min="9229" max="9229" width="12.7109375" style="75" customWidth="1"/>
    <col min="9230" max="9230" width="14" style="75" customWidth="1"/>
    <col min="9231" max="9231" width="10.42578125" style="75" bestFit="1" customWidth="1"/>
    <col min="9232" max="9472" width="9.140625" style="75"/>
    <col min="9473" max="9473" width="22.5703125" style="75" customWidth="1"/>
    <col min="9474" max="9474" width="15" style="75" customWidth="1"/>
    <col min="9475" max="9475" width="18.140625" style="75" customWidth="1"/>
    <col min="9476" max="9476" width="24.140625" style="75" customWidth="1"/>
    <col min="9477" max="9478" width="16" style="75" customWidth="1"/>
    <col min="9479" max="9479" width="16.5703125" style="75" customWidth="1"/>
    <col min="9480" max="9481" width="15.28515625" style="75" customWidth="1"/>
    <col min="9482" max="9482" width="16.140625" style="75" customWidth="1"/>
    <col min="9483" max="9483" width="15.5703125" style="75" customWidth="1"/>
    <col min="9484" max="9484" width="13.7109375" style="75" customWidth="1"/>
    <col min="9485" max="9485" width="12.7109375" style="75" customWidth="1"/>
    <col min="9486" max="9486" width="14" style="75" customWidth="1"/>
    <col min="9487" max="9487" width="10.42578125" style="75" bestFit="1" customWidth="1"/>
    <col min="9488" max="9728" width="9.140625" style="75"/>
    <col min="9729" max="9729" width="22.5703125" style="75" customWidth="1"/>
    <col min="9730" max="9730" width="15" style="75" customWidth="1"/>
    <col min="9731" max="9731" width="18.140625" style="75" customWidth="1"/>
    <col min="9732" max="9732" width="24.140625" style="75" customWidth="1"/>
    <col min="9733" max="9734" width="16" style="75" customWidth="1"/>
    <col min="9735" max="9735" width="16.5703125" style="75" customWidth="1"/>
    <col min="9736" max="9737" width="15.28515625" style="75" customWidth="1"/>
    <col min="9738" max="9738" width="16.140625" style="75" customWidth="1"/>
    <col min="9739" max="9739" width="15.5703125" style="75" customWidth="1"/>
    <col min="9740" max="9740" width="13.7109375" style="75" customWidth="1"/>
    <col min="9741" max="9741" width="12.7109375" style="75" customWidth="1"/>
    <col min="9742" max="9742" width="14" style="75" customWidth="1"/>
    <col min="9743" max="9743" width="10.42578125" style="75" bestFit="1" customWidth="1"/>
    <col min="9744" max="9984" width="9.140625" style="75"/>
    <col min="9985" max="9985" width="22.5703125" style="75" customWidth="1"/>
    <col min="9986" max="9986" width="15" style="75" customWidth="1"/>
    <col min="9987" max="9987" width="18.140625" style="75" customWidth="1"/>
    <col min="9988" max="9988" width="24.140625" style="75" customWidth="1"/>
    <col min="9989" max="9990" width="16" style="75" customWidth="1"/>
    <col min="9991" max="9991" width="16.5703125" style="75" customWidth="1"/>
    <col min="9992" max="9993" width="15.28515625" style="75" customWidth="1"/>
    <col min="9994" max="9994" width="16.140625" style="75" customWidth="1"/>
    <col min="9995" max="9995" width="15.5703125" style="75" customWidth="1"/>
    <col min="9996" max="9996" width="13.7109375" style="75" customWidth="1"/>
    <col min="9997" max="9997" width="12.7109375" style="75" customWidth="1"/>
    <col min="9998" max="9998" width="14" style="75" customWidth="1"/>
    <col min="9999" max="9999" width="10.42578125" style="75" bestFit="1" customWidth="1"/>
    <col min="10000" max="10240" width="9.140625" style="75"/>
    <col min="10241" max="10241" width="22.5703125" style="75" customWidth="1"/>
    <col min="10242" max="10242" width="15" style="75" customWidth="1"/>
    <col min="10243" max="10243" width="18.140625" style="75" customWidth="1"/>
    <col min="10244" max="10244" width="24.140625" style="75" customWidth="1"/>
    <col min="10245" max="10246" width="16" style="75" customWidth="1"/>
    <col min="10247" max="10247" width="16.5703125" style="75" customWidth="1"/>
    <col min="10248" max="10249" width="15.28515625" style="75" customWidth="1"/>
    <col min="10250" max="10250" width="16.140625" style="75" customWidth="1"/>
    <col min="10251" max="10251" width="15.5703125" style="75" customWidth="1"/>
    <col min="10252" max="10252" width="13.7109375" style="75" customWidth="1"/>
    <col min="10253" max="10253" width="12.7109375" style="75" customWidth="1"/>
    <col min="10254" max="10254" width="14" style="75" customWidth="1"/>
    <col min="10255" max="10255" width="10.42578125" style="75" bestFit="1" customWidth="1"/>
    <col min="10256" max="10496" width="9.140625" style="75"/>
    <col min="10497" max="10497" width="22.5703125" style="75" customWidth="1"/>
    <col min="10498" max="10498" width="15" style="75" customWidth="1"/>
    <col min="10499" max="10499" width="18.140625" style="75" customWidth="1"/>
    <col min="10500" max="10500" width="24.140625" style="75" customWidth="1"/>
    <col min="10501" max="10502" width="16" style="75" customWidth="1"/>
    <col min="10503" max="10503" width="16.5703125" style="75" customWidth="1"/>
    <col min="10504" max="10505" width="15.28515625" style="75" customWidth="1"/>
    <col min="10506" max="10506" width="16.140625" style="75" customWidth="1"/>
    <col min="10507" max="10507" width="15.5703125" style="75" customWidth="1"/>
    <col min="10508" max="10508" width="13.7109375" style="75" customWidth="1"/>
    <col min="10509" max="10509" width="12.7109375" style="75" customWidth="1"/>
    <col min="10510" max="10510" width="14" style="75" customWidth="1"/>
    <col min="10511" max="10511" width="10.42578125" style="75" bestFit="1" customWidth="1"/>
    <col min="10512" max="10752" width="9.140625" style="75"/>
    <col min="10753" max="10753" width="22.5703125" style="75" customWidth="1"/>
    <col min="10754" max="10754" width="15" style="75" customWidth="1"/>
    <col min="10755" max="10755" width="18.140625" style="75" customWidth="1"/>
    <col min="10756" max="10756" width="24.140625" style="75" customWidth="1"/>
    <col min="10757" max="10758" width="16" style="75" customWidth="1"/>
    <col min="10759" max="10759" width="16.5703125" style="75" customWidth="1"/>
    <col min="10760" max="10761" width="15.28515625" style="75" customWidth="1"/>
    <col min="10762" max="10762" width="16.140625" style="75" customWidth="1"/>
    <col min="10763" max="10763" width="15.5703125" style="75" customWidth="1"/>
    <col min="10764" max="10764" width="13.7109375" style="75" customWidth="1"/>
    <col min="10765" max="10765" width="12.7109375" style="75" customWidth="1"/>
    <col min="10766" max="10766" width="14" style="75" customWidth="1"/>
    <col min="10767" max="10767" width="10.42578125" style="75" bestFit="1" customWidth="1"/>
    <col min="10768" max="11008" width="9.140625" style="75"/>
    <col min="11009" max="11009" width="22.5703125" style="75" customWidth="1"/>
    <col min="11010" max="11010" width="15" style="75" customWidth="1"/>
    <col min="11011" max="11011" width="18.140625" style="75" customWidth="1"/>
    <col min="11012" max="11012" width="24.140625" style="75" customWidth="1"/>
    <col min="11013" max="11014" width="16" style="75" customWidth="1"/>
    <col min="11015" max="11015" width="16.5703125" style="75" customWidth="1"/>
    <col min="11016" max="11017" width="15.28515625" style="75" customWidth="1"/>
    <col min="11018" max="11018" width="16.140625" style="75" customWidth="1"/>
    <col min="11019" max="11019" width="15.5703125" style="75" customWidth="1"/>
    <col min="11020" max="11020" width="13.7109375" style="75" customWidth="1"/>
    <col min="11021" max="11021" width="12.7109375" style="75" customWidth="1"/>
    <col min="11022" max="11022" width="14" style="75" customWidth="1"/>
    <col min="11023" max="11023" width="10.42578125" style="75" bestFit="1" customWidth="1"/>
    <col min="11024" max="11264" width="9.140625" style="75"/>
    <col min="11265" max="11265" width="22.5703125" style="75" customWidth="1"/>
    <col min="11266" max="11266" width="15" style="75" customWidth="1"/>
    <col min="11267" max="11267" width="18.140625" style="75" customWidth="1"/>
    <col min="11268" max="11268" width="24.140625" style="75" customWidth="1"/>
    <col min="11269" max="11270" width="16" style="75" customWidth="1"/>
    <col min="11271" max="11271" width="16.5703125" style="75" customWidth="1"/>
    <col min="11272" max="11273" width="15.28515625" style="75" customWidth="1"/>
    <col min="11274" max="11274" width="16.140625" style="75" customWidth="1"/>
    <col min="11275" max="11275" width="15.5703125" style="75" customWidth="1"/>
    <col min="11276" max="11276" width="13.7109375" style="75" customWidth="1"/>
    <col min="11277" max="11277" width="12.7109375" style="75" customWidth="1"/>
    <col min="11278" max="11278" width="14" style="75" customWidth="1"/>
    <col min="11279" max="11279" width="10.42578125" style="75" bestFit="1" customWidth="1"/>
    <col min="11280" max="11520" width="9.140625" style="75"/>
    <col min="11521" max="11521" width="22.5703125" style="75" customWidth="1"/>
    <col min="11522" max="11522" width="15" style="75" customWidth="1"/>
    <col min="11523" max="11523" width="18.140625" style="75" customWidth="1"/>
    <col min="11524" max="11524" width="24.140625" style="75" customWidth="1"/>
    <col min="11525" max="11526" width="16" style="75" customWidth="1"/>
    <col min="11527" max="11527" width="16.5703125" style="75" customWidth="1"/>
    <col min="11528" max="11529" width="15.28515625" style="75" customWidth="1"/>
    <col min="11530" max="11530" width="16.140625" style="75" customWidth="1"/>
    <col min="11531" max="11531" width="15.5703125" style="75" customWidth="1"/>
    <col min="11532" max="11532" width="13.7109375" style="75" customWidth="1"/>
    <col min="11533" max="11533" width="12.7109375" style="75" customWidth="1"/>
    <col min="11534" max="11534" width="14" style="75" customWidth="1"/>
    <col min="11535" max="11535" width="10.42578125" style="75" bestFit="1" customWidth="1"/>
    <col min="11536" max="11776" width="9.140625" style="75"/>
    <col min="11777" max="11777" width="22.5703125" style="75" customWidth="1"/>
    <col min="11778" max="11778" width="15" style="75" customWidth="1"/>
    <col min="11779" max="11779" width="18.140625" style="75" customWidth="1"/>
    <col min="11780" max="11780" width="24.140625" style="75" customWidth="1"/>
    <col min="11781" max="11782" width="16" style="75" customWidth="1"/>
    <col min="11783" max="11783" width="16.5703125" style="75" customWidth="1"/>
    <col min="11784" max="11785" width="15.28515625" style="75" customWidth="1"/>
    <col min="11786" max="11786" width="16.140625" style="75" customWidth="1"/>
    <col min="11787" max="11787" width="15.5703125" style="75" customWidth="1"/>
    <col min="11788" max="11788" width="13.7109375" style="75" customWidth="1"/>
    <col min="11789" max="11789" width="12.7109375" style="75" customWidth="1"/>
    <col min="11790" max="11790" width="14" style="75" customWidth="1"/>
    <col min="11791" max="11791" width="10.42578125" style="75" bestFit="1" customWidth="1"/>
    <col min="11792" max="12032" width="9.140625" style="75"/>
    <col min="12033" max="12033" width="22.5703125" style="75" customWidth="1"/>
    <col min="12034" max="12034" width="15" style="75" customWidth="1"/>
    <col min="12035" max="12035" width="18.140625" style="75" customWidth="1"/>
    <col min="12036" max="12036" width="24.140625" style="75" customWidth="1"/>
    <col min="12037" max="12038" width="16" style="75" customWidth="1"/>
    <col min="12039" max="12039" width="16.5703125" style="75" customWidth="1"/>
    <col min="12040" max="12041" width="15.28515625" style="75" customWidth="1"/>
    <col min="12042" max="12042" width="16.140625" style="75" customWidth="1"/>
    <col min="12043" max="12043" width="15.5703125" style="75" customWidth="1"/>
    <col min="12044" max="12044" width="13.7109375" style="75" customWidth="1"/>
    <col min="12045" max="12045" width="12.7109375" style="75" customWidth="1"/>
    <col min="12046" max="12046" width="14" style="75" customWidth="1"/>
    <col min="12047" max="12047" width="10.42578125" style="75" bestFit="1" customWidth="1"/>
    <col min="12048" max="12288" width="9.140625" style="75"/>
    <col min="12289" max="12289" width="22.5703125" style="75" customWidth="1"/>
    <col min="12290" max="12290" width="15" style="75" customWidth="1"/>
    <col min="12291" max="12291" width="18.140625" style="75" customWidth="1"/>
    <col min="12292" max="12292" width="24.140625" style="75" customWidth="1"/>
    <col min="12293" max="12294" width="16" style="75" customWidth="1"/>
    <col min="12295" max="12295" width="16.5703125" style="75" customWidth="1"/>
    <col min="12296" max="12297" width="15.28515625" style="75" customWidth="1"/>
    <col min="12298" max="12298" width="16.140625" style="75" customWidth="1"/>
    <col min="12299" max="12299" width="15.5703125" style="75" customWidth="1"/>
    <col min="12300" max="12300" width="13.7109375" style="75" customWidth="1"/>
    <col min="12301" max="12301" width="12.7109375" style="75" customWidth="1"/>
    <col min="12302" max="12302" width="14" style="75" customWidth="1"/>
    <col min="12303" max="12303" width="10.42578125" style="75" bestFit="1" customWidth="1"/>
    <col min="12304" max="12544" width="9.140625" style="75"/>
    <col min="12545" max="12545" width="22.5703125" style="75" customWidth="1"/>
    <col min="12546" max="12546" width="15" style="75" customWidth="1"/>
    <col min="12547" max="12547" width="18.140625" style="75" customWidth="1"/>
    <col min="12548" max="12548" width="24.140625" style="75" customWidth="1"/>
    <col min="12549" max="12550" width="16" style="75" customWidth="1"/>
    <col min="12551" max="12551" width="16.5703125" style="75" customWidth="1"/>
    <col min="12552" max="12553" width="15.28515625" style="75" customWidth="1"/>
    <col min="12554" max="12554" width="16.140625" style="75" customWidth="1"/>
    <col min="12555" max="12555" width="15.5703125" style="75" customWidth="1"/>
    <col min="12556" max="12556" width="13.7109375" style="75" customWidth="1"/>
    <col min="12557" max="12557" width="12.7109375" style="75" customWidth="1"/>
    <col min="12558" max="12558" width="14" style="75" customWidth="1"/>
    <col min="12559" max="12559" width="10.42578125" style="75" bestFit="1" customWidth="1"/>
    <col min="12560" max="12800" width="9.140625" style="75"/>
    <col min="12801" max="12801" width="22.5703125" style="75" customWidth="1"/>
    <col min="12802" max="12802" width="15" style="75" customWidth="1"/>
    <col min="12803" max="12803" width="18.140625" style="75" customWidth="1"/>
    <col min="12804" max="12804" width="24.140625" style="75" customWidth="1"/>
    <col min="12805" max="12806" width="16" style="75" customWidth="1"/>
    <col min="12807" max="12807" width="16.5703125" style="75" customWidth="1"/>
    <col min="12808" max="12809" width="15.28515625" style="75" customWidth="1"/>
    <col min="12810" max="12810" width="16.140625" style="75" customWidth="1"/>
    <col min="12811" max="12811" width="15.5703125" style="75" customWidth="1"/>
    <col min="12812" max="12812" width="13.7109375" style="75" customWidth="1"/>
    <col min="12813" max="12813" width="12.7109375" style="75" customWidth="1"/>
    <col min="12814" max="12814" width="14" style="75" customWidth="1"/>
    <col min="12815" max="12815" width="10.42578125" style="75" bestFit="1" customWidth="1"/>
    <col min="12816" max="13056" width="9.140625" style="75"/>
    <col min="13057" max="13057" width="22.5703125" style="75" customWidth="1"/>
    <col min="13058" max="13058" width="15" style="75" customWidth="1"/>
    <col min="13059" max="13059" width="18.140625" style="75" customWidth="1"/>
    <col min="13060" max="13060" width="24.140625" style="75" customWidth="1"/>
    <col min="13061" max="13062" width="16" style="75" customWidth="1"/>
    <col min="13063" max="13063" width="16.5703125" style="75" customWidth="1"/>
    <col min="13064" max="13065" width="15.28515625" style="75" customWidth="1"/>
    <col min="13066" max="13066" width="16.140625" style="75" customWidth="1"/>
    <col min="13067" max="13067" width="15.5703125" style="75" customWidth="1"/>
    <col min="13068" max="13068" width="13.7109375" style="75" customWidth="1"/>
    <col min="13069" max="13069" width="12.7109375" style="75" customWidth="1"/>
    <col min="13070" max="13070" width="14" style="75" customWidth="1"/>
    <col min="13071" max="13071" width="10.42578125" style="75" bestFit="1" customWidth="1"/>
    <col min="13072" max="13312" width="9.140625" style="75"/>
    <col min="13313" max="13313" width="22.5703125" style="75" customWidth="1"/>
    <col min="13314" max="13314" width="15" style="75" customWidth="1"/>
    <col min="13315" max="13315" width="18.140625" style="75" customWidth="1"/>
    <col min="13316" max="13316" width="24.140625" style="75" customWidth="1"/>
    <col min="13317" max="13318" width="16" style="75" customWidth="1"/>
    <col min="13319" max="13319" width="16.5703125" style="75" customWidth="1"/>
    <col min="13320" max="13321" width="15.28515625" style="75" customWidth="1"/>
    <col min="13322" max="13322" width="16.140625" style="75" customWidth="1"/>
    <col min="13323" max="13323" width="15.5703125" style="75" customWidth="1"/>
    <col min="13324" max="13324" width="13.7109375" style="75" customWidth="1"/>
    <col min="13325" max="13325" width="12.7109375" style="75" customWidth="1"/>
    <col min="13326" max="13326" width="14" style="75" customWidth="1"/>
    <col min="13327" max="13327" width="10.42578125" style="75" bestFit="1" customWidth="1"/>
    <col min="13328" max="13568" width="9.140625" style="75"/>
    <col min="13569" max="13569" width="22.5703125" style="75" customWidth="1"/>
    <col min="13570" max="13570" width="15" style="75" customWidth="1"/>
    <col min="13571" max="13571" width="18.140625" style="75" customWidth="1"/>
    <col min="13572" max="13572" width="24.140625" style="75" customWidth="1"/>
    <col min="13573" max="13574" width="16" style="75" customWidth="1"/>
    <col min="13575" max="13575" width="16.5703125" style="75" customWidth="1"/>
    <col min="13576" max="13577" width="15.28515625" style="75" customWidth="1"/>
    <col min="13578" max="13578" width="16.140625" style="75" customWidth="1"/>
    <col min="13579" max="13579" width="15.5703125" style="75" customWidth="1"/>
    <col min="13580" max="13580" width="13.7109375" style="75" customWidth="1"/>
    <col min="13581" max="13581" width="12.7109375" style="75" customWidth="1"/>
    <col min="13582" max="13582" width="14" style="75" customWidth="1"/>
    <col min="13583" max="13583" width="10.42578125" style="75" bestFit="1" customWidth="1"/>
    <col min="13584" max="13824" width="9.140625" style="75"/>
    <col min="13825" max="13825" width="22.5703125" style="75" customWidth="1"/>
    <col min="13826" max="13826" width="15" style="75" customWidth="1"/>
    <col min="13827" max="13827" width="18.140625" style="75" customWidth="1"/>
    <col min="13828" max="13828" width="24.140625" style="75" customWidth="1"/>
    <col min="13829" max="13830" width="16" style="75" customWidth="1"/>
    <col min="13831" max="13831" width="16.5703125" style="75" customWidth="1"/>
    <col min="13832" max="13833" width="15.28515625" style="75" customWidth="1"/>
    <col min="13834" max="13834" width="16.140625" style="75" customWidth="1"/>
    <col min="13835" max="13835" width="15.5703125" style="75" customWidth="1"/>
    <col min="13836" max="13836" width="13.7109375" style="75" customWidth="1"/>
    <col min="13837" max="13837" width="12.7109375" style="75" customWidth="1"/>
    <col min="13838" max="13838" width="14" style="75" customWidth="1"/>
    <col min="13839" max="13839" width="10.42578125" style="75" bestFit="1" customWidth="1"/>
    <col min="13840" max="14080" width="9.140625" style="75"/>
    <col min="14081" max="14081" width="22.5703125" style="75" customWidth="1"/>
    <col min="14082" max="14082" width="15" style="75" customWidth="1"/>
    <col min="14083" max="14083" width="18.140625" style="75" customWidth="1"/>
    <col min="14084" max="14084" width="24.140625" style="75" customWidth="1"/>
    <col min="14085" max="14086" width="16" style="75" customWidth="1"/>
    <col min="14087" max="14087" width="16.5703125" style="75" customWidth="1"/>
    <col min="14088" max="14089" width="15.28515625" style="75" customWidth="1"/>
    <col min="14090" max="14090" width="16.140625" style="75" customWidth="1"/>
    <col min="14091" max="14091" width="15.5703125" style="75" customWidth="1"/>
    <col min="14092" max="14092" width="13.7109375" style="75" customWidth="1"/>
    <col min="14093" max="14093" width="12.7109375" style="75" customWidth="1"/>
    <col min="14094" max="14094" width="14" style="75" customWidth="1"/>
    <col min="14095" max="14095" width="10.42578125" style="75" bestFit="1" customWidth="1"/>
    <col min="14096" max="14336" width="9.140625" style="75"/>
    <col min="14337" max="14337" width="22.5703125" style="75" customWidth="1"/>
    <col min="14338" max="14338" width="15" style="75" customWidth="1"/>
    <col min="14339" max="14339" width="18.140625" style="75" customWidth="1"/>
    <col min="14340" max="14340" width="24.140625" style="75" customWidth="1"/>
    <col min="14341" max="14342" width="16" style="75" customWidth="1"/>
    <col min="14343" max="14343" width="16.5703125" style="75" customWidth="1"/>
    <col min="14344" max="14345" width="15.28515625" style="75" customWidth="1"/>
    <col min="14346" max="14346" width="16.140625" style="75" customWidth="1"/>
    <col min="14347" max="14347" width="15.5703125" style="75" customWidth="1"/>
    <col min="14348" max="14348" width="13.7109375" style="75" customWidth="1"/>
    <col min="14349" max="14349" width="12.7109375" style="75" customWidth="1"/>
    <col min="14350" max="14350" width="14" style="75" customWidth="1"/>
    <col min="14351" max="14351" width="10.42578125" style="75" bestFit="1" customWidth="1"/>
    <col min="14352" max="14592" width="9.140625" style="75"/>
    <col min="14593" max="14593" width="22.5703125" style="75" customWidth="1"/>
    <col min="14594" max="14594" width="15" style="75" customWidth="1"/>
    <col min="14595" max="14595" width="18.140625" style="75" customWidth="1"/>
    <col min="14596" max="14596" width="24.140625" style="75" customWidth="1"/>
    <col min="14597" max="14598" width="16" style="75" customWidth="1"/>
    <col min="14599" max="14599" width="16.5703125" style="75" customWidth="1"/>
    <col min="14600" max="14601" width="15.28515625" style="75" customWidth="1"/>
    <col min="14602" max="14602" width="16.140625" style="75" customWidth="1"/>
    <col min="14603" max="14603" width="15.5703125" style="75" customWidth="1"/>
    <col min="14604" max="14604" width="13.7109375" style="75" customWidth="1"/>
    <col min="14605" max="14605" width="12.7109375" style="75" customWidth="1"/>
    <col min="14606" max="14606" width="14" style="75" customWidth="1"/>
    <col min="14607" max="14607" width="10.42578125" style="75" bestFit="1" customWidth="1"/>
    <col min="14608" max="14848" width="9.140625" style="75"/>
    <col min="14849" max="14849" width="22.5703125" style="75" customWidth="1"/>
    <col min="14850" max="14850" width="15" style="75" customWidth="1"/>
    <col min="14851" max="14851" width="18.140625" style="75" customWidth="1"/>
    <col min="14852" max="14852" width="24.140625" style="75" customWidth="1"/>
    <col min="14853" max="14854" width="16" style="75" customWidth="1"/>
    <col min="14855" max="14855" width="16.5703125" style="75" customWidth="1"/>
    <col min="14856" max="14857" width="15.28515625" style="75" customWidth="1"/>
    <col min="14858" max="14858" width="16.140625" style="75" customWidth="1"/>
    <col min="14859" max="14859" width="15.5703125" style="75" customWidth="1"/>
    <col min="14860" max="14860" width="13.7109375" style="75" customWidth="1"/>
    <col min="14861" max="14861" width="12.7109375" style="75" customWidth="1"/>
    <col min="14862" max="14862" width="14" style="75" customWidth="1"/>
    <col min="14863" max="14863" width="10.42578125" style="75" bestFit="1" customWidth="1"/>
    <col min="14864" max="15104" width="9.140625" style="75"/>
    <col min="15105" max="15105" width="22.5703125" style="75" customWidth="1"/>
    <col min="15106" max="15106" width="15" style="75" customWidth="1"/>
    <col min="15107" max="15107" width="18.140625" style="75" customWidth="1"/>
    <col min="15108" max="15108" width="24.140625" style="75" customWidth="1"/>
    <col min="15109" max="15110" width="16" style="75" customWidth="1"/>
    <col min="15111" max="15111" width="16.5703125" style="75" customWidth="1"/>
    <col min="15112" max="15113" width="15.28515625" style="75" customWidth="1"/>
    <col min="15114" max="15114" width="16.140625" style="75" customWidth="1"/>
    <col min="15115" max="15115" width="15.5703125" style="75" customWidth="1"/>
    <col min="15116" max="15116" width="13.7109375" style="75" customWidth="1"/>
    <col min="15117" max="15117" width="12.7109375" style="75" customWidth="1"/>
    <col min="15118" max="15118" width="14" style="75" customWidth="1"/>
    <col min="15119" max="15119" width="10.42578125" style="75" bestFit="1" customWidth="1"/>
    <col min="15120" max="15360" width="9.140625" style="75"/>
    <col min="15361" max="15361" width="22.5703125" style="75" customWidth="1"/>
    <col min="15362" max="15362" width="15" style="75" customWidth="1"/>
    <col min="15363" max="15363" width="18.140625" style="75" customWidth="1"/>
    <col min="15364" max="15364" width="24.140625" style="75" customWidth="1"/>
    <col min="15365" max="15366" width="16" style="75" customWidth="1"/>
    <col min="15367" max="15367" width="16.5703125" style="75" customWidth="1"/>
    <col min="15368" max="15369" width="15.28515625" style="75" customWidth="1"/>
    <col min="15370" max="15370" width="16.140625" style="75" customWidth="1"/>
    <col min="15371" max="15371" width="15.5703125" style="75" customWidth="1"/>
    <col min="15372" max="15372" width="13.7109375" style="75" customWidth="1"/>
    <col min="15373" max="15373" width="12.7109375" style="75" customWidth="1"/>
    <col min="15374" max="15374" width="14" style="75" customWidth="1"/>
    <col min="15375" max="15375" width="10.42578125" style="75" bestFit="1" customWidth="1"/>
    <col min="15376" max="15616" width="9.140625" style="75"/>
    <col min="15617" max="15617" width="22.5703125" style="75" customWidth="1"/>
    <col min="15618" max="15618" width="15" style="75" customWidth="1"/>
    <col min="15619" max="15619" width="18.140625" style="75" customWidth="1"/>
    <col min="15620" max="15620" width="24.140625" style="75" customWidth="1"/>
    <col min="15621" max="15622" width="16" style="75" customWidth="1"/>
    <col min="15623" max="15623" width="16.5703125" style="75" customWidth="1"/>
    <col min="15624" max="15625" width="15.28515625" style="75" customWidth="1"/>
    <col min="15626" max="15626" width="16.140625" style="75" customWidth="1"/>
    <col min="15627" max="15627" width="15.5703125" style="75" customWidth="1"/>
    <col min="15628" max="15628" width="13.7109375" style="75" customWidth="1"/>
    <col min="15629" max="15629" width="12.7109375" style="75" customWidth="1"/>
    <col min="15630" max="15630" width="14" style="75" customWidth="1"/>
    <col min="15631" max="15631" width="10.42578125" style="75" bestFit="1" customWidth="1"/>
    <col min="15632" max="15872" width="9.140625" style="75"/>
    <col min="15873" max="15873" width="22.5703125" style="75" customWidth="1"/>
    <col min="15874" max="15874" width="15" style="75" customWidth="1"/>
    <col min="15875" max="15875" width="18.140625" style="75" customWidth="1"/>
    <col min="15876" max="15876" width="24.140625" style="75" customWidth="1"/>
    <col min="15877" max="15878" width="16" style="75" customWidth="1"/>
    <col min="15879" max="15879" width="16.5703125" style="75" customWidth="1"/>
    <col min="15880" max="15881" width="15.28515625" style="75" customWidth="1"/>
    <col min="15882" max="15882" width="16.140625" style="75" customWidth="1"/>
    <col min="15883" max="15883" width="15.5703125" style="75" customWidth="1"/>
    <col min="15884" max="15884" width="13.7109375" style="75" customWidth="1"/>
    <col min="15885" max="15885" width="12.7109375" style="75" customWidth="1"/>
    <col min="15886" max="15886" width="14" style="75" customWidth="1"/>
    <col min="15887" max="15887" width="10.42578125" style="75" bestFit="1" customWidth="1"/>
    <col min="15888" max="16128" width="9.140625" style="75"/>
    <col min="16129" max="16129" width="22.5703125" style="75" customWidth="1"/>
    <col min="16130" max="16130" width="15" style="75" customWidth="1"/>
    <col min="16131" max="16131" width="18.140625" style="75" customWidth="1"/>
    <col min="16132" max="16132" width="24.140625" style="75" customWidth="1"/>
    <col min="16133" max="16134" width="16" style="75" customWidth="1"/>
    <col min="16135" max="16135" width="16.5703125" style="75" customWidth="1"/>
    <col min="16136" max="16137" width="15.28515625" style="75" customWidth="1"/>
    <col min="16138" max="16138" width="16.140625" style="75" customWidth="1"/>
    <col min="16139" max="16139" width="15.5703125" style="75" customWidth="1"/>
    <col min="16140" max="16140" width="13.7109375" style="75" customWidth="1"/>
    <col min="16141" max="16141" width="12.7109375" style="75" customWidth="1"/>
    <col min="16142" max="16142" width="14" style="75" customWidth="1"/>
    <col min="16143" max="16143" width="10.42578125" style="75" bestFit="1" customWidth="1"/>
    <col min="16144" max="16384" width="9.140625" style="75"/>
  </cols>
  <sheetData>
    <row r="1" spans="1:16" s="71" customFormat="1" ht="32.25" customHeight="1" x14ac:dyDescent="0.2">
      <c r="A1" s="68" t="s">
        <v>194</v>
      </c>
      <c r="B1" s="69"/>
      <c r="C1" s="232"/>
      <c r="D1" s="69"/>
      <c r="E1" s="70"/>
      <c r="O1" s="70"/>
      <c r="P1" s="70"/>
    </row>
    <row r="2" spans="1:16" ht="21" customHeight="1" x14ac:dyDescent="0.2">
      <c r="A2" s="72" t="s">
        <v>1</v>
      </c>
      <c r="B2" s="73" t="s">
        <v>195</v>
      </c>
      <c r="D2" s="74"/>
      <c r="E2" s="70"/>
    </row>
    <row r="3" spans="1:16" ht="15.75" customHeight="1" x14ac:dyDescent="0.2">
      <c r="A3" s="973" t="s">
        <v>196</v>
      </c>
      <c r="B3" s="973"/>
      <c r="D3" s="74"/>
      <c r="E3" s="70"/>
    </row>
    <row r="4" spans="1:16" ht="13.5" customHeight="1" x14ac:dyDescent="0.2">
      <c r="A4" s="78" t="s">
        <v>197</v>
      </c>
      <c r="B4" s="75" t="s">
        <v>198</v>
      </c>
      <c r="D4" s="74"/>
      <c r="E4" s="974" t="s">
        <v>199</v>
      </c>
      <c r="F4" s="974"/>
      <c r="G4" s="974"/>
      <c r="H4" s="974"/>
      <c r="I4" s="974"/>
      <c r="J4" s="974"/>
      <c r="K4" s="974"/>
      <c r="L4" s="974"/>
      <c r="M4" s="974"/>
      <c r="N4" s="974"/>
    </row>
    <row r="5" spans="1:16" ht="13.5" customHeight="1" x14ac:dyDescent="0.2">
      <c r="A5" s="78" t="s">
        <v>200</v>
      </c>
      <c r="B5" s="75" t="s">
        <v>201</v>
      </c>
      <c r="D5" s="74"/>
      <c r="E5" s="974"/>
      <c r="F5" s="974"/>
      <c r="G5" s="974"/>
      <c r="H5" s="974"/>
      <c r="I5" s="974"/>
      <c r="J5" s="974"/>
      <c r="K5" s="974"/>
      <c r="L5" s="974"/>
      <c r="M5" s="974"/>
      <c r="N5" s="974"/>
    </row>
    <row r="6" spans="1:16" ht="12.75" customHeight="1" x14ac:dyDescent="0.2">
      <c r="A6" s="78" t="s">
        <v>202</v>
      </c>
      <c r="B6" s="75" t="s">
        <v>203</v>
      </c>
      <c r="D6" s="74"/>
      <c r="E6" s="591"/>
      <c r="F6" s="591"/>
      <c r="G6" s="591"/>
      <c r="H6" s="591"/>
      <c r="I6" s="591"/>
      <c r="J6" s="591"/>
      <c r="K6" s="591"/>
      <c r="L6" s="591"/>
      <c r="M6" s="591"/>
    </row>
    <row r="7" spans="1:16" ht="12.75" customHeight="1" x14ac:dyDescent="0.2">
      <c r="A7" s="78" t="s">
        <v>204</v>
      </c>
      <c r="B7" s="75" t="s">
        <v>205</v>
      </c>
      <c r="D7" s="74"/>
      <c r="E7" s="579" t="s">
        <v>363</v>
      </c>
      <c r="G7" s="591"/>
      <c r="H7" s="591"/>
      <c r="I7" s="591"/>
      <c r="J7" s="591"/>
      <c r="K7" s="591"/>
      <c r="L7" s="591"/>
    </row>
    <row r="8" spans="1:16" ht="15" x14ac:dyDescent="0.2">
      <c r="A8" s="78" t="s">
        <v>206</v>
      </c>
      <c r="B8" s="75" t="s">
        <v>207</v>
      </c>
      <c r="D8" s="74"/>
      <c r="E8" s="579" t="s">
        <v>364</v>
      </c>
    </row>
    <row r="9" spans="1:16" ht="15" x14ac:dyDescent="0.2">
      <c r="A9" s="70"/>
      <c r="B9" s="70"/>
      <c r="C9" s="233"/>
      <c r="D9" s="70"/>
      <c r="E9" s="579" t="s">
        <v>365</v>
      </c>
      <c r="G9" s="70"/>
      <c r="H9" s="70"/>
      <c r="I9" s="70"/>
      <c r="J9" s="70"/>
      <c r="K9" s="70"/>
      <c r="L9" s="70"/>
    </row>
    <row r="10" spans="1:16" ht="15" x14ac:dyDescent="0.2">
      <c r="A10" s="70"/>
      <c r="B10" s="70"/>
      <c r="C10" s="233"/>
      <c r="D10" s="70"/>
      <c r="E10" s="579" t="s">
        <v>366</v>
      </c>
      <c r="G10" s="70"/>
      <c r="H10" s="70"/>
      <c r="I10" s="70"/>
      <c r="J10" s="70"/>
      <c r="K10" s="70"/>
      <c r="L10" s="70"/>
    </row>
    <row r="11" spans="1:16" ht="18" customHeight="1" thickBot="1" x14ac:dyDescent="0.25"/>
    <row r="12" spans="1:16" s="92" customFormat="1" ht="76.5" customHeight="1" thickTop="1" x14ac:dyDescent="0.2">
      <c r="A12" s="80" t="s">
        <v>176</v>
      </c>
      <c r="B12" s="81" t="s">
        <v>208</v>
      </c>
      <c r="C12" s="234" t="s">
        <v>209</v>
      </c>
      <c r="D12" s="82" t="s">
        <v>210</v>
      </c>
      <c r="E12" s="83" t="s">
        <v>211</v>
      </c>
      <c r="F12" s="84" t="s">
        <v>212</v>
      </c>
      <c r="G12" s="85" t="s">
        <v>213</v>
      </c>
      <c r="H12" s="86" t="s">
        <v>214</v>
      </c>
      <c r="I12" s="87" t="s">
        <v>215</v>
      </c>
      <c r="J12" s="86" t="s">
        <v>216</v>
      </c>
      <c r="K12" s="88" t="s">
        <v>217</v>
      </c>
      <c r="L12" s="89" t="s">
        <v>218</v>
      </c>
      <c r="M12" s="90" t="s">
        <v>219</v>
      </c>
      <c r="N12" s="91" t="s">
        <v>220</v>
      </c>
      <c r="O12" s="70"/>
      <c r="P12" s="70"/>
    </row>
    <row r="13" spans="1:16" s="77" customFormat="1" x14ac:dyDescent="0.2">
      <c r="A13" s="93">
        <v>1</v>
      </c>
      <c r="B13" s="94">
        <v>2</v>
      </c>
      <c r="C13" s="235">
        <v>3</v>
      </c>
      <c r="D13" s="95">
        <v>4</v>
      </c>
      <c r="E13" s="96">
        <v>5</v>
      </c>
      <c r="F13" s="93">
        <v>6</v>
      </c>
      <c r="G13" s="97">
        <v>7</v>
      </c>
      <c r="H13" s="93">
        <v>8</v>
      </c>
      <c r="I13" s="98">
        <v>9</v>
      </c>
      <c r="J13" s="93">
        <v>10</v>
      </c>
      <c r="K13" s="99">
        <v>11</v>
      </c>
      <c r="L13" s="96">
        <v>12</v>
      </c>
      <c r="M13" s="100">
        <v>13</v>
      </c>
      <c r="N13" s="101">
        <v>14</v>
      </c>
      <c r="O13" s="70"/>
      <c r="P13" s="70"/>
    </row>
    <row r="14" spans="1:16" s="70" customFormat="1" ht="3" customHeight="1" x14ac:dyDescent="0.2">
      <c r="A14" s="102"/>
      <c r="B14" s="103"/>
      <c r="C14" s="236"/>
      <c r="D14" s="104"/>
      <c r="E14" s="105"/>
      <c r="F14" s="102"/>
      <c r="G14" s="106"/>
      <c r="H14" s="102"/>
      <c r="I14" s="107"/>
      <c r="J14" s="102"/>
      <c r="K14" s="108"/>
      <c r="L14" s="105"/>
      <c r="M14" s="109"/>
      <c r="N14" s="110"/>
    </row>
    <row r="15" spans="1:16" s="70" customFormat="1" ht="12.75" customHeight="1" x14ac:dyDescent="0.2">
      <c r="A15" s="111" t="s">
        <v>221</v>
      </c>
      <c r="B15" s="112" t="s">
        <v>222</v>
      </c>
      <c r="C15" s="237">
        <v>6658</v>
      </c>
      <c r="D15" s="113">
        <v>7172.0233842982398</v>
      </c>
      <c r="E15" s="114">
        <f>IF(C15&gt;=0.9*D15,D15,C15+0.1*D15)</f>
        <v>7172.0233842982398</v>
      </c>
      <c r="F15" s="115"/>
      <c r="G15" s="116">
        <f>E15+F15</f>
        <v>7172.0233842982398</v>
      </c>
      <c r="H15" s="117">
        <v>1.455045058576149</v>
      </c>
      <c r="I15" s="115">
        <f>E15*H15</f>
        <v>10435.617185315743</v>
      </c>
      <c r="J15" s="118"/>
      <c r="K15" s="119">
        <f>I15+J15</f>
        <v>10435.617185315743</v>
      </c>
      <c r="L15" s="120"/>
      <c r="M15" s="121">
        <f>IF(D15&gt;C15,C15-D15,0)</f>
        <v>-514.02338429823976</v>
      </c>
      <c r="N15" s="122">
        <f>IF(D15&lt;C15,C15-D15,0)</f>
        <v>0</v>
      </c>
    </row>
    <row r="16" spans="1:16" s="70" customFormat="1" ht="12.75" customHeight="1" x14ac:dyDescent="0.2">
      <c r="A16" s="111" t="s">
        <v>221</v>
      </c>
      <c r="B16" s="112" t="s">
        <v>223</v>
      </c>
      <c r="C16" s="237">
        <v>2541.5</v>
      </c>
      <c r="D16" s="113">
        <v>2524.7317723497113</v>
      </c>
      <c r="E16" s="114">
        <f>IF(C16&gt;=0.9*D16,D16,C16+0.1*D16)</f>
        <v>2524.7317723497113</v>
      </c>
      <c r="F16" s="598">
        <f>L205</f>
        <v>168</v>
      </c>
      <c r="G16" s="116">
        <f>E16+F16</f>
        <v>2692.7317723497113</v>
      </c>
      <c r="H16" s="117">
        <v>2.1217902813299232</v>
      </c>
      <c r="I16" s="115">
        <f>E16*H16</f>
        <v>5356.9513375364895</v>
      </c>
      <c r="J16" s="118">
        <f>N205</f>
        <v>588</v>
      </c>
      <c r="K16" s="119">
        <f>I16+J16</f>
        <v>5944.9513375364895</v>
      </c>
      <c r="L16" s="120"/>
      <c r="M16" s="121">
        <f>IF(D16&gt;C16,C16-D16,0)</f>
        <v>0</v>
      </c>
      <c r="N16" s="122">
        <f>IF(D16&lt;C16,C16-D16,0)</f>
        <v>16.768227650288736</v>
      </c>
    </row>
    <row r="17" spans="1:17" s="70" customFormat="1" ht="12.75" customHeight="1" x14ac:dyDescent="0.2">
      <c r="A17" s="111" t="s">
        <v>221</v>
      </c>
      <c r="B17" s="112" t="s">
        <v>224</v>
      </c>
      <c r="C17" s="237">
        <v>3404.5</v>
      </c>
      <c r="D17" s="113">
        <v>3584.7629187891316</v>
      </c>
      <c r="E17" s="114">
        <f>IF(C17&gt;=0.9*D17,D17,C17+0.1*D17)</f>
        <v>3584.7629187891316</v>
      </c>
      <c r="F17" s="115"/>
      <c r="G17" s="116">
        <f>E17+F17</f>
        <v>3584.7629187891316</v>
      </c>
      <c r="H17" s="117">
        <v>1.4626259362608314</v>
      </c>
      <c r="I17" s="115">
        <f>E17*H17</f>
        <v>5243.1672203670641</v>
      </c>
      <c r="J17" s="118"/>
      <c r="K17" s="119">
        <f>I17+J17</f>
        <v>5243.1672203670641</v>
      </c>
      <c r="L17" s="120"/>
      <c r="M17" s="121">
        <f>IF(D17&gt;C17,C17-D17,0)</f>
        <v>-180.26291878913162</v>
      </c>
      <c r="N17" s="122">
        <f>IF(D17&lt;C17,C17-D17,0)</f>
        <v>0</v>
      </c>
    </row>
    <row r="18" spans="1:17" ht="12.75" customHeight="1" x14ac:dyDescent="0.25">
      <c r="A18" s="123" t="s">
        <v>221</v>
      </c>
      <c r="B18" s="124" t="s">
        <v>225</v>
      </c>
      <c r="C18" s="238">
        <v>1289.5</v>
      </c>
      <c r="D18" s="125">
        <v>1458.0863684871288</v>
      </c>
      <c r="E18" s="114">
        <f>IF(C18&gt;=0.9*D18,D18,C18+0.1*D18)</f>
        <v>1435.3086368487129</v>
      </c>
      <c r="F18" s="126">
        <f>L206</f>
        <v>2</v>
      </c>
      <c r="G18" s="116">
        <f>E18+F18</f>
        <v>1437.3086368487129</v>
      </c>
      <c r="H18" s="127">
        <v>1.7532764637456377</v>
      </c>
      <c r="I18" s="115">
        <f>E18*H18</f>
        <v>2516.4928511976832</v>
      </c>
      <c r="J18" s="128">
        <f>N203</f>
        <v>5.6</v>
      </c>
      <c r="K18" s="119">
        <f>I18+J18</f>
        <v>2522.0928511976831</v>
      </c>
      <c r="L18" s="129"/>
      <c r="M18" s="121">
        <f>IF(D18&gt;C18,C18-D18,0)</f>
        <v>-168.58636848712877</v>
      </c>
      <c r="N18" s="122">
        <f>IF(D18&lt;C18,C18-D18,0)</f>
        <v>0</v>
      </c>
      <c r="O18"/>
      <c r="P18"/>
      <c r="Q18"/>
    </row>
    <row r="19" spans="1:17" s="70" customFormat="1" ht="12.75" customHeight="1" thickBot="1" x14ac:dyDescent="0.3">
      <c r="A19" s="130" t="s">
        <v>221</v>
      </c>
      <c r="B19" s="131" t="s">
        <v>226</v>
      </c>
      <c r="C19" s="237">
        <v>29249.5</v>
      </c>
      <c r="D19" s="113">
        <v>27676.197480380702</v>
      </c>
      <c r="E19" s="114">
        <f>IF(C19&lt;D19,C19,D19)</f>
        <v>27676.197480380702</v>
      </c>
      <c r="F19" s="126">
        <f>L207</f>
        <v>595</v>
      </c>
      <c r="G19" s="116">
        <f>E19+F19</f>
        <v>28271.197480380702</v>
      </c>
      <c r="H19" s="117">
        <v>1.6717482315937027</v>
      </c>
      <c r="I19" s="115">
        <f>E19*H19</f>
        <v>46267.634195064529</v>
      </c>
      <c r="J19" s="132">
        <f>N207</f>
        <v>2076.9</v>
      </c>
      <c r="K19" s="119">
        <f>I19+J19</f>
        <v>48344.534195064531</v>
      </c>
      <c r="L19" s="133"/>
      <c r="M19" s="121">
        <f>IF(D19&gt;C19,C19-D19,0)</f>
        <v>0</v>
      </c>
      <c r="N19" s="122">
        <f>IF(D19&lt;C19,C19-D19,0)</f>
        <v>1573.3025196192975</v>
      </c>
      <c r="O19"/>
      <c r="P19"/>
      <c r="Q19"/>
    </row>
    <row r="20" spans="1:17" s="70" customFormat="1" ht="12.75" customHeight="1" thickBot="1" x14ac:dyDescent="0.3">
      <c r="A20" s="134" t="s">
        <v>221</v>
      </c>
      <c r="B20" s="135" t="s">
        <v>71</v>
      </c>
      <c r="C20" s="239">
        <f>SUM(C15:C19)</f>
        <v>43143</v>
      </c>
      <c r="D20" s="136">
        <f>SUM(D15:D19)</f>
        <v>42415.801924304913</v>
      </c>
      <c r="E20" s="136">
        <f>SUM(E15:E19)</f>
        <v>42393.024192666497</v>
      </c>
      <c r="F20" s="137">
        <f>SUM(F15:F19)</f>
        <v>765</v>
      </c>
      <c r="G20" s="138">
        <f>SUM(G15:G19)</f>
        <v>43158.024192666497</v>
      </c>
      <c r="H20" s="137"/>
      <c r="I20" s="137">
        <f>SUM(I15:I19)</f>
        <v>69819.8627894815</v>
      </c>
      <c r="J20" s="137">
        <f>SUM(J15:J19)</f>
        <v>2670.5</v>
      </c>
      <c r="K20" s="139">
        <f>SUM(K15:K19)</f>
        <v>72490.3627894815</v>
      </c>
      <c r="L20" s="140">
        <f>ROUND(K20*$N$186/$K$176,0)-1</f>
        <v>1771459</v>
      </c>
      <c r="M20" s="141">
        <f>SUM(M15:M19)</f>
        <v>-862.87267157450015</v>
      </c>
      <c r="N20" s="142">
        <f>SUM(N15:N19)</f>
        <v>1590.0707472695863</v>
      </c>
      <c r="O20"/>
      <c r="P20"/>
      <c r="Q20"/>
    </row>
    <row r="21" spans="1:17" s="70" customFormat="1" ht="12.75" customHeight="1" x14ac:dyDescent="0.25">
      <c r="A21" s="143" t="s">
        <v>227</v>
      </c>
      <c r="B21" s="112" t="s">
        <v>222</v>
      </c>
      <c r="C21" s="237">
        <v>3966.5</v>
      </c>
      <c r="D21" s="113">
        <v>3549.5924976774904</v>
      </c>
      <c r="E21" s="114">
        <f>IF(C21&gt;=0.9*D21,D21,C21+0.1*D21)</f>
        <v>3549.5924976774904</v>
      </c>
      <c r="F21" s="115"/>
      <c r="G21" s="116">
        <f>E21+F21</f>
        <v>3549.5924976774904</v>
      </c>
      <c r="H21" s="117">
        <v>1.4935711584520357</v>
      </c>
      <c r="I21" s="115">
        <f>E21*H21</f>
        <v>5301.5689787888241</v>
      </c>
      <c r="J21" s="118"/>
      <c r="K21" s="119">
        <f>I21+J21</f>
        <v>5301.5689787888241</v>
      </c>
      <c r="L21" s="120"/>
      <c r="M21" s="121">
        <f>IF(D21&gt;C21,C21-D21,0)</f>
        <v>0</v>
      </c>
      <c r="N21" s="122">
        <f>IF(D21&lt;C21,C21-D21,0)</f>
        <v>416.90750232250957</v>
      </c>
      <c r="O21"/>
      <c r="P21"/>
      <c r="Q21"/>
    </row>
    <row r="22" spans="1:17" s="70" customFormat="1" ht="12.75" customHeight="1" x14ac:dyDescent="0.25">
      <c r="A22" s="144" t="s">
        <v>227</v>
      </c>
      <c r="B22" s="112" t="s">
        <v>223</v>
      </c>
      <c r="C22" s="237">
        <v>81</v>
      </c>
      <c r="D22" s="113">
        <v>70.729795405328858</v>
      </c>
      <c r="E22" s="114">
        <f>IF(C22&gt;=0.9*D22,D22,C22+0.1*D22)</f>
        <v>70.729795405328858</v>
      </c>
      <c r="F22" s="115"/>
      <c r="G22" s="116">
        <f>E22+F22</f>
        <v>70.729795405328858</v>
      </c>
      <c r="H22" s="117">
        <v>1.1975308641975309</v>
      </c>
      <c r="I22" s="115">
        <f>E22*H22</f>
        <v>84.70111301625802</v>
      </c>
      <c r="J22" s="118"/>
      <c r="K22" s="119">
        <f>I22+J22</f>
        <v>84.70111301625802</v>
      </c>
      <c r="L22" s="120"/>
      <c r="M22" s="121">
        <f>IF(D22&gt;C22,C22-D22,0)</f>
        <v>0</v>
      </c>
      <c r="N22" s="122">
        <f>IF(D22&lt;C22,C22-D22,0)</f>
        <v>10.270204594671142</v>
      </c>
      <c r="O22"/>
      <c r="P22"/>
      <c r="Q22"/>
    </row>
    <row r="23" spans="1:17" s="70" customFormat="1" ht="12.75" customHeight="1" x14ac:dyDescent="0.25">
      <c r="A23" s="144" t="s">
        <v>227</v>
      </c>
      <c r="B23" s="112" t="s">
        <v>224</v>
      </c>
      <c r="C23" s="237">
        <v>982.5</v>
      </c>
      <c r="D23" s="113">
        <v>958.35687085655968</v>
      </c>
      <c r="E23" s="114">
        <f>IF(C23&gt;=0.9*D23,D23,C23+0.1*D23)</f>
        <v>958.35687085655968</v>
      </c>
      <c r="F23" s="115"/>
      <c r="G23" s="116">
        <f>E23+F23</f>
        <v>958.35687085655968</v>
      </c>
      <c r="H23" s="117">
        <v>1.5466666666666666</v>
      </c>
      <c r="I23" s="115">
        <f>E23*H23</f>
        <v>1482.2586269248122</v>
      </c>
      <c r="J23" s="118"/>
      <c r="K23" s="119">
        <f>I23+J23</f>
        <v>1482.2586269248122</v>
      </c>
      <c r="L23" s="120"/>
      <c r="M23" s="121">
        <f>IF(D23&gt;C23,C23-D23,0)</f>
        <v>0</v>
      </c>
      <c r="N23" s="122">
        <f>IF(D23&lt;C23,C23-D23,0)</f>
        <v>24.143129143440319</v>
      </c>
      <c r="O23"/>
      <c r="P23"/>
      <c r="Q23"/>
    </row>
    <row r="24" spans="1:17" ht="12.75" customHeight="1" x14ac:dyDescent="0.25">
      <c r="A24" s="123" t="s">
        <v>228</v>
      </c>
      <c r="B24" s="124" t="s">
        <v>225</v>
      </c>
      <c r="C24" s="238">
        <v>148</v>
      </c>
      <c r="D24" s="125">
        <v>165.09452302466013</v>
      </c>
      <c r="E24" s="114">
        <f>IF(C24&gt;=0.9*D24,D24,C24+0.1*D24)</f>
        <v>164.509452302466</v>
      </c>
      <c r="F24" s="126"/>
      <c r="G24" s="116">
        <f>E24+F24</f>
        <v>164.509452302466</v>
      </c>
      <c r="H24" s="127">
        <v>1.8639189189189189</v>
      </c>
      <c r="I24" s="115">
        <f>E24*H24</f>
        <v>306.63228048755587</v>
      </c>
      <c r="J24" s="128"/>
      <c r="K24" s="119">
        <f>I24+J24</f>
        <v>306.63228048755587</v>
      </c>
      <c r="L24" s="129"/>
      <c r="M24" s="121">
        <f>IF(D24&gt;C24,C24-D24,0)</f>
        <v>-17.094523024660134</v>
      </c>
      <c r="N24" s="122">
        <f>IF(D24&lt;C24,C24-D24,0)</f>
        <v>0</v>
      </c>
      <c r="O24"/>
      <c r="P24"/>
      <c r="Q24"/>
    </row>
    <row r="25" spans="1:17" s="70" customFormat="1" ht="12.75" customHeight="1" thickBot="1" x14ac:dyDescent="0.3">
      <c r="A25" s="145" t="s">
        <v>227</v>
      </c>
      <c r="B25" s="131" t="s">
        <v>226</v>
      </c>
      <c r="C25" s="237">
        <v>7467</v>
      </c>
      <c r="D25" s="113">
        <v>7184.6864128033203</v>
      </c>
      <c r="E25" s="114">
        <f>IF(C25&lt;D25,C25,D25)</f>
        <v>7184.6864128033203</v>
      </c>
      <c r="F25" s="126"/>
      <c r="G25" s="116">
        <f>E25+F25</f>
        <v>7184.6864128033203</v>
      </c>
      <c r="H25" s="117">
        <v>1.501037913486005</v>
      </c>
      <c r="I25" s="115">
        <f>E25*H25</f>
        <v>10784.486702125547</v>
      </c>
      <c r="J25" s="132"/>
      <c r="K25" s="119">
        <f>I25+J25</f>
        <v>10784.486702125547</v>
      </c>
      <c r="L25" s="133"/>
      <c r="M25" s="121">
        <f>IF(D25&gt;C25,C25-D25,0)</f>
        <v>0</v>
      </c>
      <c r="N25" s="122">
        <f>IF(D25&lt;C25,C25-D25,0)</f>
        <v>282.31358719667969</v>
      </c>
      <c r="O25"/>
      <c r="P25"/>
      <c r="Q25"/>
    </row>
    <row r="26" spans="1:17" s="70" customFormat="1" ht="12.75" customHeight="1" thickBot="1" x14ac:dyDescent="0.3">
      <c r="A26" s="134" t="s">
        <v>227</v>
      </c>
      <c r="B26" s="135" t="s">
        <v>71</v>
      </c>
      <c r="C26" s="239">
        <f>SUM(C21:C25)</f>
        <v>12645</v>
      </c>
      <c r="D26" s="136">
        <f>SUM(D21:D25)</f>
        <v>11928.460099767359</v>
      </c>
      <c r="E26" s="136">
        <f>SUM(E21:E25)</f>
        <v>11927.875029045164</v>
      </c>
      <c r="F26" s="137">
        <f>SUM(F21:F25)</f>
        <v>0</v>
      </c>
      <c r="G26" s="138">
        <f>SUM(G21:G25)</f>
        <v>11927.875029045164</v>
      </c>
      <c r="H26" s="137"/>
      <c r="I26" s="137">
        <f>SUM(I21:I25)</f>
        <v>17959.647701342998</v>
      </c>
      <c r="J26" s="137">
        <f>SUM(J21:J25)</f>
        <v>0</v>
      </c>
      <c r="K26" s="139">
        <f>SUM(K21:K25)</f>
        <v>17959.647701342998</v>
      </c>
      <c r="L26" s="140">
        <f>ROUND(K26*$N$186/$K$176,0)</f>
        <v>438883</v>
      </c>
      <c r="M26" s="141">
        <f>SUM(M21:M25)</f>
        <v>-17.094523024660134</v>
      </c>
      <c r="N26" s="142">
        <f>SUM(N21:N25)</f>
        <v>733.6344232573008</v>
      </c>
      <c r="O26"/>
      <c r="P26"/>
      <c r="Q26"/>
    </row>
    <row r="27" spans="1:17" s="70" customFormat="1" ht="12.75" customHeight="1" x14ac:dyDescent="0.25">
      <c r="A27" s="143" t="s">
        <v>229</v>
      </c>
      <c r="B27" s="112" t="s">
        <v>222</v>
      </c>
      <c r="C27" s="237">
        <v>3226.5</v>
      </c>
      <c r="D27" s="113">
        <v>3235</v>
      </c>
      <c r="E27" s="114">
        <f>IF(C27&gt;=0.9*D27,D27,C27+0.1*D27)</f>
        <v>3235</v>
      </c>
      <c r="F27" s="115"/>
      <c r="G27" s="116">
        <f>E27+F27</f>
        <v>3235</v>
      </c>
      <c r="H27" s="117">
        <v>1.4796528746319542</v>
      </c>
      <c r="I27" s="115">
        <f>E27*H27</f>
        <v>4786.6770494343718</v>
      </c>
      <c r="J27" s="118"/>
      <c r="K27" s="119">
        <f>I27+J27</f>
        <v>4786.6770494343718</v>
      </c>
      <c r="L27" s="120"/>
      <c r="M27" s="121">
        <f>IF(D27&gt;C27,C27-D27,0)</f>
        <v>-8.5</v>
      </c>
      <c r="N27" s="122">
        <f>IF(D27&lt;C27,C27-D27,0)</f>
        <v>0</v>
      </c>
      <c r="O27"/>
      <c r="P27"/>
      <c r="Q27"/>
    </row>
    <row r="28" spans="1:17" s="70" customFormat="1" ht="12.75" customHeight="1" x14ac:dyDescent="0.25">
      <c r="A28" s="144" t="s">
        <v>229</v>
      </c>
      <c r="B28" s="112" t="s">
        <v>223</v>
      </c>
      <c r="C28" s="237">
        <v>127</v>
      </c>
      <c r="D28" s="113">
        <v>135</v>
      </c>
      <c r="E28" s="114">
        <f>IF(C28&gt;=0.9*D28,D28,C28+0.1*D28)</f>
        <v>135</v>
      </c>
      <c r="F28" s="115"/>
      <c r="G28" s="116">
        <f>E28+F28</f>
        <v>135</v>
      </c>
      <c r="H28" s="117">
        <v>1.2</v>
      </c>
      <c r="I28" s="115">
        <f>E28*H28</f>
        <v>162</v>
      </c>
      <c r="J28" s="118"/>
      <c r="K28" s="119">
        <f>I28+J28</f>
        <v>162</v>
      </c>
      <c r="L28" s="120"/>
      <c r="M28" s="121">
        <f>IF(D28&gt;C28,C28-D28,0)</f>
        <v>-8</v>
      </c>
      <c r="N28" s="122">
        <f>IF(D28&lt;C28,C28-D28,0)</f>
        <v>0</v>
      </c>
      <c r="O28"/>
      <c r="P28"/>
      <c r="Q28"/>
    </row>
    <row r="29" spans="1:17" s="70" customFormat="1" ht="12.75" customHeight="1" x14ac:dyDescent="0.25">
      <c r="A29" s="144" t="s">
        <v>229</v>
      </c>
      <c r="B29" s="112" t="s">
        <v>224</v>
      </c>
      <c r="C29" s="237">
        <v>591.5</v>
      </c>
      <c r="D29" s="113">
        <v>698</v>
      </c>
      <c r="E29" s="114">
        <f>IF(C29&gt;=0.9*D29,D29,C29+0.1*D29)</f>
        <v>661.3</v>
      </c>
      <c r="F29" s="115"/>
      <c r="G29" s="116">
        <f>E29+F29</f>
        <v>661.3</v>
      </c>
      <c r="H29" s="117">
        <v>1.4822147083685546</v>
      </c>
      <c r="I29" s="115">
        <f>E29*H29</f>
        <v>980.18858664412505</v>
      </c>
      <c r="J29" s="118"/>
      <c r="K29" s="119">
        <f>I29+J29</f>
        <v>980.18858664412505</v>
      </c>
      <c r="L29" s="120"/>
      <c r="M29" s="121">
        <f>IF(D29&gt;C29,C29-D29,0)</f>
        <v>-106.5</v>
      </c>
      <c r="N29" s="122">
        <f>IF(D29&lt;C29,C29-D29,0)</f>
        <v>0</v>
      </c>
      <c r="O29"/>
      <c r="P29"/>
      <c r="Q29"/>
    </row>
    <row r="30" spans="1:17" ht="12.75" customHeight="1" x14ac:dyDescent="0.25">
      <c r="A30" s="123" t="s">
        <v>230</v>
      </c>
      <c r="B30" s="124" t="s">
        <v>225</v>
      </c>
      <c r="C30" s="238">
        <v>40</v>
      </c>
      <c r="D30" s="125">
        <v>45</v>
      </c>
      <c r="E30" s="114">
        <f>IF(C30&gt;=0.9*D30,D30,C30+0.1*D30)</f>
        <v>44.5</v>
      </c>
      <c r="F30" s="126"/>
      <c r="G30" s="116">
        <f>E30+F30</f>
        <v>44.5</v>
      </c>
      <c r="H30" s="127">
        <v>1.73</v>
      </c>
      <c r="I30" s="115">
        <f>E30*H30</f>
        <v>76.984999999999999</v>
      </c>
      <c r="J30" s="128"/>
      <c r="K30" s="119">
        <f>I30+J30</f>
        <v>76.984999999999999</v>
      </c>
      <c r="L30" s="129"/>
      <c r="M30" s="121">
        <f>IF(D30&gt;C30,C30-D30,0)</f>
        <v>-5</v>
      </c>
      <c r="N30" s="122">
        <f>IF(D30&lt;C30,C30-D30,0)</f>
        <v>0</v>
      </c>
      <c r="O30"/>
      <c r="P30"/>
      <c r="Q30"/>
    </row>
    <row r="31" spans="1:17" s="70" customFormat="1" ht="12.75" customHeight="1" thickBot="1" x14ac:dyDescent="0.3">
      <c r="A31" s="145" t="s">
        <v>229</v>
      </c>
      <c r="B31" s="131" t="s">
        <v>226</v>
      </c>
      <c r="C31" s="237">
        <v>6488.5</v>
      </c>
      <c r="D31" s="113">
        <v>6033</v>
      </c>
      <c r="E31" s="114">
        <f>IF(C31&lt;D31,C31,D31)</f>
        <v>6033</v>
      </c>
      <c r="F31" s="126"/>
      <c r="G31" s="116">
        <f>E31+F31</f>
        <v>6033</v>
      </c>
      <c r="H31" s="117">
        <v>1.4422177853124758</v>
      </c>
      <c r="I31" s="115">
        <f>E31*H31</f>
        <v>8700.8998987901668</v>
      </c>
      <c r="J31" s="132"/>
      <c r="K31" s="119">
        <f>I31+J31</f>
        <v>8700.8998987901668</v>
      </c>
      <c r="L31" s="133"/>
      <c r="M31" s="121">
        <f>IF(D31&gt;C31,C31-D31,0)</f>
        <v>0</v>
      </c>
      <c r="N31" s="122">
        <f>IF(D31&lt;C31,C31-D31,0)</f>
        <v>455.5</v>
      </c>
      <c r="O31"/>
      <c r="P31"/>
      <c r="Q31"/>
    </row>
    <row r="32" spans="1:17" s="70" customFormat="1" ht="12.75" customHeight="1" thickBot="1" x14ac:dyDescent="0.3">
      <c r="A32" s="134" t="s">
        <v>229</v>
      </c>
      <c r="B32" s="135" t="s">
        <v>71</v>
      </c>
      <c r="C32" s="239">
        <f>SUM(C27:C31)</f>
        <v>10473.5</v>
      </c>
      <c r="D32" s="136">
        <f>SUM(D27:D31)</f>
        <v>10146</v>
      </c>
      <c r="E32" s="136">
        <f>SUM(E27:E31)</f>
        <v>10108.799999999999</v>
      </c>
      <c r="F32" s="137">
        <f>SUM(F27:F31)</f>
        <v>0</v>
      </c>
      <c r="G32" s="138">
        <f>SUM(G27:G31)</f>
        <v>10108.799999999999</v>
      </c>
      <c r="H32" s="137"/>
      <c r="I32" s="137">
        <f>SUM(I27:I31)</f>
        <v>14706.750534868665</v>
      </c>
      <c r="J32" s="137">
        <f>SUM(J27:J31)</f>
        <v>0</v>
      </c>
      <c r="K32" s="139">
        <f>SUM(K27:K31)</f>
        <v>14706.750534868665</v>
      </c>
      <c r="L32" s="140">
        <f>ROUND(K32*$N$186/$K$176,0)</f>
        <v>359392</v>
      </c>
      <c r="M32" s="141">
        <f>SUM(M27:M31)</f>
        <v>-128</v>
      </c>
      <c r="N32" s="142">
        <f>SUM(N27:N31)</f>
        <v>455.5</v>
      </c>
      <c r="O32"/>
      <c r="P32"/>
      <c r="Q32"/>
    </row>
    <row r="33" spans="1:17" s="70" customFormat="1" ht="12.75" customHeight="1" x14ac:dyDescent="0.25">
      <c r="A33" s="143" t="s">
        <v>231</v>
      </c>
      <c r="B33" s="112" t="s">
        <v>222</v>
      </c>
      <c r="C33" s="237">
        <v>8760</v>
      </c>
      <c r="D33" s="113">
        <v>9064.5561009568173</v>
      </c>
      <c r="E33" s="114">
        <f>IF(C33&gt;=0.9*D33,D33,C33+0.1*D33)</f>
        <v>9064.5561009568173</v>
      </c>
      <c r="F33" s="115"/>
      <c r="G33" s="116">
        <f>E33+F33</f>
        <v>9064.5561009568173</v>
      </c>
      <c r="H33" s="117">
        <v>1.3280913242009131</v>
      </c>
      <c r="I33" s="115">
        <f>E33*H33</f>
        <v>12038.558315413205</v>
      </c>
      <c r="J33" s="118"/>
      <c r="K33" s="119">
        <f>I33+J33</f>
        <v>12038.558315413205</v>
      </c>
      <c r="L33" s="120"/>
      <c r="M33" s="121">
        <f>IF(D33&gt;C33,C33-D33,0)</f>
        <v>-304.55610095681732</v>
      </c>
      <c r="N33" s="122">
        <f>IF(D33&lt;C33,C33-D33,0)</f>
        <v>0</v>
      </c>
      <c r="O33"/>
      <c r="P33"/>
      <c r="Q33"/>
    </row>
    <row r="34" spans="1:17" s="70" customFormat="1" ht="12.75" customHeight="1" x14ac:dyDescent="0.25">
      <c r="A34" s="144" t="s">
        <v>231</v>
      </c>
      <c r="B34" s="112" t="s">
        <v>223</v>
      </c>
      <c r="C34" s="237">
        <v>1537.5</v>
      </c>
      <c r="D34" s="113">
        <v>1560.4423783186778</v>
      </c>
      <c r="E34" s="114">
        <f>IF(C34&gt;=0.9*D34,D34,C34+0.1*D34)</f>
        <v>1560.4423783186778</v>
      </c>
      <c r="F34" s="116">
        <f>L212</f>
        <v>80</v>
      </c>
      <c r="G34" s="116">
        <f>E34+F34</f>
        <v>1640.4423783186778</v>
      </c>
      <c r="H34" s="117">
        <v>1.5227967479674798</v>
      </c>
      <c r="I34" s="115">
        <f>E34*H34</f>
        <v>2376.2365790943222</v>
      </c>
      <c r="J34" s="118">
        <f>N212</f>
        <v>280</v>
      </c>
      <c r="K34" s="119">
        <f>I34+J34</f>
        <v>2656.2365790943222</v>
      </c>
      <c r="L34" s="120"/>
      <c r="M34" s="121">
        <f>IF(D34&gt;C34,C34-D34,0)</f>
        <v>-22.942378318677811</v>
      </c>
      <c r="N34" s="122">
        <f>IF(D34&lt;C34,C34-D34,0)</f>
        <v>0</v>
      </c>
      <c r="O34"/>
      <c r="P34"/>
      <c r="Q34"/>
    </row>
    <row r="35" spans="1:17" s="70" customFormat="1" ht="12.75" customHeight="1" x14ac:dyDescent="0.25">
      <c r="A35" s="144" t="s">
        <v>231</v>
      </c>
      <c r="B35" s="112" t="s">
        <v>224</v>
      </c>
      <c r="C35" s="237">
        <v>4792.5</v>
      </c>
      <c r="D35" s="113">
        <v>4223.4163342550219</v>
      </c>
      <c r="E35" s="114">
        <f>IF(C35&gt;=0.9*D35,D35,C35+0.1*D35)</f>
        <v>4223.4163342550219</v>
      </c>
      <c r="F35" s="115"/>
      <c r="G35" s="116">
        <f>E35+F35</f>
        <v>4223.4163342550219</v>
      </c>
      <c r="H35" s="117">
        <v>1.3130182576943141</v>
      </c>
      <c r="I35" s="115">
        <f>E35*H35</f>
        <v>5545.4227567212356</v>
      </c>
      <c r="J35" s="118"/>
      <c r="K35" s="119">
        <f>I35+J35</f>
        <v>5545.4227567212356</v>
      </c>
      <c r="L35" s="120"/>
      <c r="M35" s="121">
        <f>IF(D35&gt;C35,C35-D35,0)</f>
        <v>0</v>
      </c>
      <c r="N35" s="122">
        <f>IF(D35&lt;C35,C35-D35,0)</f>
        <v>569.08366574497813</v>
      </c>
      <c r="O35"/>
      <c r="P35"/>
      <c r="Q35"/>
    </row>
    <row r="36" spans="1:17" ht="12.75" customHeight="1" x14ac:dyDescent="0.25">
      <c r="A36" s="123" t="s">
        <v>231</v>
      </c>
      <c r="B36" s="124" t="s">
        <v>225</v>
      </c>
      <c r="C36" s="238">
        <v>678.5</v>
      </c>
      <c r="D36" s="125">
        <v>689.77435856019974</v>
      </c>
      <c r="E36" s="114">
        <f>IF(C36&gt;=0.9*D36,D36,C36+0.1*D36)</f>
        <v>689.77435856019974</v>
      </c>
      <c r="F36" s="146">
        <f>L213</f>
        <v>2</v>
      </c>
      <c r="G36" s="116">
        <f>E36+F36</f>
        <v>691.77435856019974</v>
      </c>
      <c r="H36" s="127">
        <v>1.7433308769344142</v>
      </c>
      <c r="I36" s="115">
        <f>E36*H36</f>
        <v>1202.504937395626</v>
      </c>
      <c r="J36" s="128">
        <f>N213</f>
        <v>5.6</v>
      </c>
      <c r="K36" s="119">
        <f>I36+J36</f>
        <v>1208.1049373956259</v>
      </c>
      <c r="L36" s="129"/>
      <c r="M36" s="121">
        <f>IF(D36&gt;C36,C36-D36,0)</f>
        <v>-11.274358560199744</v>
      </c>
      <c r="N36" s="122">
        <f>IF(D36&lt;C36,C36-D36,0)</f>
        <v>0</v>
      </c>
      <c r="O36"/>
      <c r="P36"/>
      <c r="Q36"/>
    </row>
    <row r="37" spans="1:17" s="70" customFormat="1" ht="12.75" customHeight="1" thickBot="1" x14ac:dyDescent="0.3">
      <c r="A37" s="145" t="s">
        <v>231</v>
      </c>
      <c r="B37" s="131" t="s">
        <v>226</v>
      </c>
      <c r="C37" s="237">
        <v>24413.5</v>
      </c>
      <c r="D37" s="113">
        <v>23597.199401097485</v>
      </c>
      <c r="E37" s="114">
        <f>IF(C37&lt;D37,C37,D37)</f>
        <v>23597.199401097485</v>
      </c>
      <c r="F37" s="116">
        <f>L214</f>
        <v>289.5</v>
      </c>
      <c r="G37" s="116">
        <f>E37+F37</f>
        <v>23886.699401097485</v>
      </c>
      <c r="H37" s="117">
        <v>1.4146517254797548</v>
      </c>
      <c r="I37" s="115">
        <f>E37*H37</f>
        <v>33381.818849252391</v>
      </c>
      <c r="J37" s="132">
        <f>N214</f>
        <v>1002.05</v>
      </c>
      <c r="K37" s="119">
        <f>I37+J37</f>
        <v>34383.868849252394</v>
      </c>
      <c r="L37" s="133"/>
      <c r="M37" s="121">
        <f>IF(D37&gt;C37,C37-D37,0)</f>
        <v>0</v>
      </c>
      <c r="N37" s="122">
        <f>IF(D37&lt;C37,C37-D37,0)</f>
        <v>816.30059890251505</v>
      </c>
      <c r="O37"/>
      <c r="P37"/>
      <c r="Q37"/>
    </row>
    <row r="38" spans="1:17" s="70" customFormat="1" ht="12.75" customHeight="1" thickBot="1" x14ac:dyDescent="0.3">
      <c r="A38" s="134" t="s">
        <v>231</v>
      </c>
      <c r="B38" s="135" t="s">
        <v>71</v>
      </c>
      <c r="C38" s="239">
        <f>SUM(C33:C37)</f>
        <v>40182</v>
      </c>
      <c r="D38" s="136">
        <f>SUM(D33:D37)</f>
        <v>39135.388573188204</v>
      </c>
      <c r="E38" s="136">
        <f>SUM(E33:E37)</f>
        <v>39135.388573188204</v>
      </c>
      <c r="F38" s="137">
        <f>SUM(F33:F37)</f>
        <v>371.5</v>
      </c>
      <c r="G38" s="138">
        <f>SUM(G33:G37)</f>
        <v>39506.888573188204</v>
      </c>
      <c r="H38" s="137"/>
      <c r="I38" s="137">
        <f>SUM(I33:I37)</f>
        <v>54544.541437876775</v>
      </c>
      <c r="J38" s="137">
        <f>SUM(J33:J37)</f>
        <v>1287.6500000000001</v>
      </c>
      <c r="K38" s="139">
        <f>SUM(K33:K37)</f>
        <v>55832.191437876783</v>
      </c>
      <c r="L38" s="140">
        <f>ROUND(K38*$N$186/$K$176,0)</f>
        <v>1364381</v>
      </c>
      <c r="M38" s="141">
        <f>SUM(M33:M37)</f>
        <v>-338.77283783569487</v>
      </c>
      <c r="N38" s="142">
        <f>SUM(N33:N37)</f>
        <v>1385.3842646474932</v>
      </c>
      <c r="O38"/>
      <c r="P38"/>
      <c r="Q38"/>
    </row>
    <row r="39" spans="1:17" s="70" customFormat="1" ht="12.75" customHeight="1" x14ac:dyDescent="0.25">
      <c r="A39" s="147" t="s">
        <v>232</v>
      </c>
      <c r="B39" s="112" t="s">
        <v>222</v>
      </c>
      <c r="C39" s="237">
        <v>4764.5</v>
      </c>
      <c r="D39" s="113">
        <v>4419</v>
      </c>
      <c r="E39" s="114">
        <f>IF(C39&gt;=0.9*D39,D39,C39+0.1*D39)</f>
        <v>4419</v>
      </c>
      <c r="F39" s="116"/>
      <c r="G39" s="116">
        <f>E39+F39</f>
        <v>4419</v>
      </c>
      <c r="H39" s="117">
        <v>1.4663322489243362</v>
      </c>
      <c r="I39" s="115">
        <f>E39*H39</f>
        <v>6479.7222079966414</v>
      </c>
      <c r="J39" s="118"/>
      <c r="K39" s="119">
        <f>I39+J39</f>
        <v>6479.7222079966414</v>
      </c>
      <c r="L39" s="120"/>
      <c r="M39" s="121">
        <f>IF(D39&gt;C39,C39-D39,0)</f>
        <v>0</v>
      </c>
      <c r="N39" s="122">
        <f>IF(D39&lt;C39,C39-D39,0)</f>
        <v>345.5</v>
      </c>
      <c r="O39"/>
      <c r="P39"/>
      <c r="Q39"/>
    </row>
    <row r="40" spans="1:17" s="70" customFormat="1" ht="12.75" customHeight="1" x14ac:dyDescent="0.25">
      <c r="A40" s="111" t="s">
        <v>232</v>
      </c>
      <c r="B40" s="112" t="s">
        <v>223</v>
      </c>
      <c r="C40" s="237">
        <v>798.5</v>
      </c>
      <c r="D40" s="113">
        <v>829</v>
      </c>
      <c r="E40" s="114">
        <f>IF(C40&gt;=0.9*D40,D40,C40+0.1*D40)</f>
        <v>829</v>
      </c>
      <c r="F40" s="116">
        <f>L218</f>
        <v>90</v>
      </c>
      <c r="G40" s="116">
        <f>E40+F40</f>
        <v>919</v>
      </c>
      <c r="H40" s="117">
        <v>1.5795867251095803</v>
      </c>
      <c r="I40" s="115">
        <f>E40*H40</f>
        <v>1309.477395115842</v>
      </c>
      <c r="J40" s="118">
        <f>N218</f>
        <v>315</v>
      </c>
      <c r="K40" s="119">
        <f>I40+J40</f>
        <v>1624.477395115842</v>
      </c>
      <c r="L40" s="120"/>
      <c r="M40" s="121">
        <f>IF(D40&gt;C40,C40-D40,0)</f>
        <v>-30.5</v>
      </c>
      <c r="N40" s="122">
        <f>IF(D40&lt;C40,C40-D40,0)</f>
        <v>0</v>
      </c>
      <c r="O40"/>
      <c r="P40"/>
      <c r="Q40"/>
    </row>
    <row r="41" spans="1:17" s="70" customFormat="1" ht="12.75" customHeight="1" x14ac:dyDescent="0.25">
      <c r="A41" s="111" t="s">
        <v>232</v>
      </c>
      <c r="B41" s="112" t="s">
        <v>224</v>
      </c>
      <c r="C41" s="237">
        <v>1903.5</v>
      </c>
      <c r="D41" s="113">
        <v>1805</v>
      </c>
      <c r="E41" s="114">
        <f>IF(C41&gt;=0.9*D41,D41,C41+0.1*D41)</f>
        <v>1805</v>
      </c>
      <c r="F41" s="116"/>
      <c r="G41" s="116">
        <f>E41+F41</f>
        <v>1805</v>
      </c>
      <c r="H41" s="117">
        <v>1.3949829261886</v>
      </c>
      <c r="I41" s="115">
        <f>E41*H41</f>
        <v>2517.9441817704228</v>
      </c>
      <c r="J41" s="118"/>
      <c r="K41" s="119">
        <f>I41+J41</f>
        <v>2517.9441817704228</v>
      </c>
      <c r="L41" s="120"/>
      <c r="M41" s="121">
        <f>IF(D41&gt;C41,C41-D41,0)</f>
        <v>0</v>
      </c>
      <c r="N41" s="122">
        <f>IF(D41&lt;C41,C41-D41,0)</f>
        <v>98.5</v>
      </c>
      <c r="O41"/>
      <c r="P41"/>
      <c r="Q41"/>
    </row>
    <row r="42" spans="1:17" ht="12.75" customHeight="1" x14ac:dyDescent="0.25">
      <c r="A42" s="123" t="s">
        <v>232</v>
      </c>
      <c r="B42" s="124" t="s">
        <v>225</v>
      </c>
      <c r="C42" s="238">
        <v>341.5</v>
      </c>
      <c r="D42" s="125">
        <v>360</v>
      </c>
      <c r="E42" s="114">
        <f>IF(C42&gt;=0.9*D42,D42,C42+0.1*D42)</f>
        <v>360</v>
      </c>
      <c r="F42" s="146"/>
      <c r="G42" s="116">
        <f>E42+F42</f>
        <v>360</v>
      </c>
      <c r="H42" s="127">
        <v>1.7758418740849196</v>
      </c>
      <c r="I42" s="115">
        <f>E42*H42</f>
        <v>639.30307467057105</v>
      </c>
      <c r="J42" s="128"/>
      <c r="K42" s="119">
        <f>I42+J42</f>
        <v>639.30307467057105</v>
      </c>
      <c r="L42" s="129"/>
      <c r="M42" s="121">
        <f>IF(D42&gt;C42,C42-D42,0)</f>
        <v>-18.5</v>
      </c>
      <c r="N42" s="122">
        <f>IF(D42&lt;C42,C42-D42,0)</f>
        <v>0</v>
      </c>
      <c r="O42"/>
      <c r="P42"/>
      <c r="Q42"/>
    </row>
    <row r="43" spans="1:17" s="70" customFormat="1" ht="12.75" customHeight="1" thickBot="1" x14ac:dyDescent="0.3">
      <c r="A43" s="130" t="s">
        <v>232</v>
      </c>
      <c r="B43" s="131" t="s">
        <v>226</v>
      </c>
      <c r="C43" s="237">
        <v>13180.5</v>
      </c>
      <c r="D43" s="113">
        <v>13135</v>
      </c>
      <c r="E43" s="114">
        <f>IF(C43&lt;D43,C43,D43)</f>
        <v>13135</v>
      </c>
      <c r="F43" s="116">
        <f>L219</f>
        <v>321</v>
      </c>
      <c r="G43" s="116">
        <f>E43+F43</f>
        <v>13456</v>
      </c>
      <c r="H43" s="117">
        <v>1.4534084518796706</v>
      </c>
      <c r="I43" s="115">
        <f>E43*H43</f>
        <v>19090.520015439473</v>
      </c>
      <c r="J43" s="132">
        <f>N219</f>
        <v>1123.5</v>
      </c>
      <c r="K43" s="119">
        <f>I43+J43</f>
        <v>20214.020015439473</v>
      </c>
      <c r="L43" s="133"/>
      <c r="M43" s="121">
        <f>IF(D43&gt;C43,C43-D43,0)</f>
        <v>0</v>
      </c>
      <c r="N43" s="122">
        <f>IF(D43&lt;C43,C43-D43,0)</f>
        <v>45.5</v>
      </c>
      <c r="O43"/>
      <c r="P43"/>
      <c r="Q43"/>
    </row>
    <row r="44" spans="1:17" s="70" customFormat="1" ht="12.75" customHeight="1" thickBot="1" x14ac:dyDescent="0.3">
      <c r="A44" s="134" t="s">
        <v>232</v>
      </c>
      <c r="B44" s="135" t="s">
        <v>71</v>
      </c>
      <c r="C44" s="239">
        <f>SUM(C39:C43)</f>
        <v>20988.5</v>
      </c>
      <c r="D44" s="136">
        <f>SUM(D39:D43)</f>
        <v>20548</v>
      </c>
      <c r="E44" s="136">
        <f>SUM(E39:E43)</f>
        <v>20548</v>
      </c>
      <c r="F44" s="137">
        <f>SUM(F39:F43)</f>
        <v>411</v>
      </c>
      <c r="G44" s="138">
        <f>SUM(G39:G43)</f>
        <v>20959</v>
      </c>
      <c r="H44" s="137"/>
      <c r="I44" s="137">
        <f>SUM(I39:I43)</f>
        <v>30036.966874992951</v>
      </c>
      <c r="J44" s="137">
        <f>SUM(J39:J43)</f>
        <v>1438.5</v>
      </c>
      <c r="K44" s="139">
        <f>SUM(K39:K43)</f>
        <v>31475.466874992951</v>
      </c>
      <c r="L44" s="140">
        <f>ROUND(K44*$N$186/$K$176,0)</f>
        <v>769172</v>
      </c>
      <c r="M44" s="141">
        <f>SUM(M39:M43)</f>
        <v>-49</v>
      </c>
      <c r="N44" s="142">
        <f>SUM(N39:N43)</f>
        <v>489.5</v>
      </c>
      <c r="O44"/>
      <c r="P44"/>
      <c r="Q44"/>
    </row>
    <row r="45" spans="1:17" s="70" customFormat="1" ht="12.75" customHeight="1" x14ac:dyDescent="0.25">
      <c r="A45" s="143" t="s">
        <v>85</v>
      </c>
      <c r="B45" s="112" t="s">
        <v>222</v>
      </c>
      <c r="C45" s="237">
        <v>168</v>
      </c>
      <c r="D45" s="113">
        <v>131.2068085012647</v>
      </c>
      <c r="E45" s="114">
        <f>IF(C45&gt;=0.9*D45,D45,C45+0.1*D45)</f>
        <v>131.2068085012647</v>
      </c>
      <c r="F45" s="115"/>
      <c r="G45" s="116">
        <f>E45+F45</f>
        <v>131.2068085012647</v>
      </c>
      <c r="H45" s="117">
        <v>3.5</v>
      </c>
      <c r="I45" s="115">
        <f>E45*H45</f>
        <v>459.22382975442645</v>
      </c>
      <c r="J45" s="118"/>
      <c r="K45" s="119">
        <f>I45+J45</f>
        <v>459.22382975442645</v>
      </c>
      <c r="L45" s="120"/>
      <c r="M45" s="121">
        <f>IF(D45&gt;C45,C45-D45,0)</f>
        <v>0</v>
      </c>
      <c r="N45" s="122">
        <f>IF(D45&lt;C45,C45-D45,0)</f>
        <v>36.793191498735297</v>
      </c>
      <c r="O45"/>
      <c r="P45"/>
      <c r="Q45"/>
    </row>
    <row r="46" spans="1:17" s="70" customFormat="1" ht="12.75" customHeight="1" x14ac:dyDescent="0.25">
      <c r="A46" s="144" t="s">
        <v>85</v>
      </c>
      <c r="B46" s="112" t="s">
        <v>223</v>
      </c>
      <c r="C46" s="237">
        <v>525.5</v>
      </c>
      <c r="D46" s="125">
        <v>445</v>
      </c>
      <c r="E46" s="114">
        <f>IF(C46&gt;=0.9*D46,D46,C46+0.1*D46)</f>
        <v>445</v>
      </c>
      <c r="F46" s="115"/>
      <c r="G46" s="116">
        <f>E46+F46</f>
        <v>445</v>
      </c>
      <c r="H46" s="117">
        <v>3.0849286393910562</v>
      </c>
      <c r="I46" s="115">
        <f>E46*H46</f>
        <v>1372.7932445290201</v>
      </c>
      <c r="J46" s="118"/>
      <c r="K46" s="119">
        <f>I46+J46</f>
        <v>1372.7932445290201</v>
      </c>
      <c r="L46" s="120"/>
      <c r="M46" s="121">
        <f>IF(D46&gt;C46,C46-D46,0)</f>
        <v>0</v>
      </c>
      <c r="N46" s="122">
        <f>IF(D46&lt;C46,C46-D46,0)</f>
        <v>80.5</v>
      </c>
      <c r="O46"/>
      <c r="P46"/>
      <c r="Q46"/>
    </row>
    <row r="47" spans="1:17" s="70" customFormat="1" ht="12.75" customHeight="1" x14ac:dyDescent="0.25">
      <c r="A47" s="144" t="s">
        <v>85</v>
      </c>
      <c r="B47" s="112" t="s">
        <v>224</v>
      </c>
      <c r="C47" s="237">
        <v>61</v>
      </c>
      <c r="D47" s="125">
        <v>72</v>
      </c>
      <c r="E47" s="114">
        <f>IF(C47&gt;=0.9*D47,D47,C47+0.1*D47)</f>
        <v>68.2</v>
      </c>
      <c r="F47" s="115"/>
      <c r="G47" s="116">
        <f>E47+F47</f>
        <v>68.2</v>
      </c>
      <c r="H47" s="117">
        <v>3.5</v>
      </c>
      <c r="I47" s="115">
        <f>E47*H47</f>
        <v>238.70000000000002</v>
      </c>
      <c r="J47" s="118"/>
      <c r="K47" s="119">
        <f>I47+J47</f>
        <v>238.70000000000002</v>
      </c>
      <c r="L47" s="120"/>
      <c r="M47" s="121">
        <f>IF(D47&gt;C47,C47-D47,0)</f>
        <v>-11</v>
      </c>
      <c r="N47" s="122">
        <f>IF(D47&lt;C47,C47-D47,0)</f>
        <v>0</v>
      </c>
      <c r="O47"/>
      <c r="P47"/>
      <c r="Q47"/>
    </row>
    <row r="48" spans="1:17" ht="12.75" customHeight="1" x14ac:dyDescent="0.25">
      <c r="A48" s="123" t="s">
        <v>85</v>
      </c>
      <c r="B48" s="124" t="s">
        <v>225</v>
      </c>
      <c r="C48" s="238">
        <v>56.5</v>
      </c>
      <c r="D48" s="125">
        <v>74.017937757140103</v>
      </c>
      <c r="E48" s="114">
        <f>IF(C48&gt;=0.9*D48,D48,C48+0.1*D48)</f>
        <v>63.901793775714012</v>
      </c>
      <c r="F48" s="126"/>
      <c r="G48" s="116">
        <f>E48+F48</f>
        <v>63.901793775714012</v>
      </c>
      <c r="H48" s="127">
        <v>3.1017699115044248</v>
      </c>
      <c r="I48" s="115">
        <f>E48*H48</f>
        <v>198.20866122467046</v>
      </c>
      <c r="J48" s="128"/>
      <c r="K48" s="119">
        <f>I48+J48</f>
        <v>198.20866122467046</v>
      </c>
      <c r="L48" s="129"/>
      <c r="M48" s="121">
        <f>IF(D48&gt;C48,C48-D48,0)</f>
        <v>-17.517937757140103</v>
      </c>
      <c r="N48" s="122">
        <f>IF(D48&lt;C48,C48-D48,0)</f>
        <v>0</v>
      </c>
      <c r="O48"/>
      <c r="P48"/>
    </row>
    <row r="49" spans="1:16" s="70" customFormat="1" ht="12.75" customHeight="1" thickBot="1" x14ac:dyDescent="0.3">
      <c r="A49" s="145" t="s">
        <v>85</v>
      </c>
      <c r="B49" s="131" t="s">
        <v>226</v>
      </c>
      <c r="C49" s="237">
        <v>1998.5</v>
      </c>
      <c r="D49" s="113">
        <v>1981.1856275956945</v>
      </c>
      <c r="E49" s="114">
        <f>IF(C49&lt;D49,C49,D49)</f>
        <v>1981.1856275956945</v>
      </c>
      <c r="F49" s="126"/>
      <c r="G49" s="116">
        <f>E49+F49</f>
        <v>1981.1856275956945</v>
      </c>
      <c r="H49" s="117">
        <v>3.1306629972479358</v>
      </c>
      <c r="I49" s="115">
        <f>E49*H49</f>
        <v>6202.4245349932698</v>
      </c>
      <c r="J49" s="132"/>
      <c r="K49" s="119">
        <f>I49+J49</f>
        <v>6202.4245349932698</v>
      </c>
      <c r="L49" s="133"/>
      <c r="M49" s="121">
        <f>IF(D49&gt;C49,C49-D49,0)</f>
        <v>0</v>
      </c>
      <c r="N49" s="122">
        <f>IF(D49&lt;C49,C49-D49,0)</f>
        <v>17.314372404305459</v>
      </c>
      <c r="O49"/>
      <c r="P49"/>
    </row>
    <row r="50" spans="1:16" s="70" customFormat="1" ht="12.75" customHeight="1" thickBot="1" x14ac:dyDescent="0.3">
      <c r="A50" s="134" t="s">
        <v>85</v>
      </c>
      <c r="B50" s="135" t="s">
        <v>71</v>
      </c>
      <c r="C50" s="239">
        <f>SUM(C45:C49)</f>
        <v>2809.5</v>
      </c>
      <c r="D50" s="136">
        <f>SUM(D45:D49)</f>
        <v>2703.4103738540994</v>
      </c>
      <c r="E50" s="136">
        <f>SUM(E45:E49)</f>
        <v>2689.4942298726733</v>
      </c>
      <c r="F50" s="137">
        <f>SUM(F45:F49)</f>
        <v>0</v>
      </c>
      <c r="G50" s="138">
        <f>SUM(G45:G49)</f>
        <v>2689.4942298726733</v>
      </c>
      <c r="H50" s="137"/>
      <c r="I50" s="137">
        <f>SUM(I45:I49)</f>
        <v>8471.3502705013871</v>
      </c>
      <c r="J50" s="137">
        <f>SUM(J45:J49)</f>
        <v>0</v>
      </c>
      <c r="K50" s="139">
        <f>SUM(K45:K49)</f>
        <v>8471.3502705013871</v>
      </c>
      <c r="L50" s="140">
        <f>ROUND(K50*$N$186/$K$176,0)</f>
        <v>207016</v>
      </c>
      <c r="M50" s="141">
        <f>SUM(M45:M49)</f>
        <v>-28.517937757140103</v>
      </c>
      <c r="N50" s="142">
        <f>SUM(N45:N49)</f>
        <v>134.60756390304076</v>
      </c>
      <c r="O50"/>
      <c r="P50"/>
    </row>
    <row r="51" spans="1:16" s="70" customFormat="1" ht="12.75" customHeight="1" x14ac:dyDescent="0.25">
      <c r="A51" s="143" t="s">
        <v>233</v>
      </c>
      <c r="B51" s="112" t="s">
        <v>222</v>
      </c>
      <c r="C51" s="237">
        <v>3044</v>
      </c>
      <c r="D51" s="113">
        <v>2843</v>
      </c>
      <c r="E51" s="114">
        <f>IF(C51&gt;=0.9*D51,D51,C51+0.1*D51)</f>
        <v>2843</v>
      </c>
      <c r="F51" s="115"/>
      <c r="G51" s="116">
        <f>E51+F51</f>
        <v>2843</v>
      </c>
      <c r="H51" s="117">
        <v>1.5179369250985546</v>
      </c>
      <c r="I51" s="115">
        <f>E51*H51</f>
        <v>4315.4946780551909</v>
      </c>
      <c r="J51" s="118"/>
      <c r="K51" s="119">
        <f>I51+J51</f>
        <v>4315.4946780551909</v>
      </c>
      <c r="L51" s="120"/>
      <c r="M51" s="121">
        <f>IF(D51&gt;C51,C51-D51,0)</f>
        <v>0</v>
      </c>
      <c r="N51" s="122">
        <f>IF(D51&lt;C51,C51-D51,0)</f>
        <v>201</v>
      </c>
      <c r="O51"/>
      <c r="P51"/>
    </row>
    <row r="52" spans="1:16" s="70" customFormat="1" ht="12.75" customHeight="1" x14ac:dyDescent="0.25">
      <c r="A52" s="144" t="s">
        <v>233</v>
      </c>
      <c r="B52" s="112" t="s">
        <v>223</v>
      </c>
      <c r="C52" s="237">
        <v>222.5</v>
      </c>
      <c r="D52" s="113">
        <v>192</v>
      </c>
      <c r="E52" s="114">
        <f>IF(C52&gt;=0.9*D52,D52,C52+0.1*D52)</f>
        <v>192</v>
      </c>
      <c r="F52" s="115"/>
      <c r="G52" s="116">
        <f>E52+F52</f>
        <v>192</v>
      </c>
      <c r="H52" s="117">
        <v>1.983820224719101</v>
      </c>
      <c r="I52" s="115">
        <f>E52*H52</f>
        <v>380.89348314606741</v>
      </c>
      <c r="J52" s="118"/>
      <c r="K52" s="119">
        <f>I52+J52</f>
        <v>380.89348314606741</v>
      </c>
      <c r="L52" s="120"/>
      <c r="M52" s="121">
        <f>IF(D52&gt;C52,C52-D52,0)</f>
        <v>0</v>
      </c>
      <c r="N52" s="122">
        <f>IF(D52&lt;C52,C52-D52,0)</f>
        <v>30.5</v>
      </c>
      <c r="O52"/>
      <c r="P52"/>
    </row>
    <row r="53" spans="1:16" s="70" customFormat="1" ht="12.75" customHeight="1" x14ac:dyDescent="0.25">
      <c r="A53" s="144" t="s">
        <v>233</v>
      </c>
      <c r="B53" s="112" t="s">
        <v>224</v>
      </c>
      <c r="C53" s="237">
        <v>997</v>
      </c>
      <c r="D53" s="113">
        <v>865</v>
      </c>
      <c r="E53" s="114">
        <f>IF(C53&gt;=0.9*D53,D53,C53+0.1*D53)</f>
        <v>865</v>
      </c>
      <c r="F53" s="115"/>
      <c r="G53" s="116">
        <f>E53+F53</f>
        <v>865</v>
      </c>
      <c r="H53" s="117">
        <v>1.5244533600802408</v>
      </c>
      <c r="I53" s="115">
        <f>E53*H53</f>
        <v>1318.6521564694083</v>
      </c>
      <c r="J53" s="118"/>
      <c r="K53" s="119">
        <f>I53+J53</f>
        <v>1318.6521564694083</v>
      </c>
      <c r="L53" s="120"/>
      <c r="M53" s="121">
        <f>IF(D53&gt;C53,C53-D53,0)</f>
        <v>0</v>
      </c>
      <c r="N53" s="122">
        <f>IF(D53&lt;C53,C53-D53,0)</f>
        <v>132</v>
      </c>
      <c r="O53"/>
      <c r="P53"/>
    </row>
    <row r="54" spans="1:16" ht="12.75" customHeight="1" x14ac:dyDescent="0.25">
      <c r="A54" s="123" t="s">
        <v>233</v>
      </c>
      <c r="B54" s="124" t="s">
        <v>225</v>
      </c>
      <c r="C54" s="238">
        <v>122</v>
      </c>
      <c r="D54" s="125">
        <v>85</v>
      </c>
      <c r="E54" s="114">
        <f>IF(C54&gt;=0.9*D54,D54,C54+0.1*D54)</f>
        <v>85</v>
      </c>
      <c r="F54" s="126"/>
      <c r="G54" s="116">
        <f>E54+F54</f>
        <v>85</v>
      </c>
      <c r="H54" s="127">
        <v>1.5454918032786886</v>
      </c>
      <c r="I54" s="115">
        <f>E54*H54</f>
        <v>131.36680327868854</v>
      </c>
      <c r="J54" s="128"/>
      <c r="K54" s="119">
        <f>I54+J54</f>
        <v>131.36680327868854</v>
      </c>
      <c r="L54" s="129"/>
      <c r="M54" s="121">
        <f>IF(D54&gt;C54,C54-D54,0)</f>
        <v>0</v>
      </c>
      <c r="N54" s="122">
        <f>IF(D54&lt;C54,C54-D54,0)</f>
        <v>37</v>
      </c>
      <c r="O54"/>
      <c r="P54"/>
    </row>
    <row r="55" spans="1:16" s="70" customFormat="1" ht="12.75" customHeight="1" thickBot="1" x14ac:dyDescent="0.3">
      <c r="A55" s="145" t="s">
        <v>233</v>
      </c>
      <c r="B55" s="131" t="s">
        <v>226</v>
      </c>
      <c r="C55" s="237">
        <v>5586.5</v>
      </c>
      <c r="D55" s="113">
        <v>4949</v>
      </c>
      <c r="E55" s="114">
        <f>IF(C55&lt;D55,C55,D55)</f>
        <v>4949</v>
      </c>
      <c r="F55" s="126"/>
      <c r="G55" s="116">
        <f>E55+F55</f>
        <v>4949</v>
      </c>
      <c r="H55" s="117">
        <v>1.5429052358363915</v>
      </c>
      <c r="I55" s="115">
        <f>E55*H55</f>
        <v>7635.8380121543014</v>
      </c>
      <c r="J55" s="132"/>
      <c r="K55" s="119">
        <f>I55+J55</f>
        <v>7635.8380121543014</v>
      </c>
      <c r="L55" s="133"/>
      <c r="M55" s="121">
        <f>IF(D55&gt;C55,C55-D55,0)</f>
        <v>0</v>
      </c>
      <c r="N55" s="122">
        <f>IF(D55&lt;C55,C55-D55,0)</f>
        <v>637.5</v>
      </c>
      <c r="O55"/>
      <c r="P55"/>
    </row>
    <row r="56" spans="1:16" s="70" customFormat="1" ht="12.75" customHeight="1" thickBot="1" x14ac:dyDescent="0.3">
      <c r="A56" s="134" t="s">
        <v>233</v>
      </c>
      <c r="B56" s="135" t="s">
        <v>71</v>
      </c>
      <c r="C56" s="239">
        <f>SUM(C51:C55)</f>
        <v>9972</v>
      </c>
      <c r="D56" s="136">
        <f>SUM(D51:D55)</f>
        <v>8934</v>
      </c>
      <c r="E56" s="136">
        <f>SUM(E51:E55)</f>
        <v>8934</v>
      </c>
      <c r="F56" s="137">
        <f>SUM(F51:F55)</f>
        <v>0</v>
      </c>
      <c r="G56" s="138">
        <f>SUM(G51:G55)</f>
        <v>8934</v>
      </c>
      <c r="H56" s="137"/>
      <c r="I56" s="137">
        <f>SUM(I51:I55)</f>
        <v>13782.245133103657</v>
      </c>
      <c r="J56" s="137">
        <f>SUM(J51:J55)</f>
        <v>0</v>
      </c>
      <c r="K56" s="139">
        <f>SUM(K51:K55)</f>
        <v>13782.245133103657</v>
      </c>
      <c r="L56" s="140">
        <f>ROUND(K56*$N$186/$K$176,0)</f>
        <v>336799</v>
      </c>
      <c r="M56" s="141">
        <f>SUM(M51:M55)</f>
        <v>0</v>
      </c>
      <c r="N56" s="142">
        <f>SUM(N51:N55)</f>
        <v>1038</v>
      </c>
      <c r="O56"/>
      <c r="P56"/>
    </row>
    <row r="57" spans="1:16" s="70" customFormat="1" ht="12.75" customHeight="1" x14ac:dyDescent="0.25">
      <c r="A57" s="148" t="s">
        <v>151</v>
      </c>
      <c r="B57" s="112" t="s">
        <v>222</v>
      </c>
      <c r="C57" s="237">
        <v>2623.5</v>
      </c>
      <c r="D57" s="113">
        <v>2296</v>
      </c>
      <c r="E57" s="114">
        <f>IF(C57&gt;=0.9*D57,D57,C57+0.1*D57)</f>
        <v>2296</v>
      </c>
      <c r="F57" s="115"/>
      <c r="G57" s="116">
        <f>E57+F57</f>
        <v>2296</v>
      </c>
      <c r="H57" s="117">
        <v>1.2821154945683249</v>
      </c>
      <c r="I57" s="115">
        <f>E57*H57</f>
        <v>2943.7371755288736</v>
      </c>
      <c r="J57" s="118"/>
      <c r="K57" s="119">
        <f>I57+J57</f>
        <v>2943.7371755288736</v>
      </c>
      <c r="L57" s="120"/>
      <c r="M57" s="121">
        <f>IF(D57&gt;C57,C57-D57,0)</f>
        <v>0</v>
      </c>
      <c r="N57" s="122">
        <f>IF(D57&lt;C57,C57-D57,0)</f>
        <v>327.5</v>
      </c>
      <c r="O57"/>
      <c r="P57"/>
    </row>
    <row r="58" spans="1:16" s="70" customFormat="1" ht="12.75" customHeight="1" x14ac:dyDescent="0.25">
      <c r="A58" s="111" t="s">
        <v>151</v>
      </c>
      <c r="B58" s="112" t="s">
        <v>223</v>
      </c>
      <c r="C58" s="237">
        <v>111</v>
      </c>
      <c r="D58" s="113">
        <v>95</v>
      </c>
      <c r="E58" s="114">
        <f>IF(C58&gt;=0.9*D58,D58,C58+0.1*D58)</f>
        <v>95</v>
      </c>
      <c r="F58" s="115"/>
      <c r="G58" s="116">
        <f>E58+F58</f>
        <v>95</v>
      </c>
      <c r="H58" s="117">
        <v>1.2</v>
      </c>
      <c r="I58" s="115">
        <f>E58*H58</f>
        <v>114</v>
      </c>
      <c r="J58" s="118"/>
      <c r="K58" s="119">
        <f>I58+J58</f>
        <v>114</v>
      </c>
      <c r="L58" s="120"/>
      <c r="M58" s="121">
        <f>IF(D58&gt;C58,C58-D58,0)</f>
        <v>0</v>
      </c>
      <c r="N58" s="122">
        <f>IF(D58&lt;C58,C58-D58,0)</f>
        <v>16</v>
      </c>
      <c r="O58"/>
      <c r="P58"/>
    </row>
    <row r="59" spans="1:16" s="70" customFormat="1" ht="12.75" customHeight="1" x14ac:dyDescent="0.25">
      <c r="A59" s="111" t="s">
        <v>151</v>
      </c>
      <c r="B59" s="112" t="s">
        <v>224</v>
      </c>
      <c r="C59" s="237">
        <v>691</v>
      </c>
      <c r="D59" s="113">
        <v>742</v>
      </c>
      <c r="E59" s="114">
        <f>IF(C59&gt;=0.9*D59,D59,C59+0.1*D59)</f>
        <v>742</v>
      </c>
      <c r="F59" s="115"/>
      <c r="G59" s="116">
        <f>E59+F59</f>
        <v>742</v>
      </c>
      <c r="H59" s="117">
        <v>1.3227930535455861</v>
      </c>
      <c r="I59" s="115">
        <f>E59*H59</f>
        <v>981.51244573082488</v>
      </c>
      <c r="J59" s="118"/>
      <c r="K59" s="119">
        <f>I59+J59</f>
        <v>981.51244573082488</v>
      </c>
      <c r="L59" s="120"/>
      <c r="M59" s="121">
        <f>IF(D59&gt;C59,C59-D59,0)</f>
        <v>-51</v>
      </c>
      <c r="N59" s="122">
        <f>IF(D59&lt;C59,C59-D59,0)</f>
        <v>0</v>
      </c>
      <c r="O59"/>
      <c r="P59"/>
    </row>
    <row r="60" spans="1:16" ht="12.75" customHeight="1" x14ac:dyDescent="0.25">
      <c r="A60" s="149" t="s">
        <v>234</v>
      </c>
      <c r="B60" s="124" t="s">
        <v>225</v>
      </c>
      <c r="C60" s="238">
        <v>41</v>
      </c>
      <c r="D60" s="125">
        <v>34</v>
      </c>
      <c r="E60" s="114">
        <f>IF(C60&gt;=0.9*D60,D60,C60+0.1*D60)</f>
        <v>34</v>
      </c>
      <c r="F60" s="126"/>
      <c r="G60" s="116">
        <f>E60+F60</f>
        <v>34</v>
      </c>
      <c r="H60" s="127">
        <v>1.2060975609756097</v>
      </c>
      <c r="I60" s="115">
        <f>E60*H60</f>
        <v>41.007317073170732</v>
      </c>
      <c r="J60" s="128"/>
      <c r="K60" s="119">
        <f>I60+J60</f>
        <v>41.007317073170732</v>
      </c>
      <c r="L60" s="129"/>
      <c r="M60" s="121">
        <f>IF(D60&gt;C60,C60-D60,0)</f>
        <v>0</v>
      </c>
      <c r="N60" s="122">
        <f>IF(D60&lt;C60,C60-D60,0)</f>
        <v>7</v>
      </c>
      <c r="O60"/>
      <c r="P60"/>
    </row>
    <row r="61" spans="1:16" s="70" customFormat="1" ht="12.75" customHeight="1" thickBot="1" x14ac:dyDescent="0.3">
      <c r="A61" s="130" t="s">
        <v>151</v>
      </c>
      <c r="B61" s="131" t="s">
        <v>226</v>
      </c>
      <c r="C61" s="237">
        <v>5127</v>
      </c>
      <c r="D61" s="113">
        <v>4779</v>
      </c>
      <c r="E61" s="114">
        <f>IF(C61&lt;D61,C61,D61)</f>
        <v>4779</v>
      </c>
      <c r="F61" s="126"/>
      <c r="G61" s="116">
        <f>E61+F61</f>
        <v>4779</v>
      </c>
      <c r="H61" s="117">
        <v>1.2373590793836551</v>
      </c>
      <c r="I61" s="115">
        <f>E61*H61</f>
        <v>5913.3390403744879</v>
      </c>
      <c r="J61" s="132"/>
      <c r="K61" s="119">
        <f>I61+J61</f>
        <v>5913.3390403744879</v>
      </c>
      <c r="L61" s="133"/>
      <c r="M61" s="121">
        <f>IF(D61&gt;C61,C61-D61,0)</f>
        <v>0</v>
      </c>
      <c r="N61" s="122">
        <f>IF(D61&lt;C61,C61-D61,0)</f>
        <v>348</v>
      </c>
      <c r="O61"/>
      <c r="P61"/>
    </row>
    <row r="62" spans="1:16" s="70" customFormat="1" ht="12.75" customHeight="1" thickBot="1" x14ac:dyDescent="0.3">
      <c r="A62" s="134" t="s">
        <v>151</v>
      </c>
      <c r="B62" s="135" t="s">
        <v>71</v>
      </c>
      <c r="C62" s="239">
        <f>SUM(C57:C61)</f>
        <v>8593.5</v>
      </c>
      <c r="D62" s="136">
        <f>SUM(D57:D61)</f>
        <v>7946</v>
      </c>
      <c r="E62" s="136">
        <f>SUM(E57:E61)</f>
        <v>7946</v>
      </c>
      <c r="F62" s="137">
        <f>SUM(F57:F61)</f>
        <v>0</v>
      </c>
      <c r="G62" s="138">
        <f>SUM(G57:G61)</f>
        <v>7946</v>
      </c>
      <c r="H62" s="137"/>
      <c r="I62" s="137">
        <f>SUM(I57:I61)</f>
        <v>9993.5959787073571</v>
      </c>
      <c r="J62" s="137">
        <f>SUM(J57:J61)</f>
        <v>0</v>
      </c>
      <c r="K62" s="139">
        <f>SUM(K57:K61)</f>
        <v>9993.5959787073571</v>
      </c>
      <c r="L62" s="140">
        <f>ROUND(K62*$N$186/$K$176,0)</f>
        <v>244215</v>
      </c>
      <c r="M62" s="141">
        <f>SUM(M57:M61)</f>
        <v>-51</v>
      </c>
      <c r="N62" s="142">
        <f>SUM(N57:N61)</f>
        <v>698.5</v>
      </c>
      <c r="O62"/>
      <c r="P62"/>
    </row>
    <row r="63" spans="1:16" s="70" customFormat="1" ht="12.75" customHeight="1" x14ac:dyDescent="0.25">
      <c r="A63" s="143" t="s">
        <v>235</v>
      </c>
      <c r="B63" s="112" t="s">
        <v>222</v>
      </c>
      <c r="C63" s="237">
        <v>2725.5</v>
      </c>
      <c r="D63" s="125">
        <v>2725.56</v>
      </c>
      <c r="E63" s="114">
        <f>IF(C63&gt;=0.9*D63,D63,C63+0.1*D63)</f>
        <v>2725.56</v>
      </c>
      <c r="F63" s="115"/>
      <c r="G63" s="116">
        <f>E63+F63</f>
        <v>2725.56</v>
      </c>
      <c r="H63" s="117">
        <v>1.3159236837277564</v>
      </c>
      <c r="I63" s="115">
        <f>E63*H63</f>
        <v>3586.6289554210234</v>
      </c>
      <c r="J63" s="118"/>
      <c r="K63" s="119">
        <f>I63+J63</f>
        <v>3586.6289554210234</v>
      </c>
      <c r="L63" s="120"/>
      <c r="M63" s="121">
        <f>IF(D63&gt;C63,C63-D63,0)</f>
        <v>-5.999999999994543E-2</v>
      </c>
      <c r="N63" s="122">
        <f>IF(D63&lt;C63,C63-D63,0)</f>
        <v>0</v>
      </c>
      <c r="O63"/>
      <c r="P63"/>
    </row>
    <row r="64" spans="1:16" s="70" customFormat="1" ht="12.75" customHeight="1" x14ac:dyDescent="0.25">
      <c r="A64" s="144" t="s">
        <v>235</v>
      </c>
      <c r="B64" s="112" t="s">
        <v>223</v>
      </c>
      <c r="C64" s="237">
        <v>2</v>
      </c>
      <c r="D64" s="125">
        <v>5.07</v>
      </c>
      <c r="E64" s="114">
        <f>IF(C64&gt;=0.9*D64,D64,C64+0.1*D64)</f>
        <v>2.5070000000000001</v>
      </c>
      <c r="F64" s="115"/>
      <c r="G64" s="116">
        <f>E64+F64</f>
        <v>2.5070000000000001</v>
      </c>
      <c r="H64" s="117">
        <v>2.25</v>
      </c>
      <c r="I64" s="115">
        <f>E64*H64</f>
        <v>5.6407500000000006</v>
      </c>
      <c r="J64" s="118"/>
      <c r="K64" s="119">
        <f>I64+J64</f>
        <v>5.6407500000000006</v>
      </c>
      <c r="L64" s="120"/>
      <c r="M64" s="121">
        <f>IF(D64&gt;C64,C64-D64,0)</f>
        <v>-3.0700000000000003</v>
      </c>
      <c r="N64" s="122">
        <f>IF(D64&lt;C64,C64-D64,0)</f>
        <v>0</v>
      </c>
      <c r="O64"/>
      <c r="P64"/>
    </row>
    <row r="65" spans="1:16" s="70" customFormat="1" ht="12.75" customHeight="1" x14ac:dyDescent="0.25">
      <c r="A65" s="144" t="s">
        <v>235</v>
      </c>
      <c r="B65" s="112" t="s">
        <v>224</v>
      </c>
      <c r="C65" s="237">
        <v>850</v>
      </c>
      <c r="D65" s="125">
        <v>1027.4747564599606</v>
      </c>
      <c r="E65" s="114">
        <f>IF(C65&gt;=0.9*D65,D65,C65+0.1*D65)</f>
        <v>952.74747564599602</v>
      </c>
      <c r="F65" s="115"/>
      <c r="G65" s="116">
        <f>E65+F65</f>
        <v>952.74747564599602</v>
      </c>
      <c r="H65" s="117">
        <v>1.0431176470588235</v>
      </c>
      <c r="I65" s="115">
        <f>E65*H65</f>
        <v>993.82770503708514</v>
      </c>
      <c r="J65" s="118"/>
      <c r="K65" s="119">
        <f>I65+J65</f>
        <v>993.82770503708514</v>
      </c>
      <c r="L65" s="120"/>
      <c r="M65" s="121">
        <f>IF(D65&gt;C65,C65-D65,0)</f>
        <v>-177.47475645996064</v>
      </c>
      <c r="N65" s="122">
        <f>IF(D65&lt;C65,C65-D65,0)</f>
        <v>0</v>
      </c>
      <c r="O65"/>
      <c r="P65"/>
    </row>
    <row r="66" spans="1:16" ht="12.75" customHeight="1" x14ac:dyDescent="0.25">
      <c r="A66" s="123" t="s">
        <v>235</v>
      </c>
      <c r="B66" s="124" t="s">
        <v>225</v>
      </c>
      <c r="C66" s="238">
        <v>40</v>
      </c>
      <c r="D66" s="125">
        <v>55.144124410657838</v>
      </c>
      <c r="E66" s="114">
        <f>IF(C66&gt;=0.9*D66,D66,C66+0.1*D66)</f>
        <v>45.514412441065787</v>
      </c>
      <c r="F66" s="126"/>
      <c r="G66" s="116">
        <f>E66+F66</f>
        <v>45.514412441065787</v>
      </c>
      <c r="H66" s="127">
        <v>1.3712500000000001</v>
      </c>
      <c r="I66" s="115">
        <f>E66*H66</f>
        <v>62.411638059811466</v>
      </c>
      <c r="J66" s="128"/>
      <c r="K66" s="119">
        <f>I66+J66</f>
        <v>62.411638059811466</v>
      </c>
      <c r="L66" s="129"/>
      <c r="M66" s="121">
        <f>IF(D66&gt;C66,C66-D66,0)</f>
        <v>-15.144124410657838</v>
      </c>
      <c r="N66" s="122">
        <f>IF(D66&lt;C66,C66-D66,0)</f>
        <v>0</v>
      </c>
      <c r="O66"/>
      <c r="P66"/>
    </row>
    <row r="67" spans="1:16" s="70" customFormat="1" ht="12.75" customHeight="1" thickBot="1" x14ac:dyDescent="0.3">
      <c r="A67" s="145" t="s">
        <v>235</v>
      </c>
      <c r="B67" s="131" t="s">
        <v>226</v>
      </c>
      <c r="C67" s="237">
        <v>4518.5</v>
      </c>
      <c r="D67" s="113">
        <v>3806.4429759166173</v>
      </c>
      <c r="E67" s="114">
        <f>IF(C67&lt;D67,C67,D67)</f>
        <v>3806.4429759166173</v>
      </c>
      <c r="F67" s="126"/>
      <c r="G67" s="116">
        <f>E67+F67</f>
        <v>3806.4429759166173</v>
      </c>
      <c r="H67" s="117">
        <v>1.3036494411862345</v>
      </c>
      <c r="I67" s="115">
        <f>E67*H67</f>
        <v>4962.2672584609654</v>
      </c>
      <c r="J67" s="132"/>
      <c r="K67" s="119">
        <f>I67+J67</f>
        <v>4962.2672584609654</v>
      </c>
      <c r="L67" s="133"/>
      <c r="M67" s="121">
        <f>IF(D67&gt;C67,C67-D67,0)</f>
        <v>0</v>
      </c>
      <c r="N67" s="122">
        <f>IF(D67&lt;C67,C67-D67,0)</f>
        <v>712.05702408338266</v>
      </c>
      <c r="O67"/>
      <c r="P67"/>
    </row>
    <row r="68" spans="1:16" s="70" customFormat="1" ht="12.75" customHeight="1" thickBot="1" x14ac:dyDescent="0.3">
      <c r="A68" s="134" t="s">
        <v>235</v>
      </c>
      <c r="B68" s="135" t="s">
        <v>71</v>
      </c>
      <c r="C68" s="239">
        <f>SUM(C63:C67)</f>
        <v>8136</v>
      </c>
      <c r="D68" s="136">
        <f>SUM(D63:D67)</f>
        <v>7619.6918567872362</v>
      </c>
      <c r="E68" s="136">
        <f>SUM(E63:E67)</f>
        <v>7532.7718640036792</v>
      </c>
      <c r="F68" s="137">
        <f>SUM(F63:F67)</f>
        <v>0</v>
      </c>
      <c r="G68" s="138">
        <f>SUM(G63:G67)</f>
        <v>7532.7718640036792</v>
      </c>
      <c r="H68" s="137"/>
      <c r="I68" s="137">
        <f>SUM(I63:I67)</f>
        <v>9610.7763069788853</v>
      </c>
      <c r="J68" s="137">
        <f>SUM(J63:J67)</f>
        <v>0</v>
      </c>
      <c r="K68" s="139">
        <f>SUM(K63:K67)</f>
        <v>9610.7763069788853</v>
      </c>
      <c r="L68" s="140">
        <f>ROUND(K68*$N$186/$K$176,0)</f>
        <v>234860</v>
      </c>
      <c r="M68" s="141">
        <f>SUM(M63:M67)</f>
        <v>-195.74888087061842</v>
      </c>
      <c r="N68" s="142">
        <f>SUM(N63:N67)</f>
        <v>712.05702408338266</v>
      </c>
      <c r="O68"/>
      <c r="P68"/>
    </row>
    <row r="69" spans="1:16" s="70" customFormat="1" ht="12.75" customHeight="1" x14ac:dyDescent="0.25">
      <c r="A69" s="150" t="s">
        <v>236</v>
      </c>
      <c r="B69" s="112" t="s">
        <v>222</v>
      </c>
      <c r="C69" s="237">
        <v>6438.5</v>
      </c>
      <c r="D69" s="113">
        <v>6494.4859081878003</v>
      </c>
      <c r="E69" s="114">
        <f>IF(C69&gt;=0.9*D69,D69,C69+0.1*D69)</f>
        <v>6494.4859081878003</v>
      </c>
      <c r="F69" s="115"/>
      <c r="G69" s="116">
        <f>E69+F69</f>
        <v>6494.4859081878003</v>
      </c>
      <c r="H69" s="117">
        <v>1.8786394501824959</v>
      </c>
      <c r="I69" s="115">
        <f>E69*H69</f>
        <v>12200.797435775896</v>
      </c>
      <c r="J69" s="118"/>
      <c r="K69" s="119">
        <f>I69+J69</f>
        <v>12200.797435775896</v>
      </c>
      <c r="L69" s="120"/>
      <c r="M69" s="121">
        <f>IF(D69&gt;C69,C69-D69,0)</f>
        <v>-55.985908187800305</v>
      </c>
      <c r="N69" s="122">
        <f>IF(D69&lt;C69,C69-D69,0)</f>
        <v>0</v>
      </c>
      <c r="O69"/>
      <c r="P69"/>
    </row>
    <row r="70" spans="1:16" s="70" customFormat="1" ht="12.75" customHeight="1" x14ac:dyDescent="0.25">
      <c r="A70" s="151" t="s">
        <v>236</v>
      </c>
      <c r="B70" s="112" t="s">
        <v>223</v>
      </c>
      <c r="C70" s="237">
        <v>0</v>
      </c>
      <c r="D70" s="113">
        <v>0</v>
      </c>
      <c r="E70" s="114">
        <f>IF(C70&gt;=0.9*D70,D70,C70+0.1*D70)</f>
        <v>0</v>
      </c>
      <c r="F70" s="115"/>
      <c r="G70" s="116">
        <f>E70+F70</f>
        <v>0</v>
      </c>
      <c r="H70" s="117"/>
      <c r="I70" s="115">
        <f>E70*H70</f>
        <v>0</v>
      </c>
      <c r="J70" s="118"/>
      <c r="K70" s="119">
        <f>I70+J70</f>
        <v>0</v>
      </c>
      <c r="L70" s="120"/>
      <c r="M70" s="121">
        <f>IF(D70&gt;C70,C70-D70,0)</f>
        <v>0</v>
      </c>
      <c r="N70" s="122">
        <f>IF(D70&lt;C70,C70-D70,0)</f>
        <v>0</v>
      </c>
      <c r="O70"/>
      <c r="P70"/>
    </row>
    <row r="71" spans="1:16" s="70" customFormat="1" ht="12.75" customHeight="1" x14ac:dyDescent="0.25">
      <c r="A71" s="151" t="s">
        <v>236</v>
      </c>
      <c r="B71" s="112" t="s">
        <v>224</v>
      </c>
      <c r="C71" s="237">
        <v>2715.5</v>
      </c>
      <c r="D71" s="125">
        <v>2444.4065955110373</v>
      </c>
      <c r="E71" s="114">
        <f>IF(C71&gt;=0.9*D71,D71,C71+0.1*D71)</f>
        <v>2444.4065955110373</v>
      </c>
      <c r="F71" s="115"/>
      <c r="G71" s="116">
        <f>E71+F71</f>
        <v>2444.4065955110373</v>
      </c>
      <c r="H71" s="117">
        <v>1.8505137175474129</v>
      </c>
      <c r="I71" s="115">
        <f>E71*H71</f>
        <v>4523.4079362565444</v>
      </c>
      <c r="J71" s="118"/>
      <c r="K71" s="119">
        <f>I71+J71</f>
        <v>4523.4079362565444</v>
      </c>
      <c r="L71" s="120"/>
      <c r="M71" s="121">
        <f>IF(D71&gt;C71,C71-D71,0)</f>
        <v>0</v>
      </c>
      <c r="N71" s="122">
        <f>IF(D71&lt;C71,C71-D71,0)</f>
        <v>271.09340448896273</v>
      </c>
      <c r="O71"/>
      <c r="P71"/>
    </row>
    <row r="72" spans="1:16" ht="12.75" customHeight="1" x14ac:dyDescent="0.25">
      <c r="A72" s="123" t="s">
        <v>236</v>
      </c>
      <c r="B72" s="124" t="s">
        <v>225</v>
      </c>
      <c r="C72" s="238">
        <v>455.5</v>
      </c>
      <c r="D72" s="125">
        <v>510.79164170226181</v>
      </c>
      <c r="E72" s="114">
        <f>IF(C72&gt;=0.9*D72,D72,C72+0.1*D72)</f>
        <v>506.57916417022619</v>
      </c>
      <c r="F72" s="126"/>
      <c r="G72" s="116">
        <f>E72+F72</f>
        <v>506.57916417022619</v>
      </c>
      <c r="H72" s="127">
        <v>1.937826564215148</v>
      </c>
      <c r="I72" s="115">
        <f>E72*H72</f>
        <v>981.66256120697085</v>
      </c>
      <c r="J72" s="128"/>
      <c r="K72" s="119">
        <f>I72+J72</f>
        <v>981.66256120697085</v>
      </c>
      <c r="L72" s="129"/>
      <c r="M72" s="121">
        <f>IF(D72&gt;C72,C72-D72,0)</f>
        <v>-55.291641702261813</v>
      </c>
      <c r="N72" s="122">
        <f>IF(D72&lt;C72,C72-D72,0)</f>
        <v>0</v>
      </c>
      <c r="O72"/>
      <c r="P72"/>
    </row>
    <row r="73" spans="1:16" s="70" customFormat="1" ht="12.75" customHeight="1" thickBot="1" x14ac:dyDescent="0.25">
      <c r="A73" s="152" t="s">
        <v>236</v>
      </c>
      <c r="B73" s="131" t="s">
        <v>226</v>
      </c>
      <c r="C73" s="237">
        <v>12136</v>
      </c>
      <c r="D73" s="113">
        <v>11500.364498205729</v>
      </c>
      <c r="E73" s="114">
        <f>IF(C73&lt;D73,C73,D73)</f>
        <v>11500.364498205729</v>
      </c>
      <c r="F73" s="126"/>
      <c r="G73" s="116">
        <f>E73+F73</f>
        <v>11500.364498205729</v>
      </c>
      <c r="H73" s="117">
        <v>1.8738463991430456</v>
      </c>
      <c r="I73" s="115">
        <f>E73*H73</f>
        <v>21549.916603795322</v>
      </c>
      <c r="J73" s="132"/>
      <c r="K73" s="119">
        <f>I73+J73</f>
        <v>21549.916603795322</v>
      </c>
      <c r="L73" s="133"/>
      <c r="M73" s="121">
        <f>IF(D73&gt;C73,C73-D73,0)</f>
        <v>0</v>
      </c>
      <c r="N73" s="122">
        <f>IF(D73&lt;C73,C73-D73,0)</f>
        <v>635.63550179427148</v>
      </c>
    </row>
    <row r="74" spans="1:16" s="70" customFormat="1" ht="12.75" customHeight="1" thickBot="1" x14ac:dyDescent="0.25">
      <c r="A74" s="134" t="s">
        <v>237</v>
      </c>
      <c r="B74" s="135" t="s">
        <v>71</v>
      </c>
      <c r="C74" s="239">
        <f>SUM(C69:C73)</f>
        <v>21745.5</v>
      </c>
      <c r="D74" s="136">
        <f>SUM(D69:D73)</f>
        <v>20950.048643606828</v>
      </c>
      <c r="E74" s="136">
        <f>SUM(E69:E73)</f>
        <v>20945.836166074791</v>
      </c>
      <c r="F74" s="137">
        <f>SUM(F69:F73)</f>
        <v>0</v>
      </c>
      <c r="G74" s="138">
        <f>SUM(G69:G73)</f>
        <v>20945.836166074791</v>
      </c>
      <c r="H74" s="137"/>
      <c r="I74" s="137">
        <f>SUM(I69:I73)</f>
        <v>39255.784537034735</v>
      </c>
      <c r="J74" s="137">
        <f>SUM(J69:J73)</f>
        <v>0</v>
      </c>
      <c r="K74" s="139">
        <f>SUM(K69:K73)</f>
        <v>39255.784537034735</v>
      </c>
      <c r="L74" s="140">
        <f>ROUND(K74*$N$186/$K$176,0)</f>
        <v>959301</v>
      </c>
      <c r="M74" s="141">
        <f>SUM(M69:M73)</f>
        <v>-111.27754989006212</v>
      </c>
      <c r="N74" s="142">
        <f>SUM(N69:N73)</f>
        <v>906.72890628323421</v>
      </c>
    </row>
    <row r="75" spans="1:16" s="70" customFormat="1" ht="12.75" customHeight="1" x14ac:dyDescent="0.2">
      <c r="A75" s="143" t="s">
        <v>90</v>
      </c>
      <c r="B75" s="112" t="s">
        <v>222</v>
      </c>
      <c r="C75" s="237">
        <v>1225</v>
      </c>
      <c r="D75" s="113">
        <v>1048.5231121254606</v>
      </c>
      <c r="E75" s="114">
        <f>IF(C75&gt;=0.9*D75,D75,C75+0.1*D75)</f>
        <v>1048.5231121254606</v>
      </c>
      <c r="F75" s="115"/>
      <c r="G75" s="116">
        <f>E75+F75</f>
        <v>1048.5231121254606</v>
      </c>
      <c r="H75" s="117">
        <v>2.7028571428571428</v>
      </c>
      <c r="I75" s="115">
        <f>E75*H75</f>
        <v>2834.0081830591021</v>
      </c>
      <c r="J75" s="118"/>
      <c r="K75" s="119">
        <f>I75+J75</f>
        <v>2834.0081830591021</v>
      </c>
      <c r="L75" s="120"/>
      <c r="M75" s="121">
        <f>IF(D75&gt;C75,C75-D75,0)</f>
        <v>0</v>
      </c>
      <c r="N75" s="122">
        <f>IF(D75&lt;C75,C75-D75,0)</f>
        <v>176.47688787453944</v>
      </c>
    </row>
    <row r="76" spans="1:16" s="70" customFormat="1" ht="12.75" customHeight="1" x14ac:dyDescent="0.2">
      <c r="A76" s="144" t="s">
        <v>90</v>
      </c>
      <c r="B76" s="112" t="s">
        <v>223</v>
      </c>
      <c r="C76" s="237">
        <v>0</v>
      </c>
      <c r="D76" s="113">
        <v>0</v>
      </c>
      <c r="E76" s="114">
        <f>IF(C76&gt;=0.9*D76,D76,C76+0.1*D76)</f>
        <v>0</v>
      </c>
      <c r="F76" s="115"/>
      <c r="G76" s="116">
        <f>E76+F76</f>
        <v>0</v>
      </c>
      <c r="H76" s="117"/>
      <c r="I76" s="115">
        <f>E76*H76</f>
        <v>0</v>
      </c>
      <c r="J76" s="118"/>
      <c r="K76" s="119">
        <f>I76+J76</f>
        <v>0</v>
      </c>
      <c r="L76" s="120"/>
      <c r="M76" s="121">
        <f>IF(D76&gt;C76,C76-D76,0)</f>
        <v>0</v>
      </c>
      <c r="N76" s="122">
        <f>IF(D76&lt;C76,C76-D76,0)</f>
        <v>0</v>
      </c>
    </row>
    <row r="77" spans="1:16" s="70" customFormat="1" ht="12.75" customHeight="1" x14ac:dyDescent="0.2">
      <c r="A77" s="144" t="s">
        <v>90</v>
      </c>
      <c r="B77" s="112" t="s">
        <v>224</v>
      </c>
      <c r="C77" s="237">
        <v>376</v>
      </c>
      <c r="D77" s="113">
        <v>329.83591007196219</v>
      </c>
      <c r="E77" s="114">
        <f>IF(C77&gt;=0.9*D77,D77,C77+0.1*D77)</f>
        <v>329.83591007196219</v>
      </c>
      <c r="F77" s="115"/>
      <c r="G77" s="116">
        <f>E77+F77</f>
        <v>329.83591007196219</v>
      </c>
      <c r="H77" s="117">
        <v>2.7425531914893617</v>
      </c>
      <c r="I77" s="115">
        <f>E77*H77</f>
        <v>904.59252783565796</v>
      </c>
      <c r="J77" s="118"/>
      <c r="K77" s="119">
        <f>I77+J77</f>
        <v>904.59252783565796</v>
      </c>
      <c r="L77" s="120"/>
      <c r="M77" s="121">
        <f>IF(D77&gt;C77,C77-D77,0)</f>
        <v>0</v>
      </c>
      <c r="N77" s="122">
        <f>IF(D77&lt;C77,C77-D77,0)</f>
        <v>46.164089928037811</v>
      </c>
    </row>
    <row r="78" spans="1:16" ht="12.75" customHeight="1" x14ac:dyDescent="0.2">
      <c r="A78" s="123" t="s">
        <v>90</v>
      </c>
      <c r="B78" s="124" t="s">
        <v>225</v>
      </c>
      <c r="C78" s="238">
        <v>171</v>
      </c>
      <c r="D78" s="125">
        <v>193.08164531488879</v>
      </c>
      <c r="E78" s="114">
        <f>IF(C78&gt;=0.9*D78,D78,C78+0.1*D78)</f>
        <v>190.30816453148887</v>
      </c>
      <c r="F78" s="126"/>
      <c r="G78" s="116">
        <f>E78+F78</f>
        <v>190.30816453148887</v>
      </c>
      <c r="H78" s="127">
        <v>2.783918128654971</v>
      </c>
      <c r="I78" s="115">
        <f>E78*H78</f>
        <v>529.80234927026481</v>
      </c>
      <c r="J78" s="128"/>
      <c r="K78" s="119">
        <f>I78+J78</f>
        <v>529.80234927026481</v>
      </c>
      <c r="L78" s="129"/>
      <c r="M78" s="121">
        <f>IF(D78&gt;C78,C78-D78,0)</f>
        <v>-22.081645314888789</v>
      </c>
      <c r="N78" s="122">
        <f>IF(D78&lt;C78,C78-D78,0)</f>
        <v>0</v>
      </c>
    </row>
    <row r="79" spans="1:16" s="70" customFormat="1" ht="12.75" customHeight="1" thickBot="1" x14ac:dyDescent="0.25">
      <c r="A79" s="145" t="s">
        <v>90</v>
      </c>
      <c r="B79" s="131" t="s">
        <v>226</v>
      </c>
      <c r="C79" s="237">
        <v>1803</v>
      </c>
      <c r="D79" s="113">
        <v>1751.7885152408546</v>
      </c>
      <c r="E79" s="114">
        <f>IF(C79&lt;D79,C79,D79)</f>
        <v>1751.7885152408546</v>
      </c>
      <c r="F79" s="126"/>
      <c r="G79" s="116">
        <f>E79+F79</f>
        <v>1751.7885152408546</v>
      </c>
      <c r="H79" s="117">
        <v>2.7289517470881863</v>
      </c>
      <c r="I79" s="115">
        <f>E79*H79</f>
        <v>4780.5463291955502</v>
      </c>
      <c r="J79" s="132"/>
      <c r="K79" s="119">
        <f>I79+J79</f>
        <v>4780.5463291955502</v>
      </c>
      <c r="L79" s="133"/>
      <c r="M79" s="121">
        <f>IF(D79&gt;C79,C79-D79,0)</f>
        <v>0</v>
      </c>
      <c r="N79" s="122">
        <f>IF(D79&lt;C79,C79-D79,0)</f>
        <v>51.211484759145378</v>
      </c>
    </row>
    <row r="80" spans="1:16" s="70" customFormat="1" ht="12.75" customHeight="1" thickBot="1" x14ac:dyDescent="0.25">
      <c r="A80" s="134" t="s">
        <v>90</v>
      </c>
      <c r="B80" s="135" t="s">
        <v>71</v>
      </c>
      <c r="C80" s="239">
        <f>SUM(C75:C79)</f>
        <v>3575</v>
      </c>
      <c r="D80" s="136">
        <f>SUM(D75:D79)</f>
        <v>3323.2291827531662</v>
      </c>
      <c r="E80" s="136">
        <f>SUM(E75:E79)</f>
        <v>3320.4557019697663</v>
      </c>
      <c r="F80" s="137">
        <f>SUM(F75:F79)</f>
        <v>0</v>
      </c>
      <c r="G80" s="138">
        <f>SUM(G75:G79)</f>
        <v>3320.4557019697663</v>
      </c>
      <c r="H80" s="137"/>
      <c r="I80" s="137">
        <f>SUM(I75:I79)</f>
        <v>9048.9493893605759</v>
      </c>
      <c r="J80" s="137">
        <f>SUM(J75:J79)</f>
        <v>0</v>
      </c>
      <c r="K80" s="139">
        <f>SUM(K75:K79)</f>
        <v>9048.9493893605759</v>
      </c>
      <c r="L80" s="140">
        <f>ROUND(K80*$N$186/$K$176,0)</f>
        <v>221131</v>
      </c>
      <c r="M80" s="141">
        <f>SUM(M75:M79)</f>
        <v>-22.081645314888789</v>
      </c>
      <c r="N80" s="142">
        <f>SUM(N75:N79)</f>
        <v>273.85246256172263</v>
      </c>
    </row>
    <row r="81" spans="1:14" s="70" customFormat="1" ht="12.75" customHeight="1" x14ac:dyDescent="0.2">
      <c r="A81" s="143" t="s">
        <v>238</v>
      </c>
      <c r="B81" s="112" t="s">
        <v>222</v>
      </c>
      <c r="C81" s="237">
        <v>4752</v>
      </c>
      <c r="D81" s="113">
        <v>4391.0023504995415</v>
      </c>
      <c r="E81" s="114">
        <f>IF(C81&gt;=0.9*D81,D81,C81+0.1*D81)</f>
        <v>4391.0023504995415</v>
      </c>
      <c r="F81" s="115"/>
      <c r="G81" s="116">
        <f>E81+F81</f>
        <v>4391.0023504995415</v>
      </c>
      <c r="H81" s="117">
        <v>1.4689162457912457</v>
      </c>
      <c r="I81" s="115">
        <f>E81*H81</f>
        <v>6450.0146879563217</v>
      </c>
      <c r="J81" s="118"/>
      <c r="K81" s="119">
        <f>I81+J81</f>
        <v>6450.0146879563217</v>
      </c>
      <c r="L81" s="120"/>
      <c r="M81" s="121">
        <f>IF(D81&gt;C81,C81-D81,0)</f>
        <v>0</v>
      </c>
      <c r="N81" s="122">
        <f>IF(D81&lt;C81,C81-D81,0)</f>
        <v>360.99764950045846</v>
      </c>
    </row>
    <row r="82" spans="1:14" s="70" customFormat="1" ht="12.75" customHeight="1" x14ac:dyDescent="0.2">
      <c r="A82" s="144" t="s">
        <v>238</v>
      </c>
      <c r="B82" s="112" t="s">
        <v>223</v>
      </c>
      <c r="C82" s="237">
        <v>310</v>
      </c>
      <c r="D82" s="113">
        <v>390.44074795335939</v>
      </c>
      <c r="E82" s="114">
        <f>IF(C82&gt;=0.9*D82,D82,C82+0.1*D82)</f>
        <v>349.04407479533597</v>
      </c>
      <c r="F82" s="115"/>
      <c r="G82" s="116">
        <f>E82+F82</f>
        <v>349.04407479533597</v>
      </c>
      <c r="H82" s="117">
        <v>1.027741935483871</v>
      </c>
      <c r="I82" s="115">
        <f>E82*H82</f>
        <v>358.72723299933563</v>
      </c>
      <c r="J82" s="118"/>
      <c r="K82" s="119">
        <f>I82+J82</f>
        <v>358.72723299933563</v>
      </c>
      <c r="L82" s="120"/>
      <c r="M82" s="121">
        <f>IF(D82&gt;C82,C82-D82,0)</f>
        <v>-80.440747953359391</v>
      </c>
      <c r="N82" s="122">
        <f>IF(D82&lt;C82,C82-D82,0)</f>
        <v>0</v>
      </c>
    </row>
    <row r="83" spans="1:14" s="70" customFormat="1" ht="12.75" customHeight="1" x14ac:dyDescent="0.2">
      <c r="A83" s="144" t="s">
        <v>238</v>
      </c>
      <c r="B83" s="112" t="s">
        <v>224</v>
      </c>
      <c r="C83" s="237">
        <v>1544</v>
      </c>
      <c r="D83" s="113">
        <v>1329.5605454573792</v>
      </c>
      <c r="E83" s="114">
        <f>IF(C83&gt;=0.9*D83,D83,C83+0.1*D83)</f>
        <v>1329.5605454573792</v>
      </c>
      <c r="F83" s="115"/>
      <c r="G83" s="116">
        <f>E83+F83</f>
        <v>1329.5605454573792</v>
      </c>
      <c r="H83" s="117">
        <v>1.4128691709844559</v>
      </c>
      <c r="I83" s="115">
        <f>E83*H83</f>
        <v>1878.4951056340083</v>
      </c>
      <c r="J83" s="118"/>
      <c r="K83" s="119">
        <f>I83+J83</f>
        <v>1878.4951056340083</v>
      </c>
      <c r="L83" s="120"/>
      <c r="M83" s="121">
        <f>IF(D83&gt;C83,C83-D83,0)</f>
        <v>0</v>
      </c>
      <c r="N83" s="122">
        <f>IF(D83&lt;C83,C83-D83,0)</f>
        <v>214.43945454262075</v>
      </c>
    </row>
    <row r="84" spans="1:14" ht="12.75" customHeight="1" x14ac:dyDescent="0.2">
      <c r="A84" s="123" t="s">
        <v>238</v>
      </c>
      <c r="B84" s="124" t="s">
        <v>225</v>
      </c>
      <c r="C84" s="238">
        <v>171</v>
      </c>
      <c r="D84" s="125">
        <v>181.14596759908164</v>
      </c>
      <c r="E84" s="114">
        <f>IF(C84&gt;=0.9*D84,D84,C84+0.1*D84)</f>
        <v>181.14596759908164</v>
      </c>
      <c r="F84" s="126"/>
      <c r="G84" s="116">
        <f>E84+F84</f>
        <v>181.14596759908164</v>
      </c>
      <c r="H84" s="127">
        <v>1.4567836257309943</v>
      </c>
      <c r="I84" s="115">
        <f>E84*H84</f>
        <v>263.89047946553939</v>
      </c>
      <c r="J84" s="128"/>
      <c r="K84" s="119">
        <f>I84+J84</f>
        <v>263.89047946553939</v>
      </c>
      <c r="L84" s="129"/>
      <c r="M84" s="121">
        <f>IF(D84&gt;C84,C84-D84,0)</f>
        <v>-10.145967599081644</v>
      </c>
      <c r="N84" s="122">
        <f>IF(D84&lt;C84,C84-D84,0)</f>
        <v>0</v>
      </c>
    </row>
    <row r="85" spans="1:14" s="70" customFormat="1" ht="12.75" customHeight="1" thickBot="1" x14ac:dyDescent="0.25">
      <c r="A85" s="145" t="s">
        <v>238</v>
      </c>
      <c r="B85" s="131" t="s">
        <v>226</v>
      </c>
      <c r="C85" s="237">
        <v>8995</v>
      </c>
      <c r="D85" s="113">
        <v>8915.3766015241999</v>
      </c>
      <c r="E85" s="114">
        <f>IF(C85&lt;D85,C85,D85)</f>
        <v>8915.3766015241999</v>
      </c>
      <c r="F85" s="126"/>
      <c r="G85" s="116">
        <f>E85+F85</f>
        <v>8915.3766015241999</v>
      </c>
      <c r="H85" s="117">
        <v>1.3795853251806558</v>
      </c>
      <c r="I85" s="115">
        <f>E85*H85</f>
        <v>12299.522727921772</v>
      </c>
      <c r="J85" s="132"/>
      <c r="K85" s="119">
        <f>I85+J85</f>
        <v>12299.522727921772</v>
      </c>
      <c r="L85" s="133"/>
      <c r="M85" s="121">
        <f>IF(D85&gt;C85,C85-D85,0)</f>
        <v>0</v>
      </c>
      <c r="N85" s="122">
        <f>IF(D85&lt;C85,C85-D85,0)</f>
        <v>79.623398475800059</v>
      </c>
    </row>
    <row r="86" spans="1:14" s="70" customFormat="1" ht="12.75" customHeight="1" thickBot="1" x14ac:dyDescent="0.25">
      <c r="A86" s="134" t="s">
        <v>238</v>
      </c>
      <c r="B86" s="135" t="s">
        <v>71</v>
      </c>
      <c r="C86" s="239">
        <f>SUM(C81:C85)</f>
        <v>15772</v>
      </c>
      <c r="D86" s="136">
        <f>SUM(D81:D85)</f>
        <v>15207.526213033561</v>
      </c>
      <c r="E86" s="136">
        <f>SUM(E81:E85)</f>
        <v>15166.129539875539</v>
      </c>
      <c r="F86" s="137">
        <f>SUM(F81:F85)</f>
        <v>0</v>
      </c>
      <c r="G86" s="138">
        <f>SUM(G81:G85)</f>
        <v>15166.129539875539</v>
      </c>
      <c r="H86" s="137"/>
      <c r="I86" s="137">
        <f>SUM(I81:I85)</f>
        <v>21250.65023397698</v>
      </c>
      <c r="J86" s="137">
        <f>SUM(J81:J85)</f>
        <v>0</v>
      </c>
      <c r="K86" s="139">
        <f>SUM(K81:K85)</f>
        <v>21250.65023397698</v>
      </c>
      <c r="L86" s="140">
        <f>ROUND(K86*$N$186/$K$176,0)</f>
        <v>519306</v>
      </c>
      <c r="M86" s="141">
        <f>SUM(M81:M85)</f>
        <v>-90.586715552441035</v>
      </c>
      <c r="N86" s="142">
        <f>SUM(N81:N85)</f>
        <v>655.06050251887928</v>
      </c>
    </row>
    <row r="87" spans="1:14" s="70" customFormat="1" ht="12.75" customHeight="1" x14ac:dyDescent="0.2">
      <c r="A87" s="147" t="s">
        <v>239</v>
      </c>
      <c r="B87" s="112" t="s">
        <v>222</v>
      </c>
      <c r="C87" s="237">
        <v>2583.5</v>
      </c>
      <c r="D87" s="113">
        <v>2608</v>
      </c>
      <c r="E87" s="114">
        <f>IF(C87&gt;=0.9*D87,D87,C87+0.1*D87)</f>
        <v>2608</v>
      </c>
      <c r="F87" s="115"/>
      <c r="G87" s="116">
        <f>E87+F87</f>
        <v>2608</v>
      </c>
      <c r="H87" s="117">
        <v>1.4829069092316625</v>
      </c>
      <c r="I87" s="115">
        <f>E87*H87</f>
        <v>3867.4212192761756</v>
      </c>
      <c r="J87" s="118"/>
      <c r="K87" s="119">
        <f>I87+J87</f>
        <v>3867.4212192761756</v>
      </c>
      <c r="L87" s="120"/>
      <c r="M87" s="121">
        <f>IF(D87&gt;C87,C87-D87,0)</f>
        <v>-24.5</v>
      </c>
      <c r="N87" s="122">
        <f>IF(D87&lt;C87,C87-D87,0)</f>
        <v>0</v>
      </c>
    </row>
    <row r="88" spans="1:14" s="70" customFormat="1" ht="12.75" customHeight="1" x14ac:dyDescent="0.2">
      <c r="A88" s="111" t="s">
        <v>239</v>
      </c>
      <c r="B88" s="112" t="s">
        <v>223</v>
      </c>
      <c r="C88" s="237">
        <v>80</v>
      </c>
      <c r="D88" s="113">
        <v>80</v>
      </c>
      <c r="E88" s="114">
        <f>IF(C88&gt;=0.9*D88,D88,C88+0.1*D88)</f>
        <v>80</v>
      </c>
      <c r="F88" s="115"/>
      <c r="G88" s="116">
        <f>E88+F88</f>
        <v>80</v>
      </c>
      <c r="H88" s="117">
        <v>1.2</v>
      </c>
      <c r="I88" s="115">
        <f>E88*H88</f>
        <v>96</v>
      </c>
      <c r="J88" s="118"/>
      <c r="K88" s="119">
        <f>I88+J88</f>
        <v>96</v>
      </c>
      <c r="L88" s="120"/>
      <c r="M88" s="121">
        <f>IF(D88&gt;C88,C88-D88,0)</f>
        <v>0</v>
      </c>
      <c r="N88" s="122">
        <f>IF(D88&lt;C88,C88-D88,0)</f>
        <v>0</v>
      </c>
    </row>
    <row r="89" spans="1:14" s="70" customFormat="1" ht="12.75" customHeight="1" x14ac:dyDescent="0.2">
      <c r="A89" s="111" t="s">
        <v>239</v>
      </c>
      <c r="B89" s="112" t="s">
        <v>224</v>
      </c>
      <c r="C89" s="237">
        <v>789.5</v>
      </c>
      <c r="D89" s="113">
        <v>818</v>
      </c>
      <c r="E89" s="114">
        <f>IF(C89&gt;=0.9*D89,D89,C89+0.1*D89)</f>
        <v>818</v>
      </c>
      <c r="F89" s="115"/>
      <c r="G89" s="116">
        <f>E89+F89</f>
        <v>818</v>
      </c>
      <c r="H89" s="117">
        <v>1.3025079164027864</v>
      </c>
      <c r="I89" s="115">
        <f>E89*H89</f>
        <v>1065.4514756174792</v>
      </c>
      <c r="J89" s="118"/>
      <c r="K89" s="119">
        <f>I89+J89</f>
        <v>1065.4514756174792</v>
      </c>
      <c r="L89" s="120"/>
      <c r="M89" s="121">
        <f>IF(D89&gt;C89,C89-D89,0)</f>
        <v>-28.5</v>
      </c>
      <c r="N89" s="122">
        <f>IF(D89&lt;C89,C89-D89,0)</f>
        <v>0</v>
      </c>
    </row>
    <row r="90" spans="1:14" ht="12.75" customHeight="1" x14ac:dyDescent="0.2">
      <c r="A90" s="123" t="s">
        <v>239</v>
      </c>
      <c r="B90" s="124" t="s">
        <v>225</v>
      </c>
      <c r="C90" s="238">
        <v>63.5</v>
      </c>
      <c r="D90" s="125">
        <v>106</v>
      </c>
      <c r="E90" s="114">
        <f>IF(C90&gt;=0.9*D90,D90,C90+0.1*D90)</f>
        <v>74.099999999999994</v>
      </c>
      <c r="F90" s="126"/>
      <c r="G90" s="116">
        <f>E90+F90</f>
        <v>74.099999999999994</v>
      </c>
      <c r="H90" s="127">
        <v>1.5988976377952757</v>
      </c>
      <c r="I90" s="115">
        <f>E90*H90</f>
        <v>118.47831496062992</v>
      </c>
      <c r="J90" s="128"/>
      <c r="K90" s="119">
        <f>I90+J90</f>
        <v>118.47831496062992</v>
      </c>
      <c r="L90" s="129"/>
      <c r="M90" s="121">
        <f>IF(D90&gt;C90,C90-D90,0)</f>
        <v>-42.5</v>
      </c>
      <c r="N90" s="122">
        <f>IF(D90&lt;C90,C90-D90,0)</f>
        <v>0</v>
      </c>
    </row>
    <row r="91" spans="1:14" s="70" customFormat="1" ht="12.75" customHeight="1" thickBot="1" x14ac:dyDescent="0.25">
      <c r="A91" s="130" t="s">
        <v>239</v>
      </c>
      <c r="B91" s="131" t="s">
        <v>226</v>
      </c>
      <c r="C91" s="237">
        <v>4999.5</v>
      </c>
      <c r="D91" s="113">
        <v>5273</v>
      </c>
      <c r="E91" s="114">
        <f>IF(C91&lt;D91,C91,D91)</f>
        <v>4999.5</v>
      </c>
      <c r="F91" s="126"/>
      <c r="G91" s="116">
        <f>E91+F91</f>
        <v>4999.5</v>
      </c>
      <c r="H91" s="117">
        <v>1.4192239223922392</v>
      </c>
      <c r="I91" s="115">
        <f>E91*H91</f>
        <v>7095.41</v>
      </c>
      <c r="J91" s="132"/>
      <c r="K91" s="119">
        <f>I91+J91</f>
        <v>7095.41</v>
      </c>
      <c r="L91" s="133"/>
      <c r="M91" s="121">
        <f>IF(D91&gt;C91,C91-D91,0)</f>
        <v>-273.5</v>
      </c>
      <c r="N91" s="122">
        <f>IF(D91&lt;C91,C91-D91,0)</f>
        <v>0</v>
      </c>
    </row>
    <row r="92" spans="1:14" s="70" customFormat="1" ht="12.75" customHeight="1" thickBot="1" x14ac:dyDescent="0.25">
      <c r="A92" s="134" t="s">
        <v>239</v>
      </c>
      <c r="B92" s="135" t="s">
        <v>71</v>
      </c>
      <c r="C92" s="239">
        <f>SUM(C87:C91)</f>
        <v>8516</v>
      </c>
      <c r="D92" s="136">
        <f>SUM(D87:D91)</f>
        <v>8885</v>
      </c>
      <c r="E92" s="136">
        <f>SUM(E87:E91)</f>
        <v>8579.6</v>
      </c>
      <c r="F92" s="137">
        <f>SUM(F87:F91)</f>
        <v>0</v>
      </c>
      <c r="G92" s="138">
        <f>SUM(G87:G91)</f>
        <v>8579.6</v>
      </c>
      <c r="H92" s="137"/>
      <c r="I92" s="137">
        <f>SUM(I87:I91)</f>
        <v>12242.761009854285</v>
      </c>
      <c r="J92" s="137">
        <f>SUM(J87:J91)</f>
        <v>0</v>
      </c>
      <c r="K92" s="139">
        <f>SUM(K87:K91)</f>
        <v>12242.761009854285</v>
      </c>
      <c r="L92" s="140">
        <f>ROUND(K92*$N$186/$K$176,0)</f>
        <v>299179</v>
      </c>
      <c r="M92" s="141">
        <f>SUM(M87:M91)</f>
        <v>-369</v>
      </c>
      <c r="N92" s="142">
        <f>SUM(N87:N91)</f>
        <v>0</v>
      </c>
    </row>
    <row r="93" spans="1:14" s="70" customFormat="1" ht="12.75" customHeight="1" x14ac:dyDescent="0.2">
      <c r="A93" s="143" t="s">
        <v>240</v>
      </c>
      <c r="B93" s="112" t="s">
        <v>222</v>
      </c>
      <c r="C93" s="237">
        <v>3529</v>
      </c>
      <c r="D93" s="113">
        <v>3225.0199172258494</v>
      </c>
      <c r="E93" s="114">
        <f>IF(C93&gt;=0.9*D93,D93,C93+0.1*D93)</f>
        <v>3225.0199172258494</v>
      </c>
      <c r="F93" s="115"/>
      <c r="G93" s="116">
        <f>E93+F93</f>
        <v>3225.0199172258494</v>
      </c>
      <c r="H93" s="117">
        <v>1.6837149334088977</v>
      </c>
      <c r="I93" s="115">
        <f>E93*H93</f>
        <v>5430.0141951742899</v>
      </c>
      <c r="J93" s="118"/>
      <c r="K93" s="119">
        <f>I93+J93</f>
        <v>5430.0141951742899</v>
      </c>
      <c r="L93" s="120"/>
      <c r="M93" s="121">
        <f>IF(D93&gt;C93,C93-D93,0)</f>
        <v>0</v>
      </c>
      <c r="N93" s="122">
        <f>IF(D93&lt;C93,C93-D93,0)</f>
        <v>303.98008277415056</v>
      </c>
    </row>
    <row r="94" spans="1:14" s="70" customFormat="1" ht="12.75" customHeight="1" x14ac:dyDescent="0.2">
      <c r="A94" s="144" t="s">
        <v>240</v>
      </c>
      <c r="B94" s="112" t="s">
        <v>223</v>
      </c>
      <c r="C94" s="237">
        <v>0</v>
      </c>
      <c r="D94" s="113">
        <v>0</v>
      </c>
      <c r="E94" s="114">
        <f>IF(C94&gt;=0.9*D94,D94,C94+0.1*D94)</f>
        <v>0</v>
      </c>
      <c r="F94" s="115"/>
      <c r="G94" s="116">
        <f>E94+F94</f>
        <v>0</v>
      </c>
      <c r="H94" s="117"/>
      <c r="I94" s="115">
        <f>E94*H94</f>
        <v>0</v>
      </c>
      <c r="J94" s="118"/>
      <c r="K94" s="119">
        <f>I94+J94</f>
        <v>0</v>
      </c>
      <c r="L94" s="120"/>
      <c r="M94" s="121">
        <f>IF(D94&gt;C94,C94-D94,0)</f>
        <v>0</v>
      </c>
      <c r="N94" s="122">
        <f>IF(D94&lt;C94,C94-D94,0)</f>
        <v>0</v>
      </c>
    </row>
    <row r="95" spans="1:14" s="70" customFormat="1" ht="12.75" customHeight="1" x14ac:dyDescent="0.2">
      <c r="A95" s="144" t="s">
        <v>240</v>
      </c>
      <c r="B95" s="112" t="s">
        <v>224</v>
      </c>
      <c r="C95" s="237">
        <v>1027</v>
      </c>
      <c r="D95" s="113">
        <v>1000.6016129745093</v>
      </c>
      <c r="E95" s="114">
        <f>IF(C95&gt;=0.9*D95,D95,C95+0.1*D95)</f>
        <v>1000.6016129745093</v>
      </c>
      <c r="F95" s="115"/>
      <c r="G95" s="116">
        <f>E95+F95</f>
        <v>1000.6016129745093</v>
      </c>
      <c r="H95" s="117">
        <v>1.6700194741966894</v>
      </c>
      <c r="I95" s="115">
        <f>E95*H95</f>
        <v>1671.0241795800493</v>
      </c>
      <c r="J95" s="118"/>
      <c r="K95" s="119">
        <f>I95+J95</f>
        <v>1671.0241795800493</v>
      </c>
      <c r="L95" s="120"/>
      <c r="M95" s="121">
        <f>IF(D95&gt;C95,C95-D95,0)</f>
        <v>0</v>
      </c>
      <c r="N95" s="122">
        <f>IF(D95&lt;C95,C95-D95,0)</f>
        <v>26.398387025490706</v>
      </c>
    </row>
    <row r="96" spans="1:14" ht="12.75" customHeight="1" x14ac:dyDescent="0.2">
      <c r="A96" s="123" t="s">
        <v>240</v>
      </c>
      <c r="B96" s="124" t="s">
        <v>225</v>
      </c>
      <c r="C96" s="238">
        <v>116</v>
      </c>
      <c r="D96" s="125">
        <v>134.53348352831611</v>
      </c>
      <c r="E96" s="114">
        <f>IF(C96&gt;=0.9*D96,D96,C96+0.1*D96)</f>
        <v>129.4533483528316</v>
      </c>
      <c r="F96" s="126"/>
      <c r="G96" s="116">
        <f>E96+F96</f>
        <v>129.4533483528316</v>
      </c>
      <c r="H96" s="127">
        <v>1.9331896551724137</v>
      </c>
      <c r="I96" s="115">
        <f>E96*H96</f>
        <v>250.25787386312487</v>
      </c>
      <c r="J96" s="128"/>
      <c r="K96" s="119">
        <f>I96+J96</f>
        <v>250.25787386312487</v>
      </c>
      <c r="L96" s="129"/>
      <c r="M96" s="121">
        <f>IF(D96&gt;C96,C96-D96,0)</f>
        <v>-18.533483528316111</v>
      </c>
      <c r="N96" s="122">
        <f>IF(D96&lt;C96,C96-D96,0)</f>
        <v>0</v>
      </c>
    </row>
    <row r="97" spans="1:14" s="70" customFormat="1" ht="12.75" customHeight="1" thickBot="1" x14ac:dyDescent="0.25">
      <c r="A97" s="145" t="s">
        <v>240</v>
      </c>
      <c r="B97" s="131" t="s">
        <v>226</v>
      </c>
      <c r="C97" s="237">
        <v>5635</v>
      </c>
      <c r="D97" s="113">
        <v>5117.8473726751918</v>
      </c>
      <c r="E97" s="114">
        <f>IF(C97&lt;D97,C97,D97)</f>
        <v>5117.8473726751918</v>
      </c>
      <c r="F97" s="126"/>
      <c r="G97" s="116">
        <f>E97+F97</f>
        <v>5117.8473726751918</v>
      </c>
      <c r="H97" s="117">
        <v>1.6497444543034607</v>
      </c>
      <c r="I97" s="115">
        <f>E97*H97</f>
        <v>8443.1403210424342</v>
      </c>
      <c r="J97" s="132"/>
      <c r="K97" s="119">
        <f>I97+J97</f>
        <v>8443.1403210424342</v>
      </c>
      <c r="L97" s="133"/>
      <c r="M97" s="121">
        <f>IF(D97&gt;C97,C97-D97,0)</f>
        <v>0</v>
      </c>
      <c r="N97" s="122">
        <f>IF(D97&lt;C97,C97-D97,0)</f>
        <v>517.15262732480824</v>
      </c>
    </row>
    <row r="98" spans="1:14" s="70" customFormat="1" ht="12.75" customHeight="1" thickBot="1" x14ac:dyDescent="0.25">
      <c r="A98" s="134" t="s">
        <v>240</v>
      </c>
      <c r="B98" s="135" t="s">
        <v>71</v>
      </c>
      <c r="C98" s="239">
        <f>SUM(C93:C97)</f>
        <v>10307</v>
      </c>
      <c r="D98" s="136">
        <f>SUM(D93:D97)</f>
        <v>9478.0023864038667</v>
      </c>
      <c r="E98" s="136">
        <f>SUM(E93:E97)</f>
        <v>9472.9222512283814</v>
      </c>
      <c r="F98" s="137">
        <f>SUM(F93:F97)</f>
        <v>0</v>
      </c>
      <c r="G98" s="138">
        <f>SUM(G93:G97)</f>
        <v>9472.9222512283814</v>
      </c>
      <c r="H98" s="137"/>
      <c r="I98" s="137">
        <f>SUM(I93:I97)</f>
        <v>15794.436569659898</v>
      </c>
      <c r="J98" s="137">
        <f>SUM(J93:J97)</f>
        <v>0</v>
      </c>
      <c r="K98" s="139">
        <f>SUM(K93:K97)</f>
        <v>15794.436569659898</v>
      </c>
      <c r="L98" s="140">
        <f>ROUND(K98*$N$186/$K$176,0)</f>
        <v>385972</v>
      </c>
      <c r="M98" s="141">
        <f>SUM(M93:M97)</f>
        <v>-18.533483528316111</v>
      </c>
      <c r="N98" s="142">
        <f>SUM(N93:N97)</f>
        <v>847.5310971244495</v>
      </c>
    </row>
    <row r="99" spans="1:14" s="70" customFormat="1" ht="12.75" customHeight="1" x14ac:dyDescent="0.2">
      <c r="A99" s="143" t="s">
        <v>241</v>
      </c>
      <c r="B99" s="112" t="s">
        <v>222</v>
      </c>
      <c r="C99" s="237">
        <v>5898</v>
      </c>
      <c r="D99" s="113">
        <v>5765.4375492689342</v>
      </c>
      <c r="E99" s="114">
        <f>IF(C99&gt;=0.9*D99,D99,C99+0.1*D99)</f>
        <v>5765.4375492689342</v>
      </c>
      <c r="F99" s="115"/>
      <c r="G99" s="116">
        <f>E99+F99</f>
        <v>5765.4375492689342</v>
      </c>
      <c r="H99" s="117">
        <v>1.7105764326890469</v>
      </c>
      <c r="I99" s="115">
        <f>E99*H99</f>
        <v>9862.2215959199348</v>
      </c>
      <c r="J99" s="118"/>
      <c r="K99" s="119">
        <f>I99+J99</f>
        <v>9862.2215959199348</v>
      </c>
      <c r="L99" s="120"/>
      <c r="M99" s="121">
        <f>IF(D99&gt;C99,C99-D99,0)</f>
        <v>0</v>
      </c>
      <c r="N99" s="122">
        <f>IF(D99&lt;C99,C99-D99,0)</f>
        <v>132.56245073106584</v>
      </c>
    </row>
    <row r="100" spans="1:14" s="70" customFormat="1" ht="12.75" customHeight="1" x14ac:dyDescent="0.2">
      <c r="A100" s="144" t="s">
        <v>241</v>
      </c>
      <c r="B100" s="112" t="s">
        <v>223</v>
      </c>
      <c r="C100" s="237">
        <v>0</v>
      </c>
      <c r="D100" s="113">
        <v>28.403084825531678</v>
      </c>
      <c r="E100" s="114">
        <f>IF(C100&gt;=0.9*D100,D100,C100+0.1*D100)</f>
        <v>2.8403084825531679</v>
      </c>
      <c r="F100" s="115"/>
      <c r="G100" s="116">
        <f>E100+F100</f>
        <v>2.8403084825531679</v>
      </c>
      <c r="H100" s="117"/>
      <c r="I100" s="115">
        <f>E100*H100</f>
        <v>0</v>
      </c>
      <c r="J100" s="118"/>
      <c r="K100" s="119">
        <f>I100+J100</f>
        <v>0</v>
      </c>
      <c r="L100" s="120"/>
      <c r="M100" s="121">
        <f>IF(D100&gt;C100,C100-D100,0)</f>
        <v>-28.403084825531678</v>
      </c>
      <c r="N100" s="122">
        <f>IF(D100&lt;C100,C100-D100,0)</f>
        <v>0</v>
      </c>
    </row>
    <row r="101" spans="1:14" s="70" customFormat="1" ht="12.75" customHeight="1" x14ac:dyDescent="0.2">
      <c r="A101" s="144" t="s">
        <v>241</v>
      </c>
      <c r="B101" s="112" t="s">
        <v>224</v>
      </c>
      <c r="C101" s="237">
        <v>3367</v>
      </c>
      <c r="D101" s="113">
        <v>2817.7958157155917</v>
      </c>
      <c r="E101" s="114">
        <f>IF(C101&gt;=0.9*D101,D101,C101+0.1*D101)</f>
        <v>2817.7958157155917</v>
      </c>
      <c r="F101" s="115"/>
      <c r="G101" s="116">
        <f>E101+F101</f>
        <v>2817.7958157155917</v>
      </c>
      <c r="H101" s="117">
        <v>1.647122067122067</v>
      </c>
      <c r="I101" s="115">
        <f>E101*H101</f>
        <v>4641.2536687093761</v>
      </c>
      <c r="J101" s="118"/>
      <c r="K101" s="119">
        <f>I101+J101</f>
        <v>4641.2536687093761</v>
      </c>
      <c r="L101" s="120"/>
      <c r="M101" s="121">
        <f>IF(D101&gt;C101,C101-D101,0)</f>
        <v>0</v>
      </c>
      <c r="N101" s="122">
        <f>IF(D101&lt;C101,C101-D101,0)</f>
        <v>549.20418428440826</v>
      </c>
    </row>
    <row r="102" spans="1:14" ht="12.75" customHeight="1" x14ac:dyDescent="0.2">
      <c r="A102" s="123" t="s">
        <v>241</v>
      </c>
      <c r="B102" s="124" t="s">
        <v>225</v>
      </c>
      <c r="C102" s="238">
        <v>443.5</v>
      </c>
      <c r="D102" s="125">
        <v>443.30059426018272</v>
      </c>
      <c r="E102" s="114">
        <f>IF(C102&gt;=0.9*D102,D102,C102+0.1*D102)</f>
        <v>443.30059426018272</v>
      </c>
      <c r="F102" s="126"/>
      <c r="G102" s="116">
        <f>E102+F102</f>
        <v>443.30059426018272</v>
      </c>
      <c r="H102" s="127">
        <v>1.7994137542277338</v>
      </c>
      <c r="I102" s="115">
        <f>E102*H102</f>
        <v>797.68118656910076</v>
      </c>
      <c r="J102" s="128"/>
      <c r="K102" s="119">
        <f>I102+J102</f>
        <v>797.68118656910076</v>
      </c>
      <c r="L102" s="129"/>
      <c r="M102" s="121">
        <f>IF(D102&gt;C102,C102-D102,0)</f>
        <v>0</v>
      </c>
      <c r="N102" s="122">
        <f>IF(D102&lt;C102,C102-D102,0)</f>
        <v>0.19940573981727994</v>
      </c>
    </row>
    <row r="103" spans="1:14" s="70" customFormat="1" ht="12.75" customHeight="1" thickBot="1" x14ac:dyDescent="0.25">
      <c r="A103" s="145" t="s">
        <v>241</v>
      </c>
      <c r="B103" s="131" t="s">
        <v>226</v>
      </c>
      <c r="C103" s="237">
        <v>12061</v>
      </c>
      <c r="D103" s="113">
        <v>11343.878835450652</v>
      </c>
      <c r="E103" s="114">
        <f>IF(C103&lt;D103,C103,D103)</f>
        <v>11343.878835450652</v>
      </c>
      <c r="F103" s="126"/>
      <c r="G103" s="116">
        <f>E103+F103</f>
        <v>11343.878835450652</v>
      </c>
      <c r="H103" s="117">
        <v>1.6860334798109611</v>
      </c>
      <c r="I103" s="115">
        <f>E103*H103</f>
        <v>19126.159507488777</v>
      </c>
      <c r="J103" s="132"/>
      <c r="K103" s="119">
        <f>I103+J103</f>
        <v>19126.159507488777</v>
      </c>
      <c r="L103" s="133"/>
      <c r="M103" s="121">
        <f>IF(D103&gt;C103,C103-D103,0)</f>
        <v>0</v>
      </c>
      <c r="N103" s="122">
        <f>IF(D103&lt;C103,C103-D103,0)</f>
        <v>717.12116454934767</v>
      </c>
    </row>
    <row r="104" spans="1:14" s="70" customFormat="1" ht="12.75" customHeight="1" thickBot="1" x14ac:dyDescent="0.25">
      <c r="A104" s="134" t="s">
        <v>241</v>
      </c>
      <c r="B104" s="135" t="s">
        <v>71</v>
      </c>
      <c r="C104" s="239">
        <f>SUM(C99:C103)</f>
        <v>21769.5</v>
      </c>
      <c r="D104" s="136">
        <f>SUM(D99:D103)</f>
        <v>20398.815879520895</v>
      </c>
      <c r="E104" s="136">
        <f>SUM(E99:E103)</f>
        <v>20373.253103177914</v>
      </c>
      <c r="F104" s="137">
        <f>SUM(F99:F103)</f>
        <v>0</v>
      </c>
      <c r="G104" s="138">
        <f>SUM(G99:G103)</f>
        <v>20373.253103177914</v>
      </c>
      <c r="H104" s="137"/>
      <c r="I104" s="137">
        <f>SUM(I99:I103)</f>
        <v>34427.315958687192</v>
      </c>
      <c r="J104" s="137">
        <f>SUM(J99:J103)</f>
        <v>0</v>
      </c>
      <c r="K104" s="139">
        <f>SUM(K99:K103)</f>
        <v>34427.315958687192</v>
      </c>
      <c r="L104" s="140">
        <f>ROUND(K104*$N$186/$K$176,0)</f>
        <v>841307</v>
      </c>
      <c r="M104" s="141">
        <f>SUM(M99:M103)</f>
        <v>-28.403084825531678</v>
      </c>
      <c r="N104" s="142">
        <f>SUM(N99:N103)</f>
        <v>1399.0872053046392</v>
      </c>
    </row>
    <row r="105" spans="1:14" s="70" customFormat="1" ht="12.75" customHeight="1" x14ac:dyDescent="0.2">
      <c r="A105" s="147" t="s">
        <v>242</v>
      </c>
      <c r="B105" s="112" t="s">
        <v>222</v>
      </c>
      <c r="C105" s="237">
        <v>5876.5</v>
      </c>
      <c r="D105" s="113">
        <v>6312.5353820354558</v>
      </c>
      <c r="E105" s="114">
        <f>IF(C105&gt;=0.9*D105,D105,C105+0.1*D105)</f>
        <v>6312.5353820354558</v>
      </c>
      <c r="F105" s="115"/>
      <c r="G105" s="116">
        <f>E105+F105</f>
        <v>6312.5353820354558</v>
      </c>
      <c r="H105" s="117">
        <v>1.506777843954735</v>
      </c>
      <c r="I105" s="115">
        <f>E105*H105</f>
        <v>9511.5884528313636</v>
      </c>
      <c r="J105" s="118"/>
      <c r="K105" s="119">
        <f>I105+J105</f>
        <v>9511.5884528313636</v>
      </c>
      <c r="L105" s="120"/>
      <c r="M105" s="121">
        <f>IF(D105&gt;C105,C105-D105,0)</f>
        <v>-436.03538203545577</v>
      </c>
      <c r="N105" s="122">
        <f>IF(D105&lt;C105,C105-D105,0)</f>
        <v>0</v>
      </c>
    </row>
    <row r="106" spans="1:14" s="70" customFormat="1" ht="12.75" customHeight="1" x14ac:dyDescent="0.2">
      <c r="A106" s="111" t="s">
        <v>242</v>
      </c>
      <c r="B106" s="112" t="s">
        <v>223</v>
      </c>
      <c r="C106" s="237">
        <v>0</v>
      </c>
      <c r="D106" s="113">
        <v>0</v>
      </c>
      <c r="E106" s="114">
        <f>IF(C106&gt;=0.9*D106,D106,C106+0.1*D106)</f>
        <v>0</v>
      </c>
      <c r="F106" s="115"/>
      <c r="G106" s="116">
        <f>E106+F106</f>
        <v>0</v>
      </c>
      <c r="H106" s="117"/>
      <c r="I106" s="115">
        <f>E106*H106</f>
        <v>0</v>
      </c>
      <c r="J106" s="118"/>
      <c r="K106" s="119">
        <f>I106+J106</f>
        <v>0</v>
      </c>
      <c r="L106" s="120"/>
      <c r="M106" s="121">
        <f>IF(D106&gt;C106,C106-D106,0)</f>
        <v>0</v>
      </c>
      <c r="N106" s="122">
        <f>IF(D106&lt;C106,C106-D106,0)</f>
        <v>0</v>
      </c>
    </row>
    <row r="107" spans="1:14" s="70" customFormat="1" ht="12.75" customHeight="1" x14ac:dyDescent="0.2">
      <c r="A107" s="111" t="s">
        <v>242</v>
      </c>
      <c r="B107" s="112" t="s">
        <v>224</v>
      </c>
      <c r="C107" s="237">
        <v>2921</v>
      </c>
      <c r="D107" s="113">
        <v>2452.3484190259605</v>
      </c>
      <c r="E107" s="114">
        <f>IF(C107&gt;=0.9*D107,D107,C107+0.1*D107)</f>
        <v>2452.3484190259605</v>
      </c>
      <c r="F107" s="115"/>
      <c r="G107" s="116">
        <f>E107+F107</f>
        <v>2452.3484190259605</v>
      </c>
      <c r="H107" s="117">
        <v>1.4448134200616227</v>
      </c>
      <c r="I107" s="115">
        <f>E107*H107</f>
        <v>3543.1859064756113</v>
      </c>
      <c r="J107" s="118"/>
      <c r="K107" s="119">
        <f>I107+J107</f>
        <v>3543.1859064756113</v>
      </c>
      <c r="L107" s="120"/>
      <c r="M107" s="121">
        <f>IF(D107&gt;C107,C107-D107,0)</f>
        <v>0</v>
      </c>
      <c r="N107" s="122">
        <f>IF(D107&lt;C107,C107-D107,0)</f>
        <v>468.65158097403946</v>
      </c>
    </row>
    <row r="108" spans="1:14" ht="12.75" customHeight="1" x14ac:dyDescent="0.2">
      <c r="A108" s="123" t="s">
        <v>242</v>
      </c>
      <c r="B108" s="124" t="s">
        <v>225</v>
      </c>
      <c r="C108" s="238">
        <v>301</v>
      </c>
      <c r="D108" s="125">
        <v>335.02416808285506</v>
      </c>
      <c r="E108" s="114">
        <f>IF(C108&gt;=0.9*D108,D108,C108+0.1*D108)</f>
        <v>334.50241680828549</v>
      </c>
      <c r="F108" s="126"/>
      <c r="G108" s="116">
        <f>E108+F108</f>
        <v>334.50241680828549</v>
      </c>
      <c r="H108" s="127">
        <v>1.625282392026578</v>
      </c>
      <c r="I108" s="115">
        <f>E108*H108</f>
        <v>543.66088812884163</v>
      </c>
      <c r="J108" s="128"/>
      <c r="K108" s="119">
        <f>I108+J108</f>
        <v>543.66088812884163</v>
      </c>
      <c r="L108" s="129"/>
      <c r="M108" s="121">
        <f>IF(D108&gt;C108,C108-D108,0)</f>
        <v>-34.024168082855056</v>
      </c>
      <c r="N108" s="122">
        <f>IF(D108&lt;C108,C108-D108,0)</f>
        <v>0</v>
      </c>
    </row>
    <row r="109" spans="1:14" s="70" customFormat="1" ht="12.75" customHeight="1" thickBot="1" x14ac:dyDescent="0.25">
      <c r="A109" s="130" t="s">
        <v>242</v>
      </c>
      <c r="B109" s="131" t="s">
        <v>226</v>
      </c>
      <c r="C109" s="237">
        <v>11582.5</v>
      </c>
      <c r="D109" s="113">
        <v>11407.702159169776</v>
      </c>
      <c r="E109" s="114">
        <f>IF(C109&lt;D109,C109,D109)</f>
        <v>11407.702159169776</v>
      </c>
      <c r="F109" s="126"/>
      <c r="G109" s="116">
        <f>E109+F109</f>
        <v>11407.702159169776</v>
      </c>
      <c r="H109" s="117">
        <v>1.5079335203971509</v>
      </c>
      <c r="I109" s="115">
        <f>E109*H109</f>
        <v>17202.056476519061</v>
      </c>
      <c r="J109" s="132"/>
      <c r="K109" s="119">
        <f>I109+J109</f>
        <v>17202.056476519061</v>
      </c>
      <c r="L109" s="133"/>
      <c r="M109" s="121">
        <f>IF(D109&gt;C109,C109-D109,0)</f>
        <v>0</v>
      </c>
      <c r="N109" s="122">
        <f>IF(D109&lt;C109,C109-D109,0)</f>
        <v>174.79784083022423</v>
      </c>
    </row>
    <row r="110" spans="1:14" s="70" customFormat="1" ht="12.75" customHeight="1" thickBot="1" x14ac:dyDescent="0.25">
      <c r="A110" s="134" t="s">
        <v>242</v>
      </c>
      <c r="B110" s="135" t="s">
        <v>71</v>
      </c>
      <c r="C110" s="239">
        <f>SUM(C105:C109)</f>
        <v>20681</v>
      </c>
      <c r="D110" s="136">
        <f>SUM(D105:D109)</f>
        <v>20507.610128314045</v>
      </c>
      <c r="E110" s="136">
        <f>SUM(E105:E109)</f>
        <v>20507.088377039479</v>
      </c>
      <c r="F110" s="137">
        <f>SUM(F105:F109)</f>
        <v>0</v>
      </c>
      <c r="G110" s="138">
        <f>SUM(G105:G109)</f>
        <v>20507.088377039479</v>
      </c>
      <c r="H110" s="137"/>
      <c r="I110" s="137">
        <f>SUM(I105:I109)</f>
        <v>30800.491723954878</v>
      </c>
      <c r="J110" s="137">
        <f>SUM(J105:J109)</f>
        <v>0</v>
      </c>
      <c r="K110" s="139">
        <f>SUM(K105:K109)</f>
        <v>30800.491723954878</v>
      </c>
      <c r="L110" s="140">
        <f>ROUND(K110*$N$186/$K$176,0)</f>
        <v>752677</v>
      </c>
      <c r="M110" s="141">
        <f>SUM(M105:M109)</f>
        <v>-470.05955011831082</v>
      </c>
      <c r="N110" s="142">
        <f>SUM(N105:N109)</f>
        <v>643.44942180426369</v>
      </c>
    </row>
    <row r="111" spans="1:14" s="70" customFormat="1" ht="12.75" customHeight="1" x14ac:dyDescent="0.2">
      <c r="A111" s="143" t="s">
        <v>243</v>
      </c>
      <c r="B111" s="112" t="s">
        <v>222</v>
      </c>
      <c r="C111" s="237">
        <v>3378.5</v>
      </c>
      <c r="D111" s="113">
        <v>3364.7994639177232</v>
      </c>
      <c r="E111" s="114">
        <f>IF(C111&gt;=0.9*D111,D111,C111+0.1*D111)</f>
        <v>3364.7994639177232</v>
      </c>
      <c r="F111" s="115"/>
      <c r="G111" s="116">
        <f>E111+F111</f>
        <v>3364.7994639177232</v>
      </c>
      <c r="H111" s="117">
        <v>1.6324670711854372</v>
      </c>
      <c r="I111" s="115">
        <f>E111*H111</f>
        <v>5492.924325988095</v>
      </c>
      <c r="J111" s="118"/>
      <c r="K111" s="119">
        <f>I111+J111</f>
        <v>5492.924325988095</v>
      </c>
      <c r="L111" s="120"/>
      <c r="M111" s="121">
        <f>IF(D111&gt;C111,C111-D111,0)</f>
        <v>0</v>
      </c>
      <c r="N111" s="122">
        <f>IF(D111&lt;C111,C111-D111,0)</f>
        <v>13.700536082276813</v>
      </c>
    </row>
    <row r="112" spans="1:14" s="70" customFormat="1" ht="12.75" customHeight="1" x14ac:dyDescent="0.2">
      <c r="A112" s="111" t="s">
        <v>243</v>
      </c>
      <c r="B112" s="112" t="s">
        <v>223</v>
      </c>
      <c r="C112" s="237">
        <v>0</v>
      </c>
      <c r="D112" s="113">
        <v>0</v>
      </c>
      <c r="E112" s="114">
        <f>IF(C112&gt;=0.9*D112,D112,C112+0.1*D112)</f>
        <v>0</v>
      </c>
      <c r="F112" s="115"/>
      <c r="G112" s="116">
        <f>E112+F112</f>
        <v>0</v>
      </c>
      <c r="H112" s="117"/>
      <c r="I112" s="115">
        <f>E112*H112</f>
        <v>0</v>
      </c>
      <c r="J112" s="118"/>
      <c r="K112" s="119">
        <f>I112+J112</f>
        <v>0</v>
      </c>
      <c r="L112" s="120"/>
      <c r="M112" s="121">
        <f>IF(D112&gt;C112,C112-D112,0)</f>
        <v>0</v>
      </c>
      <c r="N112" s="122">
        <f>IF(D112&lt;C112,C112-D112,0)</f>
        <v>0</v>
      </c>
    </row>
    <row r="113" spans="1:15" s="70" customFormat="1" ht="12.75" customHeight="1" x14ac:dyDescent="0.2">
      <c r="A113" s="111" t="s">
        <v>243</v>
      </c>
      <c r="B113" s="112" t="s">
        <v>224</v>
      </c>
      <c r="C113" s="237">
        <v>1784.5</v>
      </c>
      <c r="D113" s="113">
        <v>1659.1123630148684</v>
      </c>
      <c r="E113" s="114">
        <f>IF(C113&gt;=0.9*D113,D113,C113+0.1*D113)</f>
        <v>1659.1123630148684</v>
      </c>
      <c r="F113" s="115"/>
      <c r="G113" s="116">
        <f>E113+F113</f>
        <v>1659.1123630148684</v>
      </c>
      <c r="H113" s="117">
        <v>1.5820005603810592</v>
      </c>
      <c r="I113" s="115">
        <f>E113*H113</f>
        <v>2624.716688024665</v>
      </c>
      <c r="J113" s="118"/>
      <c r="K113" s="119">
        <f>I113+J113</f>
        <v>2624.716688024665</v>
      </c>
      <c r="L113" s="120"/>
      <c r="M113" s="121">
        <f>IF(D113&gt;C113,C113-D113,0)</f>
        <v>0</v>
      </c>
      <c r="N113" s="122">
        <f>IF(D113&lt;C113,C113-D113,0)</f>
        <v>125.38763698513162</v>
      </c>
    </row>
    <row r="114" spans="1:15" ht="12.75" customHeight="1" x14ac:dyDescent="0.2">
      <c r="A114" s="123" t="s">
        <v>243</v>
      </c>
      <c r="B114" s="124" t="s">
        <v>225</v>
      </c>
      <c r="C114" s="238">
        <v>105.5</v>
      </c>
      <c r="D114" s="125">
        <v>108.02437424689562</v>
      </c>
      <c r="E114" s="114">
        <f>IF(C114&gt;=0.9*D114,D114,C114+0.1*D114)</f>
        <v>108.02437424689562</v>
      </c>
      <c r="F114" s="126"/>
      <c r="G114" s="116">
        <f>E114+F114</f>
        <v>108.02437424689562</v>
      </c>
      <c r="H114" s="127">
        <v>1.9872037914691945</v>
      </c>
      <c r="I114" s="115">
        <f>E114*H114</f>
        <v>214.66644607451818</v>
      </c>
      <c r="J114" s="128"/>
      <c r="K114" s="119">
        <f>I114+J114</f>
        <v>214.66644607451818</v>
      </c>
      <c r="L114" s="129"/>
      <c r="M114" s="121">
        <f>IF(D114&gt;C114,C114-D114,0)</f>
        <v>-2.5243742468956185</v>
      </c>
      <c r="N114" s="122">
        <f>IF(D114&lt;C114,C114-D114,0)</f>
        <v>0</v>
      </c>
    </row>
    <row r="115" spans="1:15" s="70" customFormat="1" ht="12.75" customHeight="1" thickBot="1" x14ac:dyDescent="0.25">
      <c r="A115" s="130" t="s">
        <v>243</v>
      </c>
      <c r="B115" s="131" t="s">
        <v>226</v>
      </c>
      <c r="C115" s="237">
        <v>7000</v>
      </c>
      <c r="D115" s="113">
        <v>7107.4224343587102</v>
      </c>
      <c r="E115" s="114">
        <f>IF(C115&lt;D115,C115,D115)</f>
        <v>7000</v>
      </c>
      <c r="F115" s="126"/>
      <c r="G115" s="116">
        <f>E115+F115</f>
        <v>7000</v>
      </c>
      <c r="H115" s="117">
        <v>1.6018785714285715</v>
      </c>
      <c r="I115" s="115">
        <f>E115*H115</f>
        <v>11213.15</v>
      </c>
      <c r="J115" s="132"/>
      <c r="K115" s="119">
        <f>I115+J115</f>
        <v>11213.15</v>
      </c>
      <c r="L115" s="133"/>
      <c r="M115" s="121">
        <f>IF(D115&gt;C115,C115-D115,0)</f>
        <v>-107.42243435871023</v>
      </c>
      <c r="N115" s="122">
        <f>IF(D115&lt;C115,C115-D115,0)</f>
        <v>0</v>
      </c>
    </row>
    <row r="116" spans="1:15" s="70" customFormat="1" ht="12.75" customHeight="1" thickBot="1" x14ac:dyDescent="0.25">
      <c r="A116" s="134" t="s">
        <v>243</v>
      </c>
      <c r="B116" s="135" t="s">
        <v>71</v>
      </c>
      <c r="C116" s="239">
        <f>SUM(C111:C115)</f>
        <v>12268.5</v>
      </c>
      <c r="D116" s="136">
        <f>SUM(D111:D115)</f>
        <v>12239.358635538198</v>
      </c>
      <c r="E116" s="136">
        <f>SUM(E111:E115)</f>
        <v>12131.936201179487</v>
      </c>
      <c r="F116" s="137">
        <f>SUM(F111:F115)</f>
        <v>0</v>
      </c>
      <c r="G116" s="138">
        <f>SUM(G111:G115)</f>
        <v>12131.936201179487</v>
      </c>
      <c r="H116" s="137"/>
      <c r="I116" s="137">
        <f>SUM(I111:I115)</f>
        <v>19545.45746008728</v>
      </c>
      <c r="J116" s="137">
        <f>SUM(J111:J115)</f>
        <v>0</v>
      </c>
      <c r="K116" s="139">
        <f>SUM(K111:K115)</f>
        <v>19545.45746008728</v>
      </c>
      <c r="L116" s="140">
        <f>ROUND(K116*$N$186/$K$176,0)</f>
        <v>477636</v>
      </c>
      <c r="M116" s="141">
        <f>SUM(M111:M115)</f>
        <v>-109.94680860560585</v>
      </c>
      <c r="N116" s="142">
        <f>SUM(N111:N115)</f>
        <v>139.08817306740843</v>
      </c>
    </row>
    <row r="117" spans="1:15" s="70" customFormat="1" ht="12.75" customHeight="1" x14ac:dyDescent="0.2">
      <c r="A117" s="147" t="s">
        <v>244</v>
      </c>
      <c r="B117" s="112" t="s">
        <v>222</v>
      </c>
      <c r="C117" s="237">
        <v>4074.5</v>
      </c>
      <c r="D117" s="113">
        <v>4295.8002837505264</v>
      </c>
      <c r="E117" s="114">
        <f>IF(C117&gt;=0.9*D117,D117,C117+0.1*D117)</f>
        <v>4295.8002837505264</v>
      </c>
      <c r="F117" s="115"/>
      <c r="G117" s="116">
        <f>E117+F117</f>
        <v>4295.8002837505264</v>
      </c>
      <c r="H117" s="117">
        <v>1.1058485703767333</v>
      </c>
      <c r="I117" s="115">
        <f>E117*H117</f>
        <v>4750.5046024094854</v>
      </c>
      <c r="J117" s="118"/>
      <c r="K117" s="119">
        <f>I117+J117</f>
        <v>4750.5046024094854</v>
      </c>
      <c r="L117" s="120"/>
      <c r="M117" s="121">
        <f>IF(D117&gt;C117,C117-D117,0)</f>
        <v>-221.30028375052643</v>
      </c>
      <c r="N117" s="122">
        <f>IF(D117&lt;C117,C117-D117,0)</f>
        <v>0</v>
      </c>
    </row>
    <row r="118" spans="1:15" s="70" customFormat="1" ht="12.75" customHeight="1" x14ac:dyDescent="0.2">
      <c r="A118" s="111" t="s">
        <v>244</v>
      </c>
      <c r="B118" s="112" t="s">
        <v>223</v>
      </c>
      <c r="C118" s="237">
        <v>0</v>
      </c>
      <c r="D118" s="113">
        <v>0</v>
      </c>
      <c r="E118" s="114">
        <f>IF(C118&gt;=0.9*D118,D118,C118+0.1*D118)</f>
        <v>0</v>
      </c>
      <c r="F118" s="115"/>
      <c r="G118" s="116">
        <f>E118+F118</f>
        <v>0</v>
      </c>
      <c r="H118" s="117"/>
      <c r="I118" s="115">
        <f>E118*H118</f>
        <v>0</v>
      </c>
      <c r="J118" s="118"/>
      <c r="K118" s="119">
        <f>I118+J118</f>
        <v>0</v>
      </c>
      <c r="L118" s="120"/>
      <c r="M118" s="121">
        <f>IF(D118&gt;C118,C118-D118,0)</f>
        <v>0</v>
      </c>
      <c r="N118" s="122">
        <f>IF(D118&lt;C118,C118-D118,0)</f>
        <v>0</v>
      </c>
    </row>
    <row r="119" spans="1:15" s="70" customFormat="1" ht="12.75" customHeight="1" x14ac:dyDescent="0.2">
      <c r="A119" s="111" t="s">
        <v>244</v>
      </c>
      <c r="B119" s="112" t="s">
        <v>224</v>
      </c>
      <c r="C119" s="237">
        <v>2844</v>
      </c>
      <c r="D119" s="113">
        <v>2574.4168897618988</v>
      </c>
      <c r="E119" s="114">
        <f>IF(C119&gt;=0.9*D119,D119,C119+0.1*D119)</f>
        <v>2574.4168897618988</v>
      </c>
      <c r="F119" s="115"/>
      <c r="G119" s="116">
        <f>E119+F119</f>
        <v>2574.4168897618988</v>
      </c>
      <c r="H119" s="117">
        <v>1.0629676511954993</v>
      </c>
      <c r="I119" s="115">
        <f>E119*H119</f>
        <v>2736.5218745082284</v>
      </c>
      <c r="J119" s="118"/>
      <c r="K119" s="119">
        <f>I119+J119</f>
        <v>2736.5218745082284</v>
      </c>
      <c r="L119" s="120"/>
      <c r="M119" s="121">
        <f>IF(D119&gt;C119,C119-D119,0)</f>
        <v>0</v>
      </c>
      <c r="N119" s="122">
        <f>IF(D119&lt;C119,C119-D119,0)</f>
        <v>269.5831102381012</v>
      </c>
    </row>
    <row r="120" spans="1:15" ht="12.75" customHeight="1" x14ac:dyDescent="0.2">
      <c r="A120" s="123" t="s">
        <v>244</v>
      </c>
      <c r="B120" s="124" t="s">
        <v>225</v>
      </c>
      <c r="C120" s="238">
        <v>174.5</v>
      </c>
      <c r="D120" s="125">
        <v>197.75717108763271</v>
      </c>
      <c r="E120" s="114">
        <f>IF(C120&gt;=0.9*D120,D120,C120+0.1*D120)</f>
        <v>194.27571710876327</v>
      </c>
      <c r="F120" s="126"/>
      <c r="G120" s="116">
        <f>E120+F120</f>
        <v>194.27571710876327</v>
      </c>
      <c r="H120" s="127">
        <v>1.063323782234957</v>
      </c>
      <c r="I120" s="115">
        <f>E120*H120</f>
        <v>206.57799031249871</v>
      </c>
      <c r="J120" s="128"/>
      <c r="K120" s="119">
        <f>I120+J120</f>
        <v>206.57799031249871</v>
      </c>
      <c r="L120" s="129"/>
      <c r="M120" s="121">
        <f>IF(D120&gt;C120,C120-D120,0)</f>
        <v>-23.257171087632713</v>
      </c>
      <c r="N120" s="122">
        <f>IF(D120&lt;C120,C120-D120,0)</f>
        <v>0</v>
      </c>
    </row>
    <row r="121" spans="1:15" s="70" customFormat="1" ht="12.75" customHeight="1" thickBot="1" x14ac:dyDescent="0.25">
      <c r="A121" s="130" t="s">
        <v>244</v>
      </c>
      <c r="B121" s="131" t="s">
        <v>226</v>
      </c>
      <c r="C121" s="237">
        <v>11088</v>
      </c>
      <c r="D121" s="113">
        <v>10505.461493688883</v>
      </c>
      <c r="E121" s="114">
        <f>IF(C121&lt;D121,C121,D121)</f>
        <v>10505.461493688883</v>
      </c>
      <c r="F121" s="126"/>
      <c r="G121" s="116">
        <f>E121+F121</f>
        <v>10505.461493688883</v>
      </c>
      <c r="H121" s="117">
        <v>1.0770301226551227</v>
      </c>
      <c r="I121" s="115">
        <f>E121*H121</f>
        <v>11314.698481096406</v>
      </c>
      <c r="J121" s="132"/>
      <c r="K121" s="119">
        <f>I121+J121</f>
        <v>11314.698481096406</v>
      </c>
      <c r="L121" s="133"/>
      <c r="M121" s="121">
        <f>IF(D121&gt;C121,C121-D121,0)</f>
        <v>0</v>
      </c>
      <c r="N121" s="122">
        <f>IF(D121&lt;C121,C121-D121,0)</f>
        <v>582.53850631111709</v>
      </c>
    </row>
    <row r="122" spans="1:15" s="70" customFormat="1" ht="12.75" customHeight="1" thickBot="1" x14ac:dyDescent="0.25">
      <c r="A122" s="134" t="s">
        <v>244</v>
      </c>
      <c r="B122" s="135" t="s">
        <v>71</v>
      </c>
      <c r="C122" s="239">
        <f>SUM(C117:C121)</f>
        <v>18181</v>
      </c>
      <c r="D122" s="136">
        <f>SUM(D117:D121)</f>
        <v>17573.43583828894</v>
      </c>
      <c r="E122" s="136">
        <f>SUM(E117:E121)</f>
        <v>17569.954384310069</v>
      </c>
      <c r="F122" s="137">
        <f>SUM(F117:F121)</f>
        <v>0</v>
      </c>
      <c r="G122" s="138">
        <f>SUM(G117:G121)</f>
        <v>17569.954384310069</v>
      </c>
      <c r="H122" s="137"/>
      <c r="I122" s="137">
        <f>SUM(I117:I121)</f>
        <v>19008.302948326618</v>
      </c>
      <c r="J122" s="137">
        <f>SUM(J117:J121)</f>
        <v>0</v>
      </c>
      <c r="K122" s="139">
        <f>SUM(K117:K121)</f>
        <v>19008.302948326618</v>
      </c>
      <c r="L122" s="140">
        <f>ROUND(K122*$N$186/$K$176,0)</f>
        <v>464509</v>
      </c>
      <c r="M122" s="141">
        <f>SUM(M117:M121)</f>
        <v>-244.55745483815915</v>
      </c>
      <c r="N122" s="142">
        <f>SUM(N117:N121)</f>
        <v>852.12161654921829</v>
      </c>
    </row>
    <row r="123" spans="1:15" s="70" customFormat="1" ht="12.75" customHeight="1" x14ac:dyDescent="0.2">
      <c r="A123" s="147" t="s">
        <v>245</v>
      </c>
      <c r="B123" s="112" t="s">
        <v>222</v>
      </c>
      <c r="C123" s="237">
        <v>6273.5</v>
      </c>
      <c r="D123" s="113">
        <v>5862.4298139577404</v>
      </c>
      <c r="E123" s="114">
        <f>IF(C123&gt;=0.9*D123,D123,C123+0.1*D123)</f>
        <v>5862.4298139577404</v>
      </c>
      <c r="F123" s="115"/>
      <c r="G123" s="116">
        <f>E123+F123</f>
        <v>5862.4298139577404</v>
      </c>
      <c r="H123" s="117">
        <v>1.6173396030923726</v>
      </c>
      <c r="I123" s="115">
        <f>E123*H123</f>
        <v>9481.5399084633027</v>
      </c>
      <c r="J123" s="118"/>
      <c r="K123" s="119">
        <f>I123+J123</f>
        <v>9481.5399084633027</v>
      </c>
      <c r="L123" s="120"/>
      <c r="M123" s="121">
        <f>IF(D123&gt;C123,C123-D123,0)</f>
        <v>0</v>
      </c>
      <c r="N123" s="122">
        <f>IF(D123&lt;C123,C123-D123,0)</f>
        <v>411.07018604225959</v>
      </c>
    </row>
    <row r="124" spans="1:15" s="70" customFormat="1" ht="12.75" customHeight="1" x14ac:dyDescent="0.2">
      <c r="A124" s="111" t="s">
        <v>245</v>
      </c>
      <c r="B124" s="112" t="s">
        <v>223</v>
      </c>
      <c r="C124" s="237">
        <v>0</v>
      </c>
      <c r="D124" s="113">
        <v>0</v>
      </c>
      <c r="E124" s="114">
        <f>IF(C124&gt;=0.9*D124,D124,C124+0.1*D124)</f>
        <v>0</v>
      </c>
      <c r="F124" s="115"/>
      <c r="G124" s="116">
        <f>E124+F124</f>
        <v>0</v>
      </c>
      <c r="H124" s="117"/>
      <c r="I124" s="115">
        <f>E124*H124</f>
        <v>0</v>
      </c>
      <c r="J124" s="118"/>
      <c r="K124" s="119">
        <f>I124+J124</f>
        <v>0</v>
      </c>
      <c r="L124" s="120"/>
      <c r="M124" s="121">
        <f>IF(D124&gt;C124,C124-D124,0)</f>
        <v>0</v>
      </c>
      <c r="N124" s="122">
        <f>IF(D124&lt;C124,C124-D124,0)</f>
        <v>0</v>
      </c>
    </row>
    <row r="125" spans="1:15" s="70" customFormat="1" ht="12.75" customHeight="1" x14ac:dyDescent="0.2">
      <c r="A125" s="111" t="s">
        <v>245</v>
      </c>
      <c r="B125" s="112" t="s">
        <v>224</v>
      </c>
      <c r="C125" s="237">
        <v>3767.5</v>
      </c>
      <c r="D125" s="113">
        <v>2865.91280768362</v>
      </c>
      <c r="E125" s="114">
        <f>IF(C125&gt;=0.9*D125,D125,C125+0.1*D125)</f>
        <v>2865.91280768362</v>
      </c>
      <c r="F125" s="115"/>
      <c r="G125" s="116">
        <f>E125+F125</f>
        <v>2865.91280768362</v>
      </c>
      <c r="H125" s="117">
        <v>1.4422269409422694</v>
      </c>
      <c r="I125" s="115">
        <f>E125*H125</f>
        <v>4133.2966616328176</v>
      </c>
      <c r="J125" s="118"/>
      <c r="K125" s="119">
        <f>I125+J125</f>
        <v>4133.2966616328176</v>
      </c>
      <c r="L125" s="120"/>
      <c r="M125" s="121">
        <f>IF(D125&gt;C125,C125-D125,0)</f>
        <v>0</v>
      </c>
      <c r="N125" s="122">
        <f>IF(D125&lt;C125,C125-D125,0)</f>
        <v>901.58719231637997</v>
      </c>
    </row>
    <row r="126" spans="1:15" ht="12.75" customHeight="1" x14ac:dyDescent="0.2">
      <c r="A126" s="123" t="s">
        <v>245</v>
      </c>
      <c r="B126" s="124" t="s">
        <v>225</v>
      </c>
      <c r="C126" s="238">
        <v>245.5</v>
      </c>
      <c r="D126" s="125">
        <v>263.92539535194715</v>
      </c>
      <c r="E126" s="114">
        <f>IF(C126&gt;=0.9*D126,D126,C126+0.1*D126)</f>
        <v>263.92539535194715</v>
      </c>
      <c r="F126" s="126"/>
      <c r="G126" s="116">
        <f>E126+F126</f>
        <v>263.92539535194715</v>
      </c>
      <c r="H126" s="127">
        <v>1.8204887983706721</v>
      </c>
      <c r="I126" s="115">
        <f>E126*H126</f>
        <v>480.47322584377082</v>
      </c>
      <c r="J126" s="128"/>
      <c r="K126" s="119">
        <f>I126+J126</f>
        <v>480.47322584377082</v>
      </c>
      <c r="L126" s="129"/>
      <c r="M126" s="121">
        <f>IF(D126&gt;C126,C126-D126,0)</f>
        <v>-18.425395351947145</v>
      </c>
      <c r="N126" s="122">
        <f>IF(D126&lt;C126,C126-D126,0)</f>
        <v>0</v>
      </c>
    </row>
    <row r="127" spans="1:15" s="70" customFormat="1" ht="12.75" customHeight="1" thickBot="1" x14ac:dyDescent="0.25">
      <c r="A127" s="130" t="s">
        <v>245</v>
      </c>
      <c r="B127" s="131" t="s">
        <v>226</v>
      </c>
      <c r="C127" s="237">
        <v>11102.5</v>
      </c>
      <c r="D127" s="113">
        <v>10684.8592521233</v>
      </c>
      <c r="E127" s="114">
        <f>IF(C127&lt;D127,C127,D127)</f>
        <v>10684.8592521233</v>
      </c>
      <c r="F127" s="126"/>
      <c r="G127" s="116">
        <f>E127+F127</f>
        <v>10684.8592521233</v>
      </c>
      <c r="H127" s="117">
        <v>1.5509533888763791</v>
      </c>
      <c r="I127" s="115">
        <f>E127*H127</f>
        <v>16571.718666747765</v>
      </c>
      <c r="J127" s="132"/>
      <c r="K127" s="119">
        <f>I127+J127</f>
        <v>16571.718666747765</v>
      </c>
      <c r="L127" s="133"/>
      <c r="M127" s="121">
        <f>IF(D127&gt;C127,C127-D127,0)</f>
        <v>0</v>
      </c>
      <c r="N127" s="122">
        <f>IF(D127&lt;C127,C127-D127,0)</f>
        <v>417.64074787669961</v>
      </c>
    </row>
    <row r="128" spans="1:15" s="70" customFormat="1" ht="12.75" customHeight="1" thickBot="1" x14ac:dyDescent="0.3">
      <c r="A128" s="134" t="s">
        <v>245</v>
      </c>
      <c r="B128" s="135" t="s">
        <v>71</v>
      </c>
      <c r="C128" s="239">
        <f>SUM(C123:C127)</f>
        <v>21389</v>
      </c>
      <c r="D128" s="136">
        <f>SUM(D123:D127)</f>
        <v>19677.127269116609</v>
      </c>
      <c r="E128" s="136">
        <f>SUM(E123:E127)</f>
        <v>19677.127269116609</v>
      </c>
      <c r="F128" s="137">
        <f>SUM(F123:F127)</f>
        <v>0</v>
      </c>
      <c r="G128" s="138">
        <f>SUM(G123:G127)</f>
        <v>19677.127269116609</v>
      </c>
      <c r="H128" s="137"/>
      <c r="I128" s="137">
        <f>SUM(I123:I127)</f>
        <v>30667.028462687656</v>
      </c>
      <c r="J128" s="137">
        <f>SUM(J123:J127)</f>
        <v>0</v>
      </c>
      <c r="K128" s="139">
        <f>SUM(K123:K127)</f>
        <v>30667.028462687656</v>
      </c>
      <c r="L128" s="140">
        <f>ROUND(K128*$N$186/$K$176,0)</f>
        <v>749416</v>
      </c>
      <c r="M128" s="141">
        <f>SUM(M123:M127)</f>
        <v>-18.425395351947145</v>
      </c>
      <c r="N128" s="142">
        <f>SUM(N123:N127)</f>
        <v>1730.2981262353392</v>
      </c>
      <c r="O128"/>
    </row>
    <row r="129" spans="1:15" s="70" customFormat="1" ht="12.75" customHeight="1" x14ac:dyDescent="0.25">
      <c r="A129" s="147" t="s">
        <v>246</v>
      </c>
      <c r="B129" s="112" t="s">
        <v>222</v>
      </c>
      <c r="C129" s="237">
        <v>2982</v>
      </c>
      <c r="D129" s="113">
        <v>2862.4787741320033</v>
      </c>
      <c r="E129" s="114">
        <f>IF(C129&gt;=0.9*D129,D129,C129+0.1*D129)</f>
        <v>2862.4787741320033</v>
      </c>
      <c r="F129" s="115"/>
      <c r="G129" s="116">
        <f>E129+F129</f>
        <v>2862.4787741320033</v>
      </c>
      <c r="H129" s="117">
        <v>1.786244131455399</v>
      </c>
      <c r="I129" s="115">
        <f>E129*H129</f>
        <v>5113.0859117089358</v>
      </c>
      <c r="J129" s="118"/>
      <c r="K129" s="119">
        <f>I129+J129</f>
        <v>5113.0859117089358</v>
      </c>
      <c r="L129" s="120"/>
      <c r="M129" s="121">
        <f>IF(D129&gt;C129,C129-D129,0)</f>
        <v>0</v>
      </c>
      <c r="N129" s="122">
        <f>IF(D129&lt;C129,C129-D129,0)</f>
        <v>119.52122586799669</v>
      </c>
      <c r="O129"/>
    </row>
    <row r="130" spans="1:15" s="70" customFormat="1" ht="12.75" customHeight="1" x14ac:dyDescent="0.25">
      <c r="A130" s="111" t="s">
        <v>246</v>
      </c>
      <c r="B130" s="112" t="s">
        <v>223</v>
      </c>
      <c r="C130" s="237">
        <v>0</v>
      </c>
      <c r="D130" s="113">
        <v>0</v>
      </c>
      <c r="E130" s="114">
        <f>IF(C130&gt;=0.9*D130,D130,C130+0.1*D130)</f>
        <v>0</v>
      </c>
      <c r="F130" s="115"/>
      <c r="G130" s="116">
        <f>E130+F130</f>
        <v>0</v>
      </c>
      <c r="H130" s="117"/>
      <c r="I130" s="115">
        <f>E130*H130</f>
        <v>0</v>
      </c>
      <c r="J130" s="118"/>
      <c r="K130" s="119">
        <f>I130+J130</f>
        <v>0</v>
      </c>
      <c r="L130" s="120"/>
      <c r="M130" s="121">
        <f>IF(D130&gt;C130,C130-D130,0)</f>
        <v>0</v>
      </c>
      <c r="N130" s="122">
        <f>IF(D130&lt;C130,C130-D130,0)</f>
        <v>0</v>
      </c>
      <c r="O130"/>
    </row>
    <row r="131" spans="1:15" s="70" customFormat="1" ht="12.75" customHeight="1" x14ac:dyDescent="0.25">
      <c r="A131" s="111" t="s">
        <v>246</v>
      </c>
      <c r="B131" s="112" t="s">
        <v>224</v>
      </c>
      <c r="C131" s="237">
        <v>1362</v>
      </c>
      <c r="D131" s="113">
        <v>1311.3502696276939</v>
      </c>
      <c r="E131" s="114">
        <f>IF(C131&gt;=0.9*D131,D131,C131+0.1*D131)</f>
        <v>1311.3502696276939</v>
      </c>
      <c r="F131" s="115"/>
      <c r="G131" s="116">
        <f>E131+F131</f>
        <v>1311.3502696276939</v>
      </c>
      <c r="H131" s="117">
        <v>1.7393979441997063</v>
      </c>
      <c r="I131" s="115">
        <f>E131*H131</f>
        <v>2280.9599631161414</v>
      </c>
      <c r="J131" s="118"/>
      <c r="K131" s="119">
        <f>I131+J131</f>
        <v>2280.9599631161414</v>
      </c>
      <c r="L131" s="120"/>
      <c r="M131" s="121">
        <f>IF(D131&gt;C131,C131-D131,0)</f>
        <v>0</v>
      </c>
      <c r="N131" s="122">
        <f>IF(D131&lt;C131,C131-D131,0)</f>
        <v>50.649730372306067</v>
      </c>
      <c r="O131"/>
    </row>
    <row r="132" spans="1:15" ht="12.75" customHeight="1" x14ac:dyDescent="0.25">
      <c r="A132" s="111" t="s">
        <v>246</v>
      </c>
      <c r="B132" s="124" t="s">
        <v>225</v>
      </c>
      <c r="C132" s="238">
        <v>161.5</v>
      </c>
      <c r="D132" s="125">
        <v>174.89522103039826</v>
      </c>
      <c r="E132" s="114">
        <f>IF(C132&gt;=0.9*D132,D132,C132+0.1*D132)</f>
        <v>174.89522103039826</v>
      </c>
      <c r="F132" s="126"/>
      <c r="G132" s="116">
        <f>E132+F132</f>
        <v>174.89522103039826</v>
      </c>
      <c r="H132" s="127">
        <v>1.9057636887608067</v>
      </c>
      <c r="I132" s="115">
        <f>E132*H132</f>
        <v>333.30896157752841</v>
      </c>
      <c r="J132" s="128"/>
      <c r="K132" s="119">
        <f>I132+J132</f>
        <v>333.30896157752841</v>
      </c>
      <c r="L132" s="129"/>
      <c r="M132" s="121">
        <f>IF(D132&gt;C132,C132-D132,0)</f>
        <v>-13.395221030398261</v>
      </c>
      <c r="N132" s="122">
        <f>IF(D132&lt;C132,C132-D132,0)</f>
        <v>0</v>
      </c>
      <c r="O132"/>
    </row>
    <row r="133" spans="1:15" s="70" customFormat="1" ht="12.75" customHeight="1" thickBot="1" x14ac:dyDescent="0.3">
      <c r="A133" s="111" t="s">
        <v>246</v>
      </c>
      <c r="B133" s="131" t="s">
        <v>226</v>
      </c>
      <c r="C133" s="237">
        <v>5837.5</v>
      </c>
      <c r="D133" s="113">
        <v>5670.3119909860043</v>
      </c>
      <c r="E133" s="114">
        <f>IF(C133&lt;D133,C133,D133)</f>
        <v>5670.3119909860043</v>
      </c>
      <c r="F133" s="126"/>
      <c r="G133" s="116">
        <f>E133+F133</f>
        <v>5670.3119909860043</v>
      </c>
      <c r="H133" s="117">
        <v>1.7464753747323338</v>
      </c>
      <c r="I133" s="115">
        <f>E133*H133</f>
        <v>9903.0602593065269</v>
      </c>
      <c r="J133" s="132"/>
      <c r="K133" s="119">
        <f>I133+J133</f>
        <v>9903.0602593065269</v>
      </c>
      <c r="L133" s="133"/>
      <c r="M133" s="121">
        <f>IF(D133&gt;C133,C133-D133,0)</f>
        <v>0</v>
      </c>
      <c r="N133" s="122">
        <f>IF(D133&lt;C133,C133-D133,0)</f>
        <v>167.18800901399572</v>
      </c>
      <c r="O133"/>
    </row>
    <row r="134" spans="1:15" s="70" customFormat="1" ht="12.75" customHeight="1" thickBot="1" x14ac:dyDescent="0.3">
      <c r="A134" s="134" t="s">
        <v>247</v>
      </c>
      <c r="B134" s="135" t="s">
        <v>71</v>
      </c>
      <c r="C134" s="239">
        <f>SUM(C129:C133)</f>
        <v>10343</v>
      </c>
      <c r="D134" s="136">
        <f>SUM(D129:D133)</f>
        <v>10019.0362557761</v>
      </c>
      <c r="E134" s="136">
        <f>SUM(E129:E133)</f>
        <v>10019.0362557761</v>
      </c>
      <c r="F134" s="137">
        <f>SUM(F129:F133)</f>
        <v>0</v>
      </c>
      <c r="G134" s="138">
        <f>SUM(G129:G133)</f>
        <v>10019.0362557761</v>
      </c>
      <c r="H134" s="137"/>
      <c r="I134" s="137">
        <f>SUM(I129:I133)</f>
        <v>17630.415095709133</v>
      </c>
      <c r="J134" s="137">
        <f>SUM(J129:J133)</f>
        <v>0</v>
      </c>
      <c r="K134" s="139">
        <f>SUM(K129:K133)</f>
        <v>17630.415095709133</v>
      </c>
      <c r="L134" s="140">
        <f>ROUND(K134*$N$186/$K$176,0)</f>
        <v>430838</v>
      </c>
      <c r="M134" s="141">
        <f>SUM(M129:M133)</f>
        <v>-13.395221030398261</v>
      </c>
      <c r="N134" s="142">
        <f>SUM(N129:N133)</f>
        <v>337.35896525429848</v>
      </c>
      <c r="O134"/>
    </row>
    <row r="135" spans="1:15" s="70" customFormat="1" ht="12.75" customHeight="1" x14ac:dyDescent="0.2">
      <c r="A135" s="147" t="s">
        <v>248</v>
      </c>
      <c r="B135" s="112" t="s">
        <v>222</v>
      </c>
      <c r="C135" s="237">
        <v>192.5</v>
      </c>
      <c r="D135" s="113">
        <v>218.38040023623228</v>
      </c>
      <c r="E135" s="114">
        <f>IF(C135&gt;=0.9*D135,D135,C135+0.1*D135)</f>
        <v>214.33804002362322</v>
      </c>
      <c r="F135" s="115"/>
      <c r="G135" s="116">
        <f>E135+F135</f>
        <v>214.33804002362322</v>
      </c>
      <c r="H135" s="117">
        <v>5.9</v>
      </c>
      <c r="I135" s="115">
        <f>E135*H135</f>
        <v>1264.5944361393772</v>
      </c>
      <c r="J135" s="118"/>
      <c r="K135" s="119">
        <f>I135+J135</f>
        <v>1264.5944361393772</v>
      </c>
      <c r="L135" s="120"/>
      <c r="M135" s="121">
        <f>IF(D135&gt;C135,C135-D135,0)</f>
        <v>-25.880400236232276</v>
      </c>
      <c r="N135" s="122">
        <f>IF(D135&lt;C135,C135-D135,0)</f>
        <v>0</v>
      </c>
    </row>
    <row r="136" spans="1:15" s="70" customFormat="1" ht="12.75" customHeight="1" x14ac:dyDescent="0.2">
      <c r="A136" s="111" t="s">
        <v>248</v>
      </c>
      <c r="B136" s="112" t="s">
        <v>223</v>
      </c>
      <c r="C136" s="237">
        <v>24</v>
      </c>
      <c r="D136" s="113">
        <v>26.116032822735022</v>
      </c>
      <c r="E136" s="114">
        <f>IF(C136&gt;=0.9*D136,D136,C136+0.1*D136)</f>
        <v>26.116032822735022</v>
      </c>
      <c r="F136" s="115"/>
      <c r="G136" s="116">
        <f>E136+F136</f>
        <v>26.116032822735022</v>
      </c>
      <c r="H136" s="117">
        <v>5.8999999999999995</v>
      </c>
      <c r="I136" s="115">
        <f>E136*H136</f>
        <v>154.08459365413663</v>
      </c>
      <c r="J136" s="118"/>
      <c r="K136" s="119">
        <f>I136+J136</f>
        <v>154.08459365413663</v>
      </c>
      <c r="L136" s="120"/>
      <c r="M136" s="121">
        <f>IF(D136&gt;C136,C136-D136,0)</f>
        <v>-2.116032822735022</v>
      </c>
      <c r="N136" s="122">
        <f>IF(D136&lt;C136,C136-D136,0)</f>
        <v>0</v>
      </c>
    </row>
    <row r="137" spans="1:15" s="70" customFormat="1" ht="12.75" customHeight="1" x14ac:dyDescent="0.2">
      <c r="A137" s="111" t="s">
        <v>248</v>
      </c>
      <c r="B137" s="112" t="s">
        <v>224</v>
      </c>
      <c r="C137" s="237">
        <v>169</v>
      </c>
      <c r="D137" s="113">
        <v>161.06044891373242</v>
      </c>
      <c r="E137" s="114">
        <f>IF(C137&gt;=0.9*D137,D137,C137+0.1*D137)</f>
        <v>161.06044891373242</v>
      </c>
      <c r="F137" s="115"/>
      <c r="G137" s="116">
        <f>E137+F137</f>
        <v>161.06044891373242</v>
      </c>
      <c r="H137" s="117">
        <v>5.9</v>
      </c>
      <c r="I137" s="115">
        <f>E137*H137</f>
        <v>950.2566485910213</v>
      </c>
      <c r="J137" s="118"/>
      <c r="K137" s="119">
        <f>I137+J137</f>
        <v>950.2566485910213</v>
      </c>
      <c r="L137" s="120"/>
      <c r="M137" s="121">
        <f>IF(D137&gt;C137,C137-D137,0)</f>
        <v>0</v>
      </c>
      <c r="N137" s="122">
        <f>IF(D137&lt;C137,C137-D137,0)</f>
        <v>7.9395510862675849</v>
      </c>
    </row>
    <row r="138" spans="1:15" ht="12.75" customHeight="1" x14ac:dyDescent="0.2">
      <c r="A138" s="123" t="s">
        <v>248</v>
      </c>
      <c r="B138" s="124" t="s">
        <v>225</v>
      </c>
      <c r="C138" s="238">
        <v>23</v>
      </c>
      <c r="D138" s="125">
        <v>32.910787126609677</v>
      </c>
      <c r="E138" s="114">
        <f>IF(C138&gt;=0.9*D138,D138,C138+0.1*D138)</f>
        <v>26.291078712660969</v>
      </c>
      <c r="F138" s="126"/>
      <c r="G138" s="116">
        <f>E138+F138</f>
        <v>26.291078712660969</v>
      </c>
      <c r="H138" s="127">
        <v>5.8999999999999995</v>
      </c>
      <c r="I138" s="115">
        <f>E138*H138</f>
        <v>155.11736440469971</v>
      </c>
      <c r="J138" s="128"/>
      <c r="K138" s="119">
        <f>I138+J138</f>
        <v>155.11736440469971</v>
      </c>
      <c r="L138" s="129"/>
      <c r="M138" s="121">
        <f>IF(D138&gt;C138,C138-D138,0)</f>
        <v>-9.9107871266096765</v>
      </c>
      <c r="N138" s="122">
        <f>IF(D138&lt;C138,C138-D138,0)</f>
        <v>0</v>
      </c>
    </row>
    <row r="139" spans="1:15" s="70" customFormat="1" ht="12.75" customHeight="1" thickBot="1" x14ac:dyDescent="0.25">
      <c r="A139" s="130" t="s">
        <v>248</v>
      </c>
      <c r="B139" s="131" t="s">
        <v>226</v>
      </c>
      <c r="C139" s="237">
        <v>818</v>
      </c>
      <c r="D139" s="113">
        <v>823.46300422749414</v>
      </c>
      <c r="E139" s="114">
        <f>IF(C139&lt;D139,C139,D139)</f>
        <v>818</v>
      </c>
      <c r="F139" s="126"/>
      <c r="G139" s="116">
        <f>E139+F139</f>
        <v>818</v>
      </c>
      <c r="H139" s="117">
        <v>5.8999999999999995</v>
      </c>
      <c r="I139" s="115">
        <f>E139*H139</f>
        <v>4826.2</v>
      </c>
      <c r="J139" s="132"/>
      <c r="K139" s="119">
        <f>I139+J139</f>
        <v>4826.2</v>
      </c>
      <c r="L139" s="133"/>
      <c r="M139" s="121">
        <f>IF(D139&gt;C139,C139-D139,0)</f>
        <v>-5.4630042274941388</v>
      </c>
      <c r="N139" s="122">
        <f>IF(D139&lt;C139,C139-D139,0)</f>
        <v>0</v>
      </c>
    </row>
    <row r="140" spans="1:15" s="70" customFormat="1" ht="12.75" customHeight="1" thickBot="1" x14ac:dyDescent="0.25">
      <c r="A140" s="134" t="s">
        <v>248</v>
      </c>
      <c r="B140" s="135" t="s">
        <v>71</v>
      </c>
      <c r="C140" s="239">
        <f>SUM(C135:C139)</f>
        <v>1226.5</v>
      </c>
      <c r="D140" s="136">
        <f>SUM(D135:D139)</f>
        <v>1261.9306733268036</v>
      </c>
      <c r="E140" s="136">
        <f>SUM(E135:E139)</f>
        <v>1245.8056004727516</v>
      </c>
      <c r="F140" s="137">
        <f>SUM(F135:F139)</f>
        <v>0</v>
      </c>
      <c r="G140" s="138">
        <f>SUM(G135:G139)</f>
        <v>1245.8056004727516</v>
      </c>
      <c r="H140" s="137"/>
      <c r="I140" s="137">
        <f>SUM(I135:I139)</f>
        <v>7350.2530427892343</v>
      </c>
      <c r="J140" s="137">
        <f>SUM(J135:J139)</f>
        <v>0</v>
      </c>
      <c r="K140" s="139">
        <f>SUM(K135:K139)</f>
        <v>7350.2530427892343</v>
      </c>
      <c r="L140" s="140">
        <f>ROUND(K140*$N$186/$K$176,0)</f>
        <v>179619</v>
      </c>
      <c r="M140" s="141">
        <f>SUM(M135:M139)</f>
        <v>-43.370224413071114</v>
      </c>
      <c r="N140" s="142">
        <f>SUM(N135:N139)</f>
        <v>7.9395510862675849</v>
      </c>
    </row>
    <row r="141" spans="1:15" s="70" customFormat="1" ht="12.75" customHeight="1" x14ac:dyDescent="0.2">
      <c r="A141" s="147" t="s">
        <v>249</v>
      </c>
      <c r="B141" s="112" t="s">
        <v>222</v>
      </c>
      <c r="C141" s="237">
        <v>0</v>
      </c>
      <c r="D141" s="113">
        <v>0</v>
      </c>
      <c r="E141" s="114">
        <f>IF(C141&gt;=0.9*D141,D141,C141+0.1*D141)</f>
        <v>0</v>
      </c>
      <c r="F141" s="115"/>
      <c r="G141" s="116">
        <f>E141+F141</f>
        <v>0</v>
      </c>
      <c r="H141" s="117"/>
      <c r="I141" s="115">
        <f>E141*H141</f>
        <v>0</v>
      </c>
      <c r="J141" s="118"/>
      <c r="K141" s="119">
        <f>I141+J141</f>
        <v>0</v>
      </c>
      <c r="L141" s="120"/>
      <c r="M141" s="121">
        <f>IF(D141&gt;C141,C141-D141,0)</f>
        <v>0</v>
      </c>
      <c r="N141" s="122">
        <f>IF(D141&lt;C141,C141-D141,0)</f>
        <v>0</v>
      </c>
    </row>
    <row r="142" spans="1:15" s="70" customFormat="1" ht="12.75" customHeight="1" x14ac:dyDescent="0.2">
      <c r="A142" s="111" t="s">
        <v>249</v>
      </c>
      <c r="B142" s="112" t="s">
        <v>223</v>
      </c>
      <c r="C142" s="237">
        <v>53</v>
      </c>
      <c r="D142" s="113">
        <v>47.4688305306247</v>
      </c>
      <c r="E142" s="114">
        <f>IF(C142&gt;=0.9*D142,D142,C142+0.1*D142)</f>
        <v>47.4688305306247</v>
      </c>
      <c r="F142" s="115"/>
      <c r="G142" s="116">
        <f>E142+F142</f>
        <v>47.4688305306247</v>
      </c>
      <c r="H142" s="117">
        <v>5.8999999999999995</v>
      </c>
      <c r="I142" s="115">
        <f>E142*H142</f>
        <v>280.0661001306857</v>
      </c>
      <c r="J142" s="118"/>
      <c r="K142" s="119">
        <f>I142+J142</f>
        <v>280.0661001306857</v>
      </c>
      <c r="L142" s="120"/>
      <c r="M142" s="121">
        <f>IF(D142&gt;C142,C142-D142,0)</f>
        <v>0</v>
      </c>
      <c r="N142" s="122">
        <f>IF(D142&lt;C142,C142-D142,0)</f>
        <v>5.5311694693752997</v>
      </c>
    </row>
    <row r="143" spans="1:15" s="70" customFormat="1" ht="12.75" customHeight="1" x14ac:dyDescent="0.2">
      <c r="A143" s="111" t="s">
        <v>249</v>
      </c>
      <c r="B143" s="112" t="s">
        <v>224</v>
      </c>
      <c r="C143" s="237">
        <v>0</v>
      </c>
      <c r="D143" s="113">
        <v>0</v>
      </c>
      <c r="E143" s="114">
        <f>IF(C143&gt;=0.9*D143,D143,C143+0.1*D143)</f>
        <v>0</v>
      </c>
      <c r="F143" s="115"/>
      <c r="G143" s="116">
        <f>E143+F143</f>
        <v>0</v>
      </c>
      <c r="H143" s="117"/>
      <c r="I143" s="115">
        <f>E143*H143</f>
        <v>0</v>
      </c>
      <c r="J143" s="118"/>
      <c r="K143" s="119">
        <f>I143+J143</f>
        <v>0</v>
      </c>
      <c r="L143" s="120"/>
      <c r="M143" s="121">
        <f>IF(D143&gt;C143,C143-D143,0)</f>
        <v>0</v>
      </c>
      <c r="N143" s="122">
        <f>IF(D143&lt;C143,C143-D143,0)</f>
        <v>0</v>
      </c>
    </row>
    <row r="144" spans="1:15" ht="12.75" customHeight="1" x14ac:dyDescent="0.2">
      <c r="A144" s="123" t="s">
        <v>249</v>
      </c>
      <c r="B144" s="124" t="s">
        <v>225</v>
      </c>
      <c r="C144" s="238">
        <v>9</v>
      </c>
      <c r="D144" s="125">
        <v>6.2220581393034387</v>
      </c>
      <c r="E144" s="114">
        <f>IF(C144&gt;=0.9*D144,D144,C144+0.1*D144)</f>
        <v>6.2220581393034387</v>
      </c>
      <c r="F144" s="126"/>
      <c r="G144" s="116">
        <f>E144+F144</f>
        <v>6.2220581393034387</v>
      </c>
      <c r="H144" s="127">
        <v>5.9</v>
      </c>
      <c r="I144" s="115">
        <f>E144*H144</f>
        <v>36.710143021890289</v>
      </c>
      <c r="J144" s="128"/>
      <c r="K144" s="119">
        <f>I144+J144</f>
        <v>36.710143021890289</v>
      </c>
      <c r="L144" s="129"/>
      <c r="M144" s="121">
        <f>IF(D144&gt;C144,C144-D144,0)</f>
        <v>0</v>
      </c>
      <c r="N144" s="122">
        <f>IF(D144&lt;C144,C144-D144,0)</f>
        <v>2.7779418606965613</v>
      </c>
    </row>
    <row r="145" spans="1:14" s="70" customFormat="1" ht="12.75" customHeight="1" thickBot="1" x14ac:dyDescent="0.25">
      <c r="A145" s="130" t="s">
        <v>249</v>
      </c>
      <c r="B145" s="131" t="s">
        <v>226</v>
      </c>
      <c r="C145" s="237">
        <v>266.5</v>
      </c>
      <c r="D145" s="113">
        <v>270.38881857397496</v>
      </c>
      <c r="E145" s="114">
        <f>IF(C145&lt;D145,C145,D145)</f>
        <v>266.5</v>
      </c>
      <c r="F145" s="126"/>
      <c r="G145" s="116">
        <f>E145+F145</f>
        <v>266.5</v>
      </c>
      <c r="H145" s="117">
        <v>5.8999999999999995</v>
      </c>
      <c r="I145" s="115">
        <f>E145*H145</f>
        <v>1572.35</v>
      </c>
      <c r="J145" s="132"/>
      <c r="K145" s="119">
        <f>I145+J145</f>
        <v>1572.35</v>
      </c>
      <c r="L145" s="133"/>
      <c r="M145" s="121">
        <f>IF(D145&gt;C145,C145-D145,0)</f>
        <v>-3.8888185739749588</v>
      </c>
      <c r="N145" s="122">
        <f>IF(D145&lt;C145,C145-D145,0)</f>
        <v>0</v>
      </c>
    </row>
    <row r="146" spans="1:14" s="70" customFormat="1" ht="12.75" customHeight="1" thickBot="1" x14ac:dyDescent="0.25">
      <c r="A146" s="134" t="s">
        <v>249</v>
      </c>
      <c r="B146" s="135" t="s">
        <v>71</v>
      </c>
      <c r="C146" s="239">
        <f>SUM(C141:C145)</f>
        <v>328.5</v>
      </c>
      <c r="D146" s="136">
        <f>SUM(D141:D145)</f>
        <v>324.0797072439031</v>
      </c>
      <c r="E146" s="136">
        <f>SUM(E141:E145)</f>
        <v>320.19088866992814</v>
      </c>
      <c r="F146" s="137">
        <f>SUM(F141:F145)</f>
        <v>0</v>
      </c>
      <c r="G146" s="138">
        <f>SUM(G141:G145)</f>
        <v>320.19088866992814</v>
      </c>
      <c r="H146" s="137"/>
      <c r="I146" s="137">
        <f>SUM(I141:I145)</f>
        <v>1889.1262431525759</v>
      </c>
      <c r="J146" s="137">
        <f>SUM(J141:J145)</f>
        <v>0</v>
      </c>
      <c r="K146" s="139">
        <f>SUM(K141:K145)</f>
        <v>1889.1262431525759</v>
      </c>
      <c r="L146" s="140">
        <f>ROUND(K146*$N$186/$K$176,0)</f>
        <v>46165</v>
      </c>
      <c r="M146" s="141">
        <f>SUM(M141:M145)</f>
        <v>-3.8888185739749588</v>
      </c>
      <c r="N146" s="142">
        <f>SUM(N141:N145)</f>
        <v>8.3091113300718611</v>
      </c>
    </row>
    <row r="147" spans="1:14" s="70" customFormat="1" ht="12.75" customHeight="1" x14ac:dyDescent="0.2">
      <c r="A147" s="147" t="s">
        <v>102</v>
      </c>
      <c r="B147" s="112" t="s">
        <v>222</v>
      </c>
      <c r="C147" s="237">
        <v>65</v>
      </c>
      <c r="D147" s="113">
        <v>64</v>
      </c>
      <c r="E147" s="114">
        <f>IF(C147&gt;=0.9*D147,D147,C147+0.1*D147)</f>
        <v>64</v>
      </c>
      <c r="F147" s="115"/>
      <c r="G147" s="116">
        <f>E147+F147</f>
        <v>64</v>
      </c>
      <c r="H147" s="117">
        <v>5.9</v>
      </c>
      <c r="I147" s="115">
        <f>E147*H147</f>
        <v>377.6</v>
      </c>
      <c r="J147" s="118"/>
      <c r="K147" s="119">
        <f>I147+J147</f>
        <v>377.6</v>
      </c>
      <c r="L147" s="120"/>
      <c r="M147" s="121">
        <f>IF(D147&gt;C147,C147-D147,0)</f>
        <v>0</v>
      </c>
      <c r="N147" s="122">
        <f>IF(D147&lt;C147,C147-D147,0)</f>
        <v>1</v>
      </c>
    </row>
    <row r="148" spans="1:14" s="70" customFormat="1" ht="12.75" customHeight="1" x14ac:dyDescent="0.2">
      <c r="A148" s="111" t="s">
        <v>102</v>
      </c>
      <c r="B148" s="112" t="s">
        <v>223</v>
      </c>
      <c r="C148" s="237">
        <v>2</v>
      </c>
      <c r="D148" s="113">
        <v>0</v>
      </c>
      <c r="E148" s="114">
        <f>IF(C148&gt;=0.9*D148,D148,C148+0.1*D148)</f>
        <v>0</v>
      </c>
      <c r="F148" s="115"/>
      <c r="G148" s="116">
        <f>E148+F148</f>
        <v>0</v>
      </c>
      <c r="H148" s="117">
        <v>5.9</v>
      </c>
      <c r="I148" s="115">
        <f>E148*H148</f>
        <v>0</v>
      </c>
      <c r="J148" s="118"/>
      <c r="K148" s="119">
        <f>I148+J148</f>
        <v>0</v>
      </c>
      <c r="L148" s="120"/>
      <c r="M148" s="121">
        <f>IF(D148&gt;C148,C148-D148,0)</f>
        <v>0</v>
      </c>
      <c r="N148" s="122">
        <f>IF(D148&lt;C148,C148-D148,0)</f>
        <v>2</v>
      </c>
    </row>
    <row r="149" spans="1:14" s="70" customFormat="1" ht="12.75" customHeight="1" x14ac:dyDescent="0.2">
      <c r="A149" s="111" t="s">
        <v>102</v>
      </c>
      <c r="B149" s="112" t="s">
        <v>224</v>
      </c>
      <c r="C149" s="237">
        <v>27</v>
      </c>
      <c r="D149" s="113">
        <v>27</v>
      </c>
      <c r="E149" s="114">
        <f>IF(C149&gt;=0.9*D149,D149,C149+0.1*D149)</f>
        <v>27</v>
      </c>
      <c r="F149" s="115"/>
      <c r="G149" s="116">
        <f>E149+F149</f>
        <v>27</v>
      </c>
      <c r="H149" s="117">
        <v>4.2666666666666666</v>
      </c>
      <c r="I149" s="115">
        <f>E149*H149</f>
        <v>115.2</v>
      </c>
      <c r="J149" s="118"/>
      <c r="K149" s="119">
        <f>I149+J149</f>
        <v>115.2</v>
      </c>
      <c r="L149" s="120"/>
      <c r="M149" s="121">
        <f>IF(D149&gt;C149,C149-D149,0)</f>
        <v>0</v>
      </c>
      <c r="N149" s="122">
        <f>IF(D149&lt;C149,C149-D149,0)</f>
        <v>0</v>
      </c>
    </row>
    <row r="150" spans="1:14" ht="12.75" customHeight="1" x14ac:dyDescent="0.2">
      <c r="A150" s="123" t="s">
        <v>102</v>
      </c>
      <c r="B150" s="124" t="s">
        <v>225</v>
      </c>
      <c r="C150" s="238">
        <v>5</v>
      </c>
      <c r="D150" s="125">
        <v>4</v>
      </c>
      <c r="E150" s="114">
        <f>IF(C150&gt;=0.9*D150,D150,C150+0.1*D150)</f>
        <v>4</v>
      </c>
      <c r="F150" s="126"/>
      <c r="G150" s="116">
        <f>E150+F150</f>
        <v>4</v>
      </c>
      <c r="H150" s="127">
        <v>2.96</v>
      </c>
      <c r="I150" s="115">
        <f>E150*H150</f>
        <v>11.84</v>
      </c>
      <c r="J150" s="128"/>
      <c r="K150" s="119">
        <f>I150+J150</f>
        <v>11.84</v>
      </c>
      <c r="L150" s="129"/>
      <c r="M150" s="121">
        <f>IF(D150&gt;C150,C150-D150,0)</f>
        <v>0</v>
      </c>
      <c r="N150" s="122">
        <f>IF(D150&lt;C150,C150-D150,0)</f>
        <v>1</v>
      </c>
    </row>
    <row r="151" spans="1:14" s="70" customFormat="1" ht="12.75" customHeight="1" thickBot="1" x14ac:dyDescent="0.25">
      <c r="A151" s="130" t="s">
        <v>102</v>
      </c>
      <c r="B151" s="131" t="s">
        <v>226</v>
      </c>
      <c r="C151" s="237">
        <v>339.5</v>
      </c>
      <c r="D151" s="113">
        <v>351</v>
      </c>
      <c r="E151" s="114">
        <f>IF(C151&lt;D151,C151,D151)</f>
        <v>339.5</v>
      </c>
      <c r="F151" s="126"/>
      <c r="G151" s="116">
        <f>E151+F151</f>
        <v>339.5</v>
      </c>
      <c r="H151" s="117">
        <v>5.6835051546391755</v>
      </c>
      <c r="I151" s="115">
        <f>E151*H151</f>
        <v>1929.5500000000002</v>
      </c>
      <c r="J151" s="132"/>
      <c r="K151" s="119">
        <f>I151+J151</f>
        <v>1929.5500000000002</v>
      </c>
      <c r="L151" s="133"/>
      <c r="M151" s="121">
        <f>IF(D151&gt;C151,C151-D151,0)</f>
        <v>-11.5</v>
      </c>
      <c r="N151" s="122">
        <f>IF(D151&lt;C151,C151-D151,0)</f>
        <v>0</v>
      </c>
    </row>
    <row r="152" spans="1:14" s="70" customFormat="1" ht="12.75" customHeight="1" thickBot="1" x14ac:dyDescent="0.25">
      <c r="A152" s="134" t="s">
        <v>102</v>
      </c>
      <c r="B152" s="135" t="s">
        <v>71</v>
      </c>
      <c r="C152" s="239">
        <f>SUM(C147:C151)</f>
        <v>438.5</v>
      </c>
      <c r="D152" s="136">
        <f>SUM(D147:D151)</f>
        <v>446</v>
      </c>
      <c r="E152" s="136">
        <f>SUM(E147:E151)</f>
        <v>434.5</v>
      </c>
      <c r="F152" s="137">
        <f>SUM(F147:F151)</f>
        <v>0</v>
      </c>
      <c r="G152" s="138">
        <f>SUM(G147:G151)</f>
        <v>434.5</v>
      </c>
      <c r="H152" s="137"/>
      <c r="I152" s="137">
        <f>SUM(I147:I151)</f>
        <v>2434.19</v>
      </c>
      <c r="J152" s="137">
        <f>SUM(J147:J151)</f>
        <v>0</v>
      </c>
      <c r="K152" s="139">
        <f>SUM(K147:K151)</f>
        <v>2434.19</v>
      </c>
      <c r="L152" s="140">
        <f>ROUND(K152*$N$186/$K$176,0)</f>
        <v>59485</v>
      </c>
      <c r="M152" s="141">
        <f>SUM(M147:M151)</f>
        <v>-11.5</v>
      </c>
      <c r="N152" s="142">
        <f>SUM(N147:N151)</f>
        <v>4</v>
      </c>
    </row>
    <row r="153" spans="1:14" s="70" customFormat="1" ht="12.75" customHeight="1" x14ac:dyDescent="0.2">
      <c r="A153" s="147" t="s">
        <v>250</v>
      </c>
      <c r="B153" s="112" t="s">
        <v>222</v>
      </c>
      <c r="C153" s="237">
        <v>156.5</v>
      </c>
      <c r="D153" s="113">
        <v>141</v>
      </c>
      <c r="E153" s="114">
        <f>IF(C153&gt;=0.9*D153,D153,C153+0.1*D153)</f>
        <v>141</v>
      </c>
      <c r="F153" s="115"/>
      <c r="G153" s="116">
        <f>E153+F153</f>
        <v>141</v>
      </c>
      <c r="H153" s="117">
        <v>5.9</v>
      </c>
      <c r="I153" s="115">
        <f>E153*H153</f>
        <v>831.90000000000009</v>
      </c>
      <c r="J153" s="118"/>
      <c r="K153" s="119">
        <f>I153+J153</f>
        <v>831.90000000000009</v>
      </c>
      <c r="L153" s="120"/>
      <c r="M153" s="121">
        <f>IF(D153&gt;C153,C153-D153,0)</f>
        <v>0</v>
      </c>
      <c r="N153" s="122">
        <f>IF(D153&lt;C153,C153-D153,0)</f>
        <v>15.5</v>
      </c>
    </row>
    <row r="154" spans="1:14" s="70" customFormat="1" ht="12.75" customHeight="1" x14ac:dyDescent="0.2">
      <c r="A154" s="111" t="s">
        <v>250</v>
      </c>
      <c r="B154" s="112" t="s">
        <v>223</v>
      </c>
      <c r="C154" s="237">
        <v>32</v>
      </c>
      <c r="D154" s="113">
        <v>34</v>
      </c>
      <c r="E154" s="114">
        <f>IF(C154&gt;=0.9*D154,D154,C154+0.1*D154)</f>
        <v>34</v>
      </c>
      <c r="F154" s="115"/>
      <c r="G154" s="116">
        <f>E154+F154</f>
        <v>34</v>
      </c>
      <c r="H154" s="117">
        <v>5.9</v>
      </c>
      <c r="I154" s="115">
        <f>E154*H154</f>
        <v>200.60000000000002</v>
      </c>
      <c r="J154" s="118"/>
      <c r="K154" s="119">
        <f>I154+J154</f>
        <v>200.60000000000002</v>
      </c>
      <c r="L154" s="120"/>
      <c r="M154" s="121">
        <f>IF(D154&gt;C154,C154-D154,0)</f>
        <v>-2</v>
      </c>
      <c r="N154" s="122">
        <f>IF(D154&lt;C154,C154-D154,0)</f>
        <v>0</v>
      </c>
    </row>
    <row r="155" spans="1:14" s="70" customFormat="1" ht="12.75" customHeight="1" x14ac:dyDescent="0.2">
      <c r="A155" s="111" t="s">
        <v>250</v>
      </c>
      <c r="B155" s="112" t="s">
        <v>224</v>
      </c>
      <c r="C155" s="237">
        <v>72</v>
      </c>
      <c r="D155" s="113">
        <v>76</v>
      </c>
      <c r="E155" s="114">
        <f>IF(C155&gt;=0.9*D155,D155,C155+0.1*D155)</f>
        <v>76</v>
      </c>
      <c r="F155" s="115"/>
      <c r="G155" s="116">
        <f>E155+F155</f>
        <v>76</v>
      </c>
      <c r="H155" s="117">
        <v>5.9</v>
      </c>
      <c r="I155" s="115">
        <f>E155*H155</f>
        <v>448.40000000000003</v>
      </c>
      <c r="J155" s="118"/>
      <c r="K155" s="119">
        <f>I155+J155</f>
        <v>448.40000000000003</v>
      </c>
      <c r="L155" s="120"/>
      <c r="M155" s="121">
        <f>IF(D155&gt;C155,C155-D155,0)</f>
        <v>-4</v>
      </c>
      <c r="N155" s="122">
        <f>IF(D155&lt;C155,C155-D155,0)</f>
        <v>0</v>
      </c>
    </row>
    <row r="156" spans="1:14" ht="12.75" customHeight="1" x14ac:dyDescent="0.2">
      <c r="A156" s="123" t="s">
        <v>250</v>
      </c>
      <c r="B156" s="124" t="s">
        <v>225</v>
      </c>
      <c r="C156" s="238">
        <v>11</v>
      </c>
      <c r="D156" s="125">
        <v>10</v>
      </c>
      <c r="E156" s="114">
        <f>IF(C156&gt;=0.9*D156,D156,C156+0.1*D156)</f>
        <v>10</v>
      </c>
      <c r="F156" s="126"/>
      <c r="G156" s="116">
        <f>E156+F156</f>
        <v>10</v>
      </c>
      <c r="H156" s="127">
        <v>5.9</v>
      </c>
      <c r="I156" s="115">
        <f>E156*H156</f>
        <v>59</v>
      </c>
      <c r="J156" s="128"/>
      <c r="K156" s="119">
        <f>I156+J156</f>
        <v>59</v>
      </c>
      <c r="L156" s="129"/>
      <c r="M156" s="121">
        <f>IF(D156&gt;C156,C156-D156,0)</f>
        <v>0</v>
      </c>
      <c r="N156" s="122">
        <f>IF(D156&lt;C156,C156-D156,0)</f>
        <v>1</v>
      </c>
    </row>
    <row r="157" spans="1:14" s="70" customFormat="1" ht="12.75" customHeight="1" thickBot="1" x14ac:dyDescent="0.25">
      <c r="A157" s="130" t="s">
        <v>250</v>
      </c>
      <c r="B157" s="131" t="s">
        <v>226</v>
      </c>
      <c r="C157" s="237">
        <v>422</v>
      </c>
      <c r="D157" s="113">
        <v>441</v>
      </c>
      <c r="E157" s="114">
        <f>IF(C157&lt;D157,C157,D157)</f>
        <v>422</v>
      </c>
      <c r="F157" s="126"/>
      <c r="G157" s="116">
        <f>E157+F157</f>
        <v>422</v>
      </c>
      <c r="H157" s="117">
        <v>5.8999999999999995</v>
      </c>
      <c r="I157" s="115">
        <f>E157*H157</f>
        <v>2489.7999999999997</v>
      </c>
      <c r="J157" s="132"/>
      <c r="K157" s="119">
        <f>I157+J157</f>
        <v>2489.7999999999997</v>
      </c>
      <c r="L157" s="133"/>
      <c r="M157" s="121">
        <f>IF(D157&gt;C157,C157-D157,0)</f>
        <v>-19</v>
      </c>
      <c r="N157" s="122">
        <f>IF(D157&lt;C157,C157-D157,0)</f>
        <v>0</v>
      </c>
    </row>
    <row r="158" spans="1:14" s="70" customFormat="1" ht="12.75" customHeight="1" thickBot="1" x14ac:dyDescent="0.25">
      <c r="A158" s="134" t="s">
        <v>250</v>
      </c>
      <c r="B158" s="135" t="s">
        <v>71</v>
      </c>
      <c r="C158" s="239">
        <f>SUM(C153:C157)</f>
        <v>693.5</v>
      </c>
      <c r="D158" s="136">
        <f>SUM(D153:D157)</f>
        <v>702</v>
      </c>
      <c r="E158" s="136">
        <f>SUM(E153:E157)</f>
        <v>683</v>
      </c>
      <c r="F158" s="137">
        <f>SUM(F153:F157)</f>
        <v>0</v>
      </c>
      <c r="G158" s="138">
        <f>SUM(G153:G157)</f>
        <v>683</v>
      </c>
      <c r="H158" s="137"/>
      <c r="I158" s="137">
        <f>SUM(I153:I157)</f>
        <v>4029.7</v>
      </c>
      <c r="J158" s="137">
        <f>SUM(J153:J157)</f>
        <v>0</v>
      </c>
      <c r="K158" s="139">
        <f>SUM(K153:K157)</f>
        <v>4029.7</v>
      </c>
      <c r="L158" s="140">
        <f>ROUND(K158*$N$186/$K$176,0)</f>
        <v>98475</v>
      </c>
      <c r="M158" s="141">
        <f>SUM(M153:M157)</f>
        <v>-25</v>
      </c>
      <c r="N158" s="142">
        <f>SUM(N153:N157)</f>
        <v>16.5</v>
      </c>
    </row>
    <row r="159" spans="1:14" s="70" customFormat="1" ht="12.75" customHeight="1" x14ac:dyDescent="0.2">
      <c r="A159" s="147" t="s">
        <v>251</v>
      </c>
      <c r="B159" s="112" t="s">
        <v>222</v>
      </c>
      <c r="C159" s="237">
        <v>1257.5</v>
      </c>
      <c r="D159" s="113">
        <v>1353.2334562479025</v>
      </c>
      <c r="E159" s="114">
        <f>IF(C159&gt;=0.9*D159,D159,C159+0.1*D159)</f>
        <v>1353.2334562479025</v>
      </c>
      <c r="F159" s="115"/>
      <c r="G159" s="116">
        <f>E159+F159</f>
        <v>1353.2334562479025</v>
      </c>
      <c r="H159" s="117">
        <v>1.166958250497018</v>
      </c>
      <c r="I159" s="115">
        <f>E159*H159</f>
        <v>1579.1669466170852</v>
      </c>
      <c r="J159" s="118"/>
      <c r="K159" s="119">
        <f>I159+J159</f>
        <v>1579.1669466170852</v>
      </c>
      <c r="L159" s="120"/>
      <c r="M159" s="121">
        <f>IF(D159&gt;C159,C159-D159,0)</f>
        <v>-95.733456247902495</v>
      </c>
      <c r="N159" s="122">
        <f>IF(D159&lt;C159,C159-D159,0)</f>
        <v>0</v>
      </c>
    </row>
    <row r="160" spans="1:14" s="70" customFormat="1" ht="12.75" customHeight="1" x14ac:dyDescent="0.2">
      <c r="A160" s="111" t="s">
        <v>251</v>
      </c>
      <c r="B160" s="112" t="s">
        <v>223</v>
      </c>
      <c r="C160" s="237">
        <v>0</v>
      </c>
      <c r="D160" s="113">
        <v>0</v>
      </c>
      <c r="E160" s="114">
        <f>IF(C160&gt;=0.9*D160,D160,C160+0.1*D160)</f>
        <v>0</v>
      </c>
      <c r="F160" s="115"/>
      <c r="G160" s="116">
        <f>E160+F160</f>
        <v>0</v>
      </c>
      <c r="H160" s="117"/>
      <c r="I160" s="115">
        <f>E160*H160</f>
        <v>0</v>
      </c>
      <c r="J160" s="118"/>
      <c r="K160" s="119">
        <f>I160+J160</f>
        <v>0</v>
      </c>
      <c r="L160" s="120"/>
      <c r="M160" s="121">
        <f>IF(D160&gt;C160,C160-D160,0)</f>
        <v>0</v>
      </c>
      <c r="N160" s="122">
        <f>IF(D160&lt;C160,C160-D160,0)</f>
        <v>0</v>
      </c>
    </row>
    <row r="161" spans="1:14" s="70" customFormat="1" ht="12.75" customHeight="1" x14ac:dyDescent="0.2">
      <c r="A161" s="111" t="s">
        <v>251</v>
      </c>
      <c r="B161" s="112" t="s">
        <v>224</v>
      </c>
      <c r="C161" s="237">
        <v>0</v>
      </c>
      <c r="D161" s="113">
        <v>0</v>
      </c>
      <c r="E161" s="114">
        <f>IF(C161&gt;=0.9*D161,D161,C161+0.1*D161)</f>
        <v>0</v>
      </c>
      <c r="F161" s="115"/>
      <c r="G161" s="116">
        <f>E161+F161</f>
        <v>0</v>
      </c>
      <c r="H161" s="117"/>
      <c r="I161" s="115">
        <f>E161*H161</f>
        <v>0</v>
      </c>
      <c r="J161" s="118"/>
      <c r="K161" s="119">
        <f>I161+J161</f>
        <v>0</v>
      </c>
      <c r="L161" s="120"/>
      <c r="M161" s="121">
        <f>IF(D161&gt;C161,C161-D161,0)</f>
        <v>0</v>
      </c>
      <c r="N161" s="122">
        <f>IF(D161&lt;C161,C161-D161,0)</f>
        <v>0</v>
      </c>
    </row>
    <row r="162" spans="1:14" ht="12.75" customHeight="1" x14ac:dyDescent="0.2">
      <c r="A162" s="123" t="s">
        <v>104</v>
      </c>
      <c r="B162" s="124" t="s">
        <v>225</v>
      </c>
      <c r="C162" s="238">
        <v>0</v>
      </c>
      <c r="D162" s="125">
        <v>0.22747415328699391</v>
      </c>
      <c r="E162" s="114">
        <f>IF(C162&gt;=0.9*D162,D162,C162+0.1*D162)</f>
        <v>2.2747415328699394E-2</v>
      </c>
      <c r="F162" s="126"/>
      <c r="G162" s="116">
        <f>E162+F162</f>
        <v>2.2747415328699394E-2</v>
      </c>
      <c r="H162" s="127"/>
      <c r="I162" s="115">
        <f>E162*H162</f>
        <v>0</v>
      </c>
      <c r="J162" s="128"/>
      <c r="K162" s="119">
        <f>I162+J162</f>
        <v>0</v>
      </c>
      <c r="L162" s="129"/>
      <c r="M162" s="121">
        <f>IF(D162&gt;C162,C162-D162,0)</f>
        <v>-0.22747415328699391</v>
      </c>
      <c r="N162" s="122">
        <f>IF(D162&lt;C162,C162-D162,0)</f>
        <v>0</v>
      </c>
    </row>
    <row r="163" spans="1:14" s="70" customFormat="1" ht="12.75" customHeight="1" thickBot="1" x14ac:dyDescent="0.25">
      <c r="A163" s="130" t="s">
        <v>252</v>
      </c>
      <c r="B163" s="131" t="s">
        <v>226</v>
      </c>
      <c r="C163" s="237">
        <v>1763.5</v>
      </c>
      <c r="D163" s="113">
        <v>1868.4365720567073</v>
      </c>
      <c r="E163" s="114">
        <f>IF(C163&lt;D163,C163,D163)</f>
        <v>1763.5</v>
      </c>
      <c r="F163" s="126"/>
      <c r="G163" s="116">
        <f>E163+F163</f>
        <v>1763.5</v>
      </c>
      <c r="H163" s="117">
        <v>1.1046781967677912</v>
      </c>
      <c r="I163" s="115">
        <f>E163*H163</f>
        <v>1948.1</v>
      </c>
      <c r="J163" s="132"/>
      <c r="K163" s="119">
        <f>I163+J163</f>
        <v>1948.1</v>
      </c>
      <c r="L163" s="133"/>
      <c r="M163" s="121">
        <f>IF(D163&gt;C163,C163-D163,0)</f>
        <v>-104.93657205670729</v>
      </c>
      <c r="N163" s="122">
        <f>IF(D163&lt;C163,C163-D163,0)</f>
        <v>0</v>
      </c>
    </row>
    <row r="164" spans="1:14" s="70" customFormat="1" ht="12.75" customHeight="1" thickBot="1" x14ac:dyDescent="0.25">
      <c r="A164" s="134" t="s">
        <v>252</v>
      </c>
      <c r="B164" s="135" t="s">
        <v>71</v>
      </c>
      <c r="C164" s="239">
        <f>SUM(C159:C163)</f>
        <v>3021</v>
      </c>
      <c r="D164" s="136">
        <f>SUM(D159:D163)</f>
        <v>3221.8975024578967</v>
      </c>
      <c r="E164" s="136">
        <f>SUM(E159:E163)</f>
        <v>3116.7562036632312</v>
      </c>
      <c r="F164" s="137">
        <f>SUM(F159:F163)</f>
        <v>0</v>
      </c>
      <c r="G164" s="138">
        <f>SUM(G159:G163)</f>
        <v>3116.7562036632312</v>
      </c>
      <c r="H164" s="137"/>
      <c r="I164" s="137">
        <f>SUM(I159:I163)</f>
        <v>3527.2669466170851</v>
      </c>
      <c r="J164" s="137">
        <f>SUM(J159:J163)</f>
        <v>0</v>
      </c>
      <c r="K164" s="139">
        <f>SUM(K159:K163)</f>
        <v>3527.2669466170851</v>
      </c>
      <c r="L164" s="140">
        <f>ROUND(K164*$N$186/$K$176,0)</f>
        <v>86196</v>
      </c>
      <c r="M164" s="141">
        <f>SUM(M159:M163)</f>
        <v>-200.89750245789679</v>
      </c>
      <c r="N164" s="142">
        <f>SUM(N159:N163)</f>
        <v>0</v>
      </c>
    </row>
    <row r="165" spans="1:14" s="70" customFormat="1" ht="12.75" customHeight="1" x14ac:dyDescent="0.2">
      <c r="A165" s="147" t="s">
        <v>253</v>
      </c>
      <c r="B165" s="112" t="s">
        <v>222</v>
      </c>
      <c r="C165" s="237">
        <v>1624</v>
      </c>
      <c r="D165" s="113">
        <v>1510</v>
      </c>
      <c r="E165" s="114">
        <f>IF(C165&gt;=0.9*D165,D165,C165+0.1*D165)</f>
        <v>1510</v>
      </c>
      <c r="F165" s="115"/>
      <c r="G165" s="116">
        <f>E165+F165</f>
        <v>1510</v>
      </c>
      <c r="H165" s="117">
        <v>1.2135344827586207</v>
      </c>
      <c r="I165" s="115">
        <f>E165*H165</f>
        <v>1832.4370689655173</v>
      </c>
      <c r="J165" s="118"/>
      <c r="K165" s="119">
        <f>I165+J165</f>
        <v>1832.4370689655173</v>
      </c>
      <c r="L165" s="120"/>
      <c r="M165" s="121">
        <f>IF(D165&gt;C165,C165-D165,0)</f>
        <v>0</v>
      </c>
      <c r="N165" s="122">
        <f>IF(D165&lt;C165,C165-D165,0)</f>
        <v>114</v>
      </c>
    </row>
    <row r="166" spans="1:14" s="70" customFormat="1" ht="12.75" customHeight="1" x14ac:dyDescent="0.2">
      <c r="A166" s="111" t="s">
        <v>253</v>
      </c>
      <c r="B166" s="112" t="s">
        <v>223</v>
      </c>
      <c r="C166" s="237">
        <v>0</v>
      </c>
      <c r="D166" s="113">
        <v>0</v>
      </c>
      <c r="E166" s="114">
        <f>IF(C166&gt;=0.9*D166,D166,C166+0.1*D166)</f>
        <v>0</v>
      </c>
      <c r="F166" s="115"/>
      <c r="G166" s="116">
        <f>E166+F166</f>
        <v>0</v>
      </c>
      <c r="H166" s="117"/>
      <c r="I166" s="115">
        <f>E166*H166</f>
        <v>0</v>
      </c>
      <c r="J166" s="118"/>
      <c r="K166" s="119">
        <f>I166+J166</f>
        <v>0</v>
      </c>
      <c r="L166" s="120"/>
      <c r="M166" s="121">
        <f>IF(D166&gt;C166,C166-D166,0)</f>
        <v>0</v>
      </c>
      <c r="N166" s="122">
        <f>IF(D166&lt;C166,C166-D166,0)</f>
        <v>0</v>
      </c>
    </row>
    <row r="167" spans="1:14" s="70" customFormat="1" ht="12.75" customHeight="1" x14ac:dyDescent="0.2">
      <c r="A167" s="111" t="s">
        <v>253</v>
      </c>
      <c r="B167" s="112" t="s">
        <v>224</v>
      </c>
      <c r="C167" s="237">
        <v>0</v>
      </c>
      <c r="D167" s="113">
        <v>0</v>
      </c>
      <c r="E167" s="114">
        <f>IF(C167&gt;=0.9*D167,D167,C167+0.1*D167)</f>
        <v>0</v>
      </c>
      <c r="F167" s="115"/>
      <c r="G167" s="116">
        <f>E167+F167</f>
        <v>0</v>
      </c>
      <c r="H167" s="117"/>
      <c r="I167" s="115">
        <f>E167*H167</f>
        <v>0</v>
      </c>
      <c r="J167" s="118"/>
      <c r="K167" s="119">
        <f>I167+J167</f>
        <v>0</v>
      </c>
      <c r="L167" s="120"/>
      <c r="M167" s="121">
        <f>IF(D167&gt;C167,C167-D167,0)</f>
        <v>0</v>
      </c>
      <c r="N167" s="122">
        <f>IF(D167&lt;C167,C167-D167,0)</f>
        <v>0</v>
      </c>
    </row>
    <row r="168" spans="1:14" ht="12.75" customHeight="1" x14ac:dyDescent="0.2">
      <c r="A168" s="123" t="s">
        <v>254</v>
      </c>
      <c r="B168" s="124" t="s">
        <v>225</v>
      </c>
      <c r="C168" s="238">
        <v>0</v>
      </c>
      <c r="D168" s="125">
        <v>0</v>
      </c>
      <c r="E168" s="114">
        <f>IF(C168&gt;=0.9*D168,D168,C168+0.1*D168)</f>
        <v>0</v>
      </c>
      <c r="F168" s="126"/>
      <c r="G168" s="116">
        <f>E168+F168</f>
        <v>0</v>
      </c>
      <c r="H168" s="127"/>
      <c r="I168" s="115">
        <f>E168*H168</f>
        <v>0</v>
      </c>
      <c r="J168" s="128"/>
      <c r="K168" s="119">
        <f>I168+J168</f>
        <v>0</v>
      </c>
      <c r="L168" s="129"/>
      <c r="M168" s="121">
        <f>IF(D168&gt;C168,C168-D168,0)</f>
        <v>0</v>
      </c>
      <c r="N168" s="122">
        <f>IF(D168&lt;C168,C168-D168,0)</f>
        <v>0</v>
      </c>
    </row>
    <row r="169" spans="1:14" s="70" customFormat="1" ht="12.75" customHeight="1" thickBot="1" x14ac:dyDescent="0.25">
      <c r="A169" s="130" t="s">
        <v>255</v>
      </c>
      <c r="B169" s="131" t="s">
        <v>226</v>
      </c>
      <c r="C169" s="237">
        <v>1354.5</v>
      </c>
      <c r="D169" s="113">
        <v>1535</v>
      </c>
      <c r="E169" s="114">
        <f>IF(C169&lt;D169,C169,D169)</f>
        <v>1354.5</v>
      </c>
      <c r="F169" s="126"/>
      <c r="G169" s="116">
        <f>E169+F169</f>
        <v>1354.5</v>
      </c>
      <c r="H169" s="117">
        <v>1.2209892949427832</v>
      </c>
      <c r="I169" s="115">
        <f>E169*H169</f>
        <v>1653.83</v>
      </c>
      <c r="J169" s="132"/>
      <c r="K169" s="119">
        <f>I169+J169</f>
        <v>1653.83</v>
      </c>
      <c r="L169" s="133"/>
      <c r="M169" s="121">
        <f>IF(D169&gt;C169,C169-D169,0)</f>
        <v>-180.5</v>
      </c>
      <c r="N169" s="122">
        <f>IF(D169&lt;C169,C169-D169,0)</f>
        <v>0</v>
      </c>
    </row>
    <row r="170" spans="1:14" s="70" customFormat="1" ht="12.75" customHeight="1" thickBot="1" x14ac:dyDescent="0.25">
      <c r="A170" s="134" t="s">
        <v>255</v>
      </c>
      <c r="B170" s="135" t="s">
        <v>71</v>
      </c>
      <c r="C170" s="239">
        <f>SUM(C165:C169)</f>
        <v>2978.5</v>
      </c>
      <c r="D170" s="153">
        <f>SUM(D165:D169)</f>
        <v>3045</v>
      </c>
      <c r="E170" s="154">
        <f>SUM(E165:E169)</f>
        <v>2864.5</v>
      </c>
      <c r="F170" s="138">
        <f>SUM(F165:F169)</f>
        <v>0</v>
      </c>
      <c r="G170" s="138">
        <f>SUM(G165:G169)</f>
        <v>2864.5</v>
      </c>
      <c r="H170" s="137"/>
      <c r="I170" s="137">
        <f>SUM(I165:I169)</f>
        <v>3486.267068965517</v>
      </c>
      <c r="J170" s="137">
        <f>SUM(J165:J169)</f>
        <v>0</v>
      </c>
      <c r="K170" s="139">
        <f>SUM(K165:K169)</f>
        <v>3486.267068965517</v>
      </c>
      <c r="L170" s="140">
        <f>ROUND(K170*$N$186/$K$176,0)</f>
        <v>85195</v>
      </c>
      <c r="M170" s="141">
        <f>SUM(M165:M169)</f>
        <v>-180.5</v>
      </c>
      <c r="N170" s="142">
        <f>SUM(N165:N169)</f>
        <v>114</v>
      </c>
    </row>
    <row r="171" spans="1:14" s="70" customFormat="1" ht="12.75" customHeight="1" thickBot="1" x14ac:dyDescent="0.25">
      <c r="A171" s="155" t="s">
        <v>256</v>
      </c>
      <c r="B171" s="156" t="s">
        <v>222</v>
      </c>
      <c r="C171" s="240">
        <f t="shared" ref="C171:G176" si="0">C15+C21+C27+C33+C39+C45+C51+C57+C63+C69+C75+C81+C87+C93+C99+C105+C111+C117+C123+C129+C135+C141+C147+C153+C159+C165</f>
        <v>86243</v>
      </c>
      <c r="D171" s="158">
        <f t="shared" si="0"/>
        <v>84953.065203018996</v>
      </c>
      <c r="E171" s="159">
        <f t="shared" si="0"/>
        <v>84949.022842806386</v>
      </c>
      <c r="F171" s="160">
        <f t="shared" si="0"/>
        <v>0</v>
      </c>
      <c r="G171" s="161">
        <f t="shared" si="0"/>
        <v>84949.022842806386</v>
      </c>
      <c r="H171" s="161"/>
      <c r="I171" s="162">
        <f t="shared" ref="I171:N176" si="1">I15+I21+I27+I33+I39+I45+I51+I57+I63+I69+I75+I81+I87+I93+I99+I105+I111+I117+I123+I129+I135+I141+I147+I153+I159+I165</f>
        <v>131227.0473459932</v>
      </c>
      <c r="J171" s="162">
        <f t="shared" si="1"/>
        <v>0</v>
      </c>
      <c r="K171" s="163">
        <f t="shared" si="1"/>
        <v>131227.0473459932</v>
      </c>
      <c r="L171" s="164">
        <f t="shared" si="1"/>
        <v>0</v>
      </c>
      <c r="M171" s="165">
        <f t="shared" si="1"/>
        <v>-1686.5749157129742</v>
      </c>
      <c r="N171" s="157">
        <f t="shared" si="1"/>
        <v>2976.5097126939922</v>
      </c>
    </row>
    <row r="172" spans="1:14" s="70" customFormat="1" ht="12.75" customHeight="1" thickTop="1" thickBot="1" x14ac:dyDescent="0.25">
      <c r="A172" s="166" t="s">
        <v>256</v>
      </c>
      <c r="B172" s="167" t="s">
        <v>223</v>
      </c>
      <c r="C172" s="241">
        <f t="shared" si="0"/>
        <v>6447.5</v>
      </c>
      <c r="D172" s="169">
        <f t="shared" si="0"/>
        <v>6463.4026422059678</v>
      </c>
      <c r="E172" s="170">
        <f t="shared" si="0"/>
        <v>6393.8801927049662</v>
      </c>
      <c r="F172" s="171">
        <f t="shared" si="0"/>
        <v>338</v>
      </c>
      <c r="G172" s="172">
        <f t="shared" si="0"/>
        <v>6731.8801927049662</v>
      </c>
      <c r="H172" s="172"/>
      <c r="I172" s="172">
        <f t="shared" si="1"/>
        <v>12252.171829222158</v>
      </c>
      <c r="J172" s="172">
        <f t="shared" si="1"/>
        <v>1183</v>
      </c>
      <c r="K172" s="173">
        <f t="shared" si="1"/>
        <v>13435.171829222161</v>
      </c>
      <c r="L172" s="174">
        <f t="shared" si="1"/>
        <v>0</v>
      </c>
      <c r="M172" s="175">
        <f t="shared" si="1"/>
        <v>-177.47224392030387</v>
      </c>
      <c r="N172" s="168">
        <f t="shared" si="1"/>
        <v>161.56960171433519</v>
      </c>
    </row>
    <row r="173" spans="1:14" s="70" customFormat="1" ht="12.75" customHeight="1" thickTop="1" thickBot="1" x14ac:dyDescent="0.25">
      <c r="A173" s="166" t="s">
        <v>256</v>
      </c>
      <c r="B173" s="167" t="s">
        <v>224</v>
      </c>
      <c r="C173" s="241">
        <f t="shared" si="0"/>
        <v>37039.5</v>
      </c>
      <c r="D173" s="169">
        <f t="shared" si="0"/>
        <v>33843.412558118922</v>
      </c>
      <c r="E173" s="170">
        <f t="shared" si="0"/>
        <v>33728.185277304961</v>
      </c>
      <c r="F173" s="171">
        <f t="shared" si="0"/>
        <v>0</v>
      </c>
      <c r="G173" s="172">
        <f t="shared" si="0"/>
        <v>33728.185277304961</v>
      </c>
      <c r="H173" s="172"/>
      <c r="I173" s="172">
        <f t="shared" si="1"/>
        <v>50818.436315646584</v>
      </c>
      <c r="J173" s="172">
        <f t="shared" si="1"/>
        <v>0</v>
      </c>
      <c r="K173" s="173">
        <f t="shared" si="1"/>
        <v>50818.436315646584</v>
      </c>
      <c r="L173" s="174">
        <f t="shared" si="1"/>
        <v>0</v>
      </c>
      <c r="M173" s="175">
        <f t="shared" si="1"/>
        <v>-558.73767524909226</v>
      </c>
      <c r="N173" s="168">
        <f t="shared" si="1"/>
        <v>3754.8251171301654</v>
      </c>
    </row>
    <row r="174" spans="1:14" s="70" customFormat="1" ht="12.75" customHeight="1" thickTop="1" thickBot="1" x14ac:dyDescent="0.25">
      <c r="A174" s="166" t="s">
        <v>256</v>
      </c>
      <c r="B174" s="167" t="s">
        <v>225</v>
      </c>
      <c r="C174" s="241">
        <f t="shared" si="0"/>
        <v>5213.5</v>
      </c>
      <c r="D174" s="169">
        <f t="shared" si="0"/>
        <v>5667.9572938634465</v>
      </c>
      <c r="E174" s="170">
        <f t="shared" si="0"/>
        <v>5569.5549016555533</v>
      </c>
      <c r="F174" s="171">
        <f t="shared" si="0"/>
        <v>4</v>
      </c>
      <c r="G174" s="172">
        <f t="shared" si="0"/>
        <v>5573.5549016555533</v>
      </c>
      <c r="H174" s="172"/>
      <c r="I174" s="172">
        <f t="shared" si="1"/>
        <v>10158.040348087154</v>
      </c>
      <c r="J174" s="172">
        <f t="shared" si="1"/>
        <v>11.2</v>
      </c>
      <c r="K174" s="173">
        <f t="shared" si="1"/>
        <v>10169.240348087154</v>
      </c>
      <c r="L174" s="174">
        <f t="shared" si="1"/>
        <v>0</v>
      </c>
      <c r="M174" s="175">
        <f t="shared" si="1"/>
        <v>-503.4346414639603</v>
      </c>
      <c r="N174" s="168">
        <f t="shared" si="1"/>
        <v>48.977347600513838</v>
      </c>
    </row>
    <row r="175" spans="1:14" s="70" customFormat="1" ht="12.75" customHeight="1" thickTop="1" thickBot="1" x14ac:dyDescent="0.25">
      <c r="A175" s="166" t="s">
        <v>256</v>
      </c>
      <c r="B175" s="167" t="s">
        <v>226</v>
      </c>
      <c r="C175" s="241">
        <f t="shared" si="0"/>
        <v>195233.5</v>
      </c>
      <c r="D175" s="169">
        <f t="shared" si="0"/>
        <v>187709.01344607526</v>
      </c>
      <c r="E175" s="170">
        <f t="shared" si="0"/>
        <v>187002.80261685842</v>
      </c>
      <c r="F175" s="171">
        <f t="shared" si="0"/>
        <v>1205.5</v>
      </c>
      <c r="G175" s="172">
        <f t="shared" si="0"/>
        <v>188208.30261685842</v>
      </c>
      <c r="H175" s="172"/>
      <c r="I175" s="172">
        <f t="shared" si="1"/>
        <v>296858.43787976872</v>
      </c>
      <c r="J175" s="172">
        <f t="shared" si="1"/>
        <v>4202.45</v>
      </c>
      <c r="K175" s="173">
        <f t="shared" si="1"/>
        <v>301060.88787976868</v>
      </c>
      <c r="L175" s="174">
        <f t="shared" si="1"/>
        <v>0</v>
      </c>
      <c r="M175" s="175">
        <f t="shared" si="1"/>
        <v>-706.21082921688662</v>
      </c>
      <c r="N175" s="168">
        <f t="shared" si="1"/>
        <v>8230.6973831415908</v>
      </c>
    </row>
    <row r="176" spans="1:14" s="70" customFormat="1" ht="12.75" customHeight="1" thickTop="1" thickBot="1" x14ac:dyDescent="0.25">
      <c r="A176" s="166" t="s">
        <v>256</v>
      </c>
      <c r="B176" s="167" t="s">
        <v>71</v>
      </c>
      <c r="C176" s="242">
        <f t="shared" si="0"/>
        <v>330177</v>
      </c>
      <c r="D176" s="177">
        <f t="shared" si="0"/>
        <v>318636.85114328266</v>
      </c>
      <c r="E176" s="178">
        <f t="shared" si="0"/>
        <v>317643.44583133026</v>
      </c>
      <c r="F176" s="179">
        <f t="shared" si="0"/>
        <v>1547.5</v>
      </c>
      <c r="G176" s="180">
        <f t="shared" si="0"/>
        <v>319190.94583133026</v>
      </c>
      <c r="H176" s="180"/>
      <c r="I176" s="180">
        <f t="shared" si="1"/>
        <v>501314.1337187179</v>
      </c>
      <c r="J176" s="180">
        <f t="shared" si="1"/>
        <v>5396.65</v>
      </c>
      <c r="K176" s="181">
        <f t="shared" si="1"/>
        <v>506710.78371871781</v>
      </c>
      <c r="L176" s="182">
        <f t="shared" si="1"/>
        <v>12382584</v>
      </c>
      <c r="M176" s="183">
        <f t="shared" si="1"/>
        <v>-3632.4303055632163</v>
      </c>
      <c r="N176" s="176">
        <f t="shared" si="1"/>
        <v>15172.579162280594</v>
      </c>
    </row>
    <row r="177" spans="1:14" ht="12.75" customHeight="1" thickTop="1" x14ac:dyDescent="0.2">
      <c r="E177" s="76"/>
      <c r="I177" s="184"/>
      <c r="J177" s="70"/>
      <c r="K177" s="70"/>
      <c r="L177" s="70"/>
      <c r="M177" s="70"/>
      <c r="N177" s="70"/>
    </row>
    <row r="178" spans="1:14" ht="12.75" customHeight="1" x14ac:dyDescent="0.2">
      <c r="B178" s="70"/>
      <c r="C178" s="233"/>
      <c r="D178" s="70"/>
      <c r="E178" s="76"/>
      <c r="G178" s="76"/>
      <c r="J178" s="70"/>
      <c r="K178" s="70"/>
      <c r="L178" s="70"/>
      <c r="M178" s="70"/>
      <c r="N178" s="70"/>
    </row>
    <row r="179" spans="1:14" ht="30" customHeight="1" x14ac:dyDescent="0.2">
      <c r="A179" s="185" t="s">
        <v>257</v>
      </c>
      <c r="B179" s="70"/>
      <c r="C179" s="233"/>
      <c r="D179" s="70"/>
      <c r="E179" s="76"/>
      <c r="F179" s="70"/>
      <c r="G179" s="70"/>
      <c r="H179" s="70"/>
      <c r="I179" s="184"/>
      <c r="J179" s="70"/>
      <c r="K179" s="70"/>
      <c r="L179" s="70"/>
      <c r="M179" s="70"/>
      <c r="N179" s="70"/>
    </row>
    <row r="180" spans="1:14" ht="12.75" customHeight="1" x14ac:dyDescent="0.2">
      <c r="E180" s="76"/>
      <c r="F180" s="70"/>
      <c r="G180" s="70"/>
      <c r="H180" s="70"/>
      <c r="I180" s="184"/>
      <c r="J180" s="70"/>
    </row>
    <row r="181" spans="1:14" ht="12.75" customHeight="1" x14ac:dyDescent="0.2">
      <c r="F181" s="70"/>
      <c r="G181" s="70"/>
      <c r="H181" s="70"/>
      <c r="I181" s="184"/>
      <c r="J181" s="70"/>
      <c r="K181" s="71"/>
      <c r="L181" s="92"/>
      <c r="M181" s="71"/>
      <c r="N181" s="70"/>
    </row>
    <row r="182" spans="1:14" ht="12.75" customHeight="1" x14ac:dyDescent="0.2">
      <c r="A182" s="186" t="s">
        <v>258</v>
      </c>
      <c r="B182" s="187"/>
      <c r="C182" s="243"/>
      <c r="D182" s="188"/>
      <c r="E182" s="189">
        <f>C176+E183</f>
        <v>331724.5</v>
      </c>
      <c r="F182" s="70"/>
      <c r="G182" s="70"/>
      <c r="H182" s="70"/>
      <c r="I182" s="184"/>
      <c r="K182" s="190" t="s">
        <v>259</v>
      </c>
      <c r="L182" s="191"/>
      <c r="M182" s="192"/>
      <c r="N182" s="193">
        <f>K176</f>
        <v>506710.78371871781</v>
      </c>
    </row>
    <row r="183" spans="1:14" ht="12.75" customHeight="1" x14ac:dyDescent="0.2">
      <c r="A183" s="186" t="s">
        <v>260</v>
      </c>
      <c r="B183" s="187"/>
      <c r="C183" s="243"/>
      <c r="D183" s="188"/>
      <c r="E183" s="194">
        <f>L221</f>
        <v>1547.5</v>
      </c>
      <c r="F183" s="70"/>
      <c r="G183" s="70"/>
      <c r="H183" s="70"/>
      <c r="I183" s="184"/>
      <c r="K183" s="190" t="s">
        <v>9</v>
      </c>
      <c r="L183" s="195"/>
      <c r="M183" s="196"/>
      <c r="N183" s="197">
        <f>N184/N182*1000</f>
        <v>24437.182704352599</v>
      </c>
    </row>
    <row r="184" spans="1:14" ht="12.75" customHeight="1" x14ac:dyDescent="0.2">
      <c r="A184" s="186" t="s">
        <v>261</v>
      </c>
      <c r="B184" s="187"/>
      <c r="C184" s="243"/>
      <c r="D184" s="188"/>
      <c r="E184" s="189">
        <f>E176+E183</f>
        <v>319190.94583133026</v>
      </c>
      <c r="F184" s="70"/>
      <c r="G184" s="70"/>
      <c r="H184" s="70"/>
      <c r="I184" s="184"/>
      <c r="K184" s="112" t="s">
        <v>321</v>
      </c>
      <c r="L184" s="195"/>
      <c r="M184" s="196"/>
      <c r="N184" s="197">
        <f>L176</f>
        <v>12382584</v>
      </c>
    </row>
    <row r="185" spans="1:14" ht="12.75" customHeight="1" x14ac:dyDescent="0.2">
      <c r="A185" s="198" t="s">
        <v>262</v>
      </c>
      <c r="B185" s="187"/>
      <c r="C185" s="243"/>
      <c r="D185" s="188"/>
      <c r="E185" s="199">
        <f>E184/315637-1</f>
        <v>1.1259598308595908E-2</v>
      </c>
      <c r="F185" s="70"/>
      <c r="G185" s="70"/>
      <c r="H185" s="70"/>
      <c r="I185" s="184"/>
      <c r="K185" s="21"/>
      <c r="L185" s="21"/>
      <c r="M185" s="21"/>
      <c r="N185" s="200"/>
    </row>
    <row r="186" spans="1:14" ht="12.75" customHeight="1" x14ac:dyDescent="0.2">
      <c r="A186" s="186" t="s">
        <v>263</v>
      </c>
      <c r="B186" s="187"/>
      <c r="C186" s="243"/>
      <c r="D186" s="188"/>
      <c r="E186" s="189">
        <f>K176</f>
        <v>506710.78371871781</v>
      </c>
      <c r="F186" s="70"/>
      <c r="G186" s="70"/>
      <c r="H186" s="70"/>
      <c r="I186" s="184"/>
      <c r="K186" s="112" t="s">
        <v>264</v>
      </c>
      <c r="L186" s="195"/>
      <c r="M186" s="196"/>
      <c r="N186" s="201">
        <f>Tab.1_Bilance!L16</f>
        <v>12382584</v>
      </c>
    </row>
    <row r="187" spans="1:14" ht="12.75" customHeight="1" x14ac:dyDescent="0.2">
      <c r="A187" s="186" t="s">
        <v>265</v>
      </c>
      <c r="B187" s="187"/>
      <c r="C187" s="243"/>
      <c r="D187" s="188"/>
      <c r="E187" s="202">
        <f>E186/E184</f>
        <v>1.5874848279264113</v>
      </c>
      <c r="F187" s="70"/>
      <c r="G187" s="184"/>
      <c r="H187" s="70"/>
      <c r="I187" s="184"/>
      <c r="J187" s="203"/>
    </row>
    <row r="188" spans="1:14" ht="12.75" customHeight="1" x14ac:dyDescent="0.2">
      <c r="A188" s="186" t="s">
        <v>266</v>
      </c>
      <c r="B188" s="187"/>
      <c r="C188" s="243"/>
      <c r="D188" s="188"/>
      <c r="E188" s="189">
        <f>Tab.1_Bilance!L19</f>
        <v>15478230</v>
      </c>
      <c r="F188" s="70"/>
      <c r="G188" s="70"/>
      <c r="H188" s="70"/>
      <c r="I188" s="184"/>
      <c r="J188" s="204"/>
      <c r="K188" s="203"/>
      <c r="M188" s="70"/>
      <c r="N188" s="70"/>
    </row>
    <row r="189" spans="1:14" ht="12.75" customHeight="1" x14ac:dyDescent="0.2">
      <c r="A189" s="186" t="s">
        <v>267</v>
      </c>
      <c r="B189" s="187"/>
      <c r="C189" s="243"/>
      <c r="D189" s="188"/>
      <c r="E189" s="205">
        <f>E188*1000/E186</f>
        <v>30546.478380440745</v>
      </c>
      <c r="F189" s="70"/>
      <c r="G189" s="70"/>
      <c r="H189" s="70"/>
      <c r="I189" s="184"/>
      <c r="J189" s="70"/>
      <c r="K189" s="70"/>
      <c r="L189" s="70"/>
      <c r="M189" s="70"/>
      <c r="N189" s="70"/>
    </row>
    <row r="190" spans="1:14" ht="12.75" customHeight="1" x14ac:dyDescent="0.2">
      <c r="E190" s="76">
        <f>E186*E189/1000</f>
        <v>15478230</v>
      </c>
      <c r="F190" s="70"/>
      <c r="G190" s="70"/>
      <c r="H190" s="70"/>
      <c r="I190" s="184"/>
      <c r="J190" s="70"/>
      <c r="K190" s="70"/>
      <c r="L190" s="70"/>
      <c r="M190" s="70"/>
      <c r="N190" s="70"/>
    </row>
    <row r="191" spans="1:14" ht="12.75" customHeight="1" x14ac:dyDescent="0.2">
      <c r="J191" s="70"/>
      <c r="K191" s="70"/>
      <c r="L191" s="70"/>
      <c r="M191" s="70"/>
      <c r="N191" s="70"/>
    </row>
    <row r="192" spans="1:14" ht="12.75" customHeight="1" x14ac:dyDescent="0.2">
      <c r="A192" s="206" t="s">
        <v>268</v>
      </c>
      <c r="C192" s="244"/>
      <c r="G192" s="76"/>
      <c r="H192" s="76"/>
      <c r="J192" s="76"/>
      <c r="K192" s="76"/>
      <c r="L192" s="207"/>
      <c r="M192" s="207"/>
      <c r="N192" s="207"/>
    </row>
    <row r="193" spans="1:14" ht="12.75" customHeight="1" x14ac:dyDescent="0.2">
      <c r="C193" s="244"/>
      <c r="G193" s="76"/>
      <c r="H193" s="76"/>
      <c r="J193" s="76"/>
      <c r="K193" s="76"/>
      <c r="L193" s="208"/>
      <c r="M193" s="207"/>
      <c r="N193" s="208"/>
    </row>
    <row r="194" spans="1:14" ht="12.75" customHeight="1" x14ac:dyDescent="0.2">
      <c r="A194" s="209" t="s">
        <v>175</v>
      </c>
      <c r="B194" s="209" t="s">
        <v>176</v>
      </c>
      <c r="C194" s="245" t="s">
        <v>269</v>
      </c>
      <c r="D194" s="209" t="s">
        <v>270</v>
      </c>
      <c r="E194" s="209" t="s">
        <v>208</v>
      </c>
      <c r="F194" s="209"/>
      <c r="G194" s="210" t="s">
        <v>271</v>
      </c>
      <c r="H194" s="210" t="s">
        <v>272</v>
      </c>
      <c r="I194" s="210" t="s">
        <v>273</v>
      </c>
      <c r="J194" s="210" t="s">
        <v>274</v>
      </c>
      <c r="K194" s="210" t="s">
        <v>71</v>
      </c>
      <c r="L194" s="211" t="s">
        <v>275</v>
      </c>
      <c r="M194" s="211"/>
      <c r="N194" s="211" t="s">
        <v>276</v>
      </c>
    </row>
    <row r="195" spans="1:14" ht="12.75" customHeight="1" x14ac:dyDescent="0.2">
      <c r="A195" s="212"/>
      <c r="B195" s="212"/>
      <c r="C195" s="246"/>
      <c r="D195" s="212"/>
      <c r="E195" s="212"/>
      <c r="F195" s="212"/>
      <c r="G195" s="213"/>
      <c r="H195" s="213"/>
      <c r="I195" s="213"/>
      <c r="J195" s="213"/>
      <c r="K195" s="213"/>
      <c r="L195" s="214"/>
      <c r="M195" s="214"/>
      <c r="N195" s="214"/>
    </row>
    <row r="196" spans="1:14" ht="12.75" customHeight="1" x14ac:dyDescent="0.2">
      <c r="A196" s="215">
        <v>11000</v>
      </c>
      <c r="B196" s="215" t="s">
        <v>277</v>
      </c>
      <c r="C196" s="247">
        <v>11110</v>
      </c>
      <c r="D196" s="215" t="s">
        <v>278</v>
      </c>
      <c r="E196" s="215" t="s">
        <v>200</v>
      </c>
      <c r="F196" s="215"/>
      <c r="G196" s="215">
        <v>40</v>
      </c>
      <c r="H196" s="215">
        <v>0</v>
      </c>
      <c r="I196" s="216">
        <v>37</v>
      </c>
      <c r="J196" s="215">
        <v>0</v>
      </c>
      <c r="K196" s="215">
        <v>77</v>
      </c>
      <c r="L196" s="217">
        <v>77</v>
      </c>
      <c r="M196" s="217"/>
      <c r="N196" s="217">
        <v>269.5</v>
      </c>
    </row>
    <row r="197" spans="1:14" ht="12.75" customHeight="1" x14ac:dyDescent="0.2">
      <c r="A197" s="215">
        <v>11000</v>
      </c>
      <c r="B197" s="215" t="s">
        <v>277</v>
      </c>
      <c r="C197" s="247">
        <v>11110</v>
      </c>
      <c r="D197" s="215" t="s">
        <v>278</v>
      </c>
      <c r="E197" s="215" t="s">
        <v>206</v>
      </c>
      <c r="F197" s="215"/>
      <c r="G197" s="215">
        <v>0</v>
      </c>
      <c r="H197" s="215">
        <v>6</v>
      </c>
      <c r="I197" s="216">
        <v>266</v>
      </c>
      <c r="J197" s="215">
        <v>3</v>
      </c>
      <c r="K197" s="215">
        <v>275</v>
      </c>
      <c r="L197" s="217">
        <v>267.5</v>
      </c>
      <c r="M197" s="217"/>
      <c r="N197" s="217">
        <v>936.25</v>
      </c>
    </row>
    <row r="198" spans="1:14" ht="12.75" customHeight="1" x14ac:dyDescent="0.2">
      <c r="A198" s="215">
        <v>11000</v>
      </c>
      <c r="B198" s="215" t="s">
        <v>277</v>
      </c>
      <c r="C198" s="247">
        <v>11140</v>
      </c>
      <c r="D198" s="215" t="s">
        <v>279</v>
      </c>
      <c r="E198" s="215" t="s">
        <v>200</v>
      </c>
      <c r="F198" s="215"/>
      <c r="G198" s="215">
        <v>26</v>
      </c>
      <c r="H198" s="215">
        <v>1</v>
      </c>
      <c r="I198" s="216">
        <v>30</v>
      </c>
      <c r="J198" s="215">
        <v>0</v>
      </c>
      <c r="K198" s="215">
        <v>57</v>
      </c>
      <c r="L198" s="217">
        <v>56</v>
      </c>
      <c r="M198" s="217"/>
      <c r="N198" s="217">
        <v>196</v>
      </c>
    </row>
    <row r="199" spans="1:14" ht="12.75" customHeight="1" x14ac:dyDescent="0.2">
      <c r="A199" s="215">
        <v>11000</v>
      </c>
      <c r="B199" s="215" t="s">
        <v>277</v>
      </c>
      <c r="C199" s="247">
        <v>11140</v>
      </c>
      <c r="D199" s="215" t="s">
        <v>279</v>
      </c>
      <c r="E199" s="215" t="s">
        <v>206</v>
      </c>
      <c r="F199" s="215"/>
      <c r="G199" s="215">
        <v>0</v>
      </c>
      <c r="H199" s="215">
        <v>10</v>
      </c>
      <c r="I199" s="216">
        <v>181</v>
      </c>
      <c r="J199" s="215">
        <v>1</v>
      </c>
      <c r="K199" s="215">
        <v>192</v>
      </c>
      <c r="L199" s="217">
        <v>181.5</v>
      </c>
      <c r="M199" s="217"/>
      <c r="N199" s="217">
        <v>633.85</v>
      </c>
    </row>
    <row r="200" spans="1:14" ht="12.75" customHeight="1" x14ac:dyDescent="0.2">
      <c r="A200" s="215">
        <v>11000</v>
      </c>
      <c r="B200" s="215" t="s">
        <v>277</v>
      </c>
      <c r="C200" s="247">
        <v>11150</v>
      </c>
      <c r="D200" s="215" t="s">
        <v>280</v>
      </c>
      <c r="E200" s="215" t="s">
        <v>200</v>
      </c>
      <c r="F200" s="215"/>
      <c r="G200" s="215">
        <v>44</v>
      </c>
      <c r="H200" s="215">
        <v>0</v>
      </c>
      <c r="I200" s="216">
        <v>9</v>
      </c>
      <c r="J200" s="215">
        <v>0</v>
      </c>
      <c r="K200" s="215">
        <v>53</v>
      </c>
      <c r="L200" s="217">
        <v>53</v>
      </c>
      <c r="M200" s="217"/>
      <c r="N200" s="217">
        <v>185.5</v>
      </c>
    </row>
    <row r="201" spans="1:14" ht="12.75" customHeight="1" x14ac:dyDescent="0.2">
      <c r="A201" s="215">
        <v>11000</v>
      </c>
      <c r="B201" s="215" t="s">
        <v>277</v>
      </c>
      <c r="C201" s="247">
        <v>11150</v>
      </c>
      <c r="D201" s="215" t="s">
        <v>280</v>
      </c>
      <c r="E201" s="215"/>
      <c r="F201" s="215" t="s">
        <v>361</v>
      </c>
      <c r="G201" s="215">
        <v>-18</v>
      </c>
      <c r="H201" s="215"/>
      <c r="I201" s="216"/>
      <c r="J201" s="215"/>
      <c r="K201" s="215">
        <v>-18</v>
      </c>
      <c r="L201" s="217">
        <v>-18</v>
      </c>
      <c r="M201" s="217"/>
      <c r="N201" s="217">
        <f>-18*3.5</f>
        <v>-63</v>
      </c>
    </row>
    <row r="202" spans="1:14" ht="12.75" customHeight="1" x14ac:dyDescent="0.2">
      <c r="A202" s="215">
        <v>11000</v>
      </c>
      <c r="B202" s="215" t="s">
        <v>277</v>
      </c>
      <c r="C202" s="247">
        <v>11150</v>
      </c>
      <c r="D202" s="215" t="s">
        <v>280</v>
      </c>
      <c r="E202" s="215"/>
      <c r="F202" s="215" t="s">
        <v>362</v>
      </c>
      <c r="G202" s="215">
        <f>SUM(G200:G201)</f>
        <v>26</v>
      </c>
      <c r="H202" s="215">
        <f t="shared" ref="H202:J202" si="2">SUM(H200:H201)</f>
        <v>0</v>
      </c>
      <c r="I202" s="216">
        <f t="shared" si="2"/>
        <v>9</v>
      </c>
      <c r="J202" s="215">
        <f t="shared" si="2"/>
        <v>0</v>
      </c>
      <c r="K202" s="215">
        <f>SUM(G202:J202)</f>
        <v>35</v>
      </c>
      <c r="L202" s="217">
        <f t="shared" ref="L202" si="3">SUM(L200:L201)</f>
        <v>35</v>
      </c>
      <c r="M202" s="217"/>
      <c r="N202" s="217">
        <f>L202*3.5</f>
        <v>122.5</v>
      </c>
    </row>
    <row r="203" spans="1:14" ht="12.75" customHeight="1" x14ac:dyDescent="0.2">
      <c r="A203" s="215">
        <v>11000</v>
      </c>
      <c r="B203" s="215" t="s">
        <v>277</v>
      </c>
      <c r="C203" s="247">
        <v>11150</v>
      </c>
      <c r="D203" s="215" t="s">
        <v>280</v>
      </c>
      <c r="E203" s="215" t="s">
        <v>204</v>
      </c>
      <c r="F203" s="215"/>
      <c r="G203" s="215">
        <v>0</v>
      </c>
      <c r="H203" s="215">
        <v>0</v>
      </c>
      <c r="I203" s="216">
        <v>2</v>
      </c>
      <c r="J203" s="215">
        <v>0</v>
      </c>
      <c r="K203" s="215">
        <v>2</v>
      </c>
      <c r="L203" s="217">
        <v>2</v>
      </c>
      <c r="M203" s="217"/>
      <c r="N203" s="217">
        <v>5.6</v>
      </c>
    </row>
    <row r="204" spans="1:14" ht="12.75" customHeight="1" x14ac:dyDescent="0.2">
      <c r="A204" s="215">
        <v>11000</v>
      </c>
      <c r="B204" s="215" t="s">
        <v>277</v>
      </c>
      <c r="C204" s="247">
        <v>11150</v>
      </c>
      <c r="D204" s="215" t="s">
        <v>280</v>
      </c>
      <c r="E204" s="215" t="s">
        <v>206</v>
      </c>
      <c r="F204" s="215"/>
      <c r="G204" s="215">
        <v>0</v>
      </c>
      <c r="H204" s="215">
        <v>4</v>
      </c>
      <c r="I204" s="216">
        <v>146</v>
      </c>
      <c r="J204" s="215">
        <v>0</v>
      </c>
      <c r="K204" s="215">
        <v>150</v>
      </c>
      <c r="L204" s="217">
        <v>146</v>
      </c>
      <c r="M204" s="217"/>
      <c r="N204" s="217">
        <v>506.8</v>
      </c>
    </row>
    <row r="205" spans="1:14" ht="12.75" customHeight="1" x14ac:dyDescent="0.2">
      <c r="A205" s="218">
        <v>11000</v>
      </c>
      <c r="B205" s="218" t="s">
        <v>277</v>
      </c>
      <c r="C205" s="248"/>
      <c r="D205" s="218"/>
      <c r="E205" s="218" t="s">
        <v>200</v>
      </c>
      <c r="F205" s="218"/>
      <c r="G205" s="218">
        <f>G196+G198+G202</f>
        <v>92</v>
      </c>
      <c r="H205" s="218">
        <f t="shared" ref="H205:N205" si="4">H196+H198+H202</f>
        <v>1</v>
      </c>
      <c r="I205" s="219">
        <f t="shared" si="4"/>
        <v>76</v>
      </c>
      <c r="J205" s="218">
        <f t="shared" si="4"/>
        <v>0</v>
      </c>
      <c r="K205" s="218">
        <f t="shared" si="4"/>
        <v>169</v>
      </c>
      <c r="L205" s="220">
        <f t="shared" si="4"/>
        <v>168</v>
      </c>
      <c r="M205" s="220">
        <f t="shared" si="4"/>
        <v>0</v>
      </c>
      <c r="N205" s="220">
        <f t="shared" si="4"/>
        <v>588</v>
      </c>
    </row>
    <row r="206" spans="1:14" ht="12.75" customHeight="1" x14ac:dyDescent="0.2">
      <c r="A206" s="218">
        <v>11000</v>
      </c>
      <c r="B206" s="218" t="s">
        <v>277</v>
      </c>
      <c r="C206" s="248"/>
      <c r="D206" s="218"/>
      <c r="E206" s="218" t="s">
        <v>204</v>
      </c>
      <c r="F206" s="218"/>
      <c r="G206" s="218">
        <v>0</v>
      </c>
      <c r="H206" s="218">
        <v>0</v>
      </c>
      <c r="I206" s="219">
        <v>2</v>
      </c>
      <c r="J206" s="218">
        <v>0</v>
      </c>
      <c r="K206" s="218">
        <v>2</v>
      </c>
      <c r="L206" s="220">
        <v>2</v>
      </c>
      <c r="M206" s="220"/>
      <c r="N206" s="220">
        <v>5.6</v>
      </c>
    </row>
    <row r="207" spans="1:14" ht="12.75" customHeight="1" x14ac:dyDescent="0.2">
      <c r="A207" s="218">
        <v>11000</v>
      </c>
      <c r="B207" s="218" t="s">
        <v>277</v>
      </c>
      <c r="C207" s="248"/>
      <c r="D207" s="218"/>
      <c r="E207" s="218" t="s">
        <v>206</v>
      </c>
      <c r="F207" s="218"/>
      <c r="G207" s="218">
        <v>0</v>
      </c>
      <c r="H207" s="218">
        <v>20</v>
      </c>
      <c r="I207" s="219">
        <v>593</v>
      </c>
      <c r="J207" s="218">
        <v>4</v>
      </c>
      <c r="K207" s="218">
        <v>617</v>
      </c>
      <c r="L207" s="220">
        <v>595</v>
      </c>
      <c r="M207" s="220"/>
      <c r="N207" s="220">
        <v>2076.9</v>
      </c>
    </row>
    <row r="208" spans="1:14" ht="12.75" customHeight="1" x14ac:dyDescent="0.2">
      <c r="A208" s="221">
        <v>11000</v>
      </c>
      <c r="B208" s="221" t="s">
        <v>277</v>
      </c>
      <c r="C208" s="249"/>
      <c r="D208" s="221"/>
      <c r="E208" s="221"/>
      <c r="F208" s="221"/>
      <c r="G208" s="221">
        <v>110</v>
      </c>
      <c r="H208" s="221">
        <v>21</v>
      </c>
      <c r="I208" s="222">
        <v>671</v>
      </c>
      <c r="J208" s="221">
        <v>4</v>
      </c>
      <c r="K208" s="221">
        <f>SUM(K205:K207)</f>
        <v>788</v>
      </c>
      <c r="L208" s="223">
        <f>SUM(L205:L207)</f>
        <v>765</v>
      </c>
      <c r="M208" s="223"/>
      <c r="N208" s="223">
        <f>SUM(N205:N207)</f>
        <v>2670.5</v>
      </c>
    </row>
    <row r="209" spans="1:14" ht="12.75" customHeight="1" x14ac:dyDescent="0.2">
      <c r="A209" s="215">
        <v>14000</v>
      </c>
      <c r="B209" s="215" t="s">
        <v>83</v>
      </c>
      <c r="C209" s="247">
        <v>14110</v>
      </c>
      <c r="D209" s="215" t="s">
        <v>281</v>
      </c>
      <c r="E209" s="215" t="s">
        <v>200</v>
      </c>
      <c r="F209" s="215"/>
      <c r="G209" s="215">
        <v>51</v>
      </c>
      <c r="H209" s="215">
        <v>2</v>
      </c>
      <c r="I209" s="216">
        <v>29</v>
      </c>
      <c r="J209" s="215">
        <v>0</v>
      </c>
      <c r="K209" s="215">
        <v>82</v>
      </c>
      <c r="L209" s="217">
        <v>80</v>
      </c>
      <c r="M209" s="217"/>
      <c r="N209" s="217">
        <v>280</v>
      </c>
    </row>
    <row r="210" spans="1:14" ht="12.75" customHeight="1" x14ac:dyDescent="0.2">
      <c r="A210" s="215">
        <v>14000</v>
      </c>
      <c r="B210" s="215" t="s">
        <v>83</v>
      </c>
      <c r="C210" s="247">
        <v>14110</v>
      </c>
      <c r="D210" s="215" t="s">
        <v>281</v>
      </c>
      <c r="E210" s="215" t="s">
        <v>204</v>
      </c>
      <c r="F210" s="215"/>
      <c r="G210" s="215">
        <v>0</v>
      </c>
      <c r="H210" s="215">
        <v>0</v>
      </c>
      <c r="I210" s="216">
        <v>2</v>
      </c>
      <c r="J210" s="215">
        <v>0</v>
      </c>
      <c r="K210" s="215">
        <v>2</v>
      </c>
      <c r="L210" s="217">
        <v>2</v>
      </c>
      <c r="M210" s="217"/>
      <c r="N210" s="217">
        <v>5.6</v>
      </c>
    </row>
    <row r="211" spans="1:14" ht="12.75" customHeight="1" x14ac:dyDescent="0.2">
      <c r="A211" s="215">
        <v>14000</v>
      </c>
      <c r="B211" s="215" t="s">
        <v>83</v>
      </c>
      <c r="C211" s="247">
        <v>14110</v>
      </c>
      <c r="D211" s="215" t="s">
        <v>281</v>
      </c>
      <c r="E211" s="215" t="s">
        <v>206</v>
      </c>
      <c r="F211" s="215"/>
      <c r="G211" s="215">
        <v>0</v>
      </c>
      <c r="H211" s="215">
        <v>12</v>
      </c>
      <c r="I211" s="216">
        <v>288</v>
      </c>
      <c r="J211" s="215">
        <v>3</v>
      </c>
      <c r="K211" s="215">
        <v>303</v>
      </c>
      <c r="L211" s="217">
        <v>289.5</v>
      </c>
      <c r="M211" s="217"/>
      <c r="N211" s="217">
        <v>1002.05</v>
      </c>
    </row>
    <row r="212" spans="1:14" ht="12.75" customHeight="1" x14ac:dyDescent="0.2">
      <c r="A212" s="218">
        <v>14000</v>
      </c>
      <c r="B212" s="218" t="s">
        <v>83</v>
      </c>
      <c r="C212" s="248"/>
      <c r="D212" s="218"/>
      <c r="E212" s="218" t="s">
        <v>200</v>
      </c>
      <c r="F212" s="218"/>
      <c r="G212" s="218">
        <v>51</v>
      </c>
      <c r="H212" s="218">
        <v>2</v>
      </c>
      <c r="I212" s="219">
        <v>29</v>
      </c>
      <c r="J212" s="218">
        <v>0</v>
      </c>
      <c r="K212" s="218">
        <v>82</v>
      </c>
      <c r="L212" s="220">
        <v>80</v>
      </c>
      <c r="M212" s="220"/>
      <c r="N212" s="220">
        <v>280</v>
      </c>
    </row>
    <row r="213" spans="1:14" ht="12.75" customHeight="1" x14ac:dyDescent="0.2">
      <c r="A213" s="218">
        <v>14000</v>
      </c>
      <c r="B213" s="218" t="s">
        <v>83</v>
      </c>
      <c r="C213" s="248"/>
      <c r="D213" s="218"/>
      <c r="E213" s="218" t="s">
        <v>204</v>
      </c>
      <c r="F213" s="218"/>
      <c r="G213" s="218">
        <v>0</v>
      </c>
      <c r="H213" s="218">
        <v>0</v>
      </c>
      <c r="I213" s="219">
        <v>2</v>
      </c>
      <c r="J213" s="218">
        <v>0</v>
      </c>
      <c r="K213" s="218">
        <v>2</v>
      </c>
      <c r="L213" s="220">
        <v>2</v>
      </c>
      <c r="M213" s="220"/>
      <c r="N213" s="220">
        <v>5.6</v>
      </c>
    </row>
    <row r="214" spans="1:14" ht="12.75" customHeight="1" x14ac:dyDescent="0.2">
      <c r="A214" s="218">
        <v>14000</v>
      </c>
      <c r="B214" s="218" t="s">
        <v>83</v>
      </c>
      <c r="C214" s="248"/>
      <c r="D214" s="218"/>
      <c r="E214" s="218" t="s">
        <v>206</v>
      </c>
      <c r="F214" s="218"/>
      <c r="G214" s="218">
        <v>0</v>
      </c>
      <c r="H214" s="218">
        <v>12</v>
      </c>
      <c r="I214" s="219">
        <v>288</v>
      </c>
      <c r="J214" s="218">
        <v>3</v>
      </c>
      <c r="K214" s="218">
        <v>303</v>
      </c>
      <c r="L214" s="220">
        <v>289.5</v>
      </c>
      <c r="M214" s="220"/>
      <c r="N214" s="220">
        <v>1002.05</v>
      </c>
    </row>
    <row r="215" spans="1:14" ht="12.75" customHeight="1" x14ac:dyDescent="0.2">
      <c r="A215" s="221">
        <v>14000</v>
      </c>
      <c r="B215" s="221" t="s">
        <v>83</v>
      </c>
      <c r="C215" s="249"/>
      <c r="D215" s="221"/>
      <c r="E215" s="221"/>
      <c r="F215" s="221"/>
      <c r="G215" s="221">
        <v>51</v>
      </c>
      <c r="H215" s="221">
        <v>14</v>
      </c>
      <c r="I215" s="222">
        <v>319</v>
      </c>
      <c r="J215" s="221">
        <v>3</v>
      </c>
      <c r="K215" s="221">
        <f>SUM(K212:K214)</f>
        <v>387</v>
      </c>
      <c r="L215" s="223">
        <f>SUM(L212:L214)</f>
        <v>371.5</v>
      </c>
      <c r="M215" s="223"/>
      <c r="N215" s="223">
        <f>SUM(N212:N214)</f>
        <v>1287.6500000000001</v>
      </c>
    </row>
    <row r="216" spans="1:14" ht="12.75" customHeight="1" x14ac:dyDescent="0.2">
      <c r="A216" s="215">
        <v>15000</v>
      </c>
      <c r="B216" s="215" t="s">
        <v>282</v>
      </c>
      <c r="C216" s="247">
        <v>15110</v>
      </c>
      <c r="D216" s="215" t="s">
        <v>281</v>
      </c>
      <c r="E216" s="215" t="s">
        <v>200</v>
      </c>
      <c r="F216" s="215"/>
      <c r="G216" s="215">
        <v>49</v>
      </c>
      <c r="H216" s="215">
        <v>1</v>
      </c>
      <c r="I216" s="216">
        <v>41</v>
      </c>
      <c r="J216" s="215">
        <v>0</v>
      </c>
      <c r="K216" s="215">
        <v>91</v>
      </c>
      <c r="L216" s="217">
        <v>90</v>
      </c>
      <c r="M216" s="217"/>
      <c r="N216" s="217">
        <v>315</v>
      </c>
    </row>
    <row r="217" spans="1:14" ht="12.75" customHeight="1" x14ac:dyDescent="0.2">
      <c r="A217" s="215">
        <v>15000</v>
      </c>
      <c r="B217" s="215" t="s">
        <v>282</v>
      </c>
      <c r="C217" s="247">
        <v>15110</v>
      </c>
      <c r="D217" s="215" t="s">
        <v>281</v>
      </c>
      <c r="E217" s="215" t="s">
        <v>206</v>
      </c>
      <c r="F217" s="215"/>
      <c r="G217" s="215">
        <v>0</v>
      </c>
      <c r="H217" s="215">
        <v>7</v>
      </c>
      <c r="I217" s="216">
        <v>321</v>
      </c>
      <c r="J217" s="215">
        <v>0</v>
      </c>
      <c r="K217" s="215">
        <v>328</v>
      </c>
      <c r="L217" s="217">
        <v>321</v>
      </c>
      <c r="M217" s="217"/>
      <c r="N217" s="217">
        <v>1123.5</v>
      </c>
    </row>
    <row r="218" spans="1:14" ht="12.75" customHeight="1" x14ac:dyDescent="0.2">
      <c r="A218" s="218">
        <v>15000</v>
      </c>
      <c r="B218" s="218" t="s">
        <v>282</v>
      </c>
      <c r="C218" s="248"/>
      <c r="D218" s="218"/>
      <c r="E218" s="218" t="s">
        <v>200</v>
      </c>
      <c r="F218" s="218"/>
      <c r="G218" s="218">
        <v>49</v>
      </c>
      <c r="H218" s="218">
        <v>1</v>
      </c>
      <c r="I218" s="219">
        <v>41</v>
      </c>
      <c r="J218" s="218">
        <v>0</v>
      </c>
      <c r="K218" s="218">
        <v>91</v>
      </c>
      <c r="L218" s="220">
        <v>90</v>
      </c>
      <c r="M218" s="220"/>
      <c r="N218" s="220">
        <v>315</v>
      </c>
    </row>
    <row r="219" spans="1:14" ht="12.75" customHeight="1" x14ac:dyDescent="0.2">
      <c r="A219" s="218">
        <v>15000</v>
      </c>
      <c r="B219" s="218" t="s">
        <v>282</v>
      </c>
      <c r="C219" s="248"/>
      <c r="D219" s="218"/>
      <c r="E219" s="218" t="s">
        <v>206</v>
      </c>
      <c r="F219" s="218"/>
      <c r="G219" s="218">
        <v>0</v>
      </c>
      <c r="H219" s="218">
        <v>7</v>
      </c>
      <c r="I219" s="219">
        <v>321</v>
      </c>
      <c r="J219" s="218">
        <v>0</v>
      </c>
      <c r="K219" s="218">
        <v>328</v>
      </c>
      <c r="L219" s="220">
        <v>321</v>
      </c>
      <c r="M219" s="220"/>
      <c r="N219" s="220">
        <v>1123.5</v>
      </c>
    </row>
    <row r="220" spans="1:14" ht="12.75" customHeight="1" thickBot="1" x14ac:dyDescent="0.25">
      <c r="A220" s="224">
        <v>15000</v>
      </c>
      <c r="B220" s="224" t="s">
        <v>282</v>
      </c>
      <c r="C220" s="250"/>
      <c r="D220" s="224"/>
      <c r="E220" s="224"/>
      <c r="F220" s="224"/>
      <c r="G220" s="224">
        <v>49</v>
      </c>
      <c r="H220" s="224">
        <v>8</v>
      </c>
      <c r="I220" s="225">
        <v>362</v>
      </c>
      <c r="J220" s="224">
        <v>0</v>
      </c>
      <c r="K220" s="224">
        <f>SUM(K218:K219)</f>
        <v>419</v>
      </c>
      <c r="L220" s="226">
        <f>SUM(L218:L219)</f>
        <v>411</v>
      </c>
      <c r="M220" s="226"/>
      <c r="N220" s="226">
        <f>SUM(N218:N219)</f>
        <v>1438.5</v>
      </c>
    </row>
    <row r="221" spans="1:14" ht="12.75" customHeight="1" thickBot="1" x14ac:dyDescent="0.25">
      <c r="A221" s="227"/>
      <c r="B221" s="228"/>
      <c r="C221" s="251"/>
      <c r="D221" s="228"/>
      <c r="E221" s="228" t="s">
        <v>283</v>
      </c>
      <c r="F221" s="228"/>
      <c r="G221" s="228"/>
      <c r="H221" s="228"/>
      <c r="I221" s="229"/>
      <c r="J221" s="228"/>
      <c r="K221" s="228">
        <f>K208+K215+K220</f>
        <v>1594</v>
      </c>
      <c r="L221" s="228">
        <f>L208+L215+L220</f>
        <v>1547.5</v>
      </c>
      <c r="M221" s="228">
        <f t="shared" ref="M221:N221" si="5">M208+M215+M220</f>
        <v>0</v>
      </c>
      <c r="N221" s="228">
        <f t="shared" si="5"/>
        <v>5396.65</v>
      </c>
    </row>
    <row r="222" spans="1:14" s="70" customFormat="1" x14ac:dyDescent="0.2">
      <c r="C222" s="233"/>
      <c r="I222" s="184"/>
    </row>
    <row r="223" spans="1:14" s="70" customFormat="1" x14ac:dyDescent="0.2">
      <c r="C223" s="233"/>
      <c r="I223" s="184"/>
    </row>
    <row r="224" spans="1:14" x14ac:dyDescent="0.2">
      <c r="A224" s="70"/>
      <c r="B224" s="70"/>
      <c r="C224" s="233"/>
      <c r="D224" s="70"/>
      <c r="E224" s="70"/>
      <c r="F224" s="70"/>
      <c r="G224" s="70"/>
      <c r="H224" s="70"/>
      <c r="I224" s="184"/>
      <c r="J224" s="230"/>
      <c r="K224" s="231"/>
      <c r="L224" s="230"/>
      <c r="N224" s="75"/>
    </row>
    <row r="225" spans="1:14" x14ac:dyDescent="0.2">
      <c r="A225" s="70"/>
      <c r="B225" s="70"/>
      <c r="C225" s="233"/>
      <c r="D225" s="70"/>
      <c r="E225" s="70"/>
      <c r="F225" s="70"/>
      <c r="G225" s="70"/>
      <c r="H225" s="70"/>
      <c r="I225" s="184" t="s">
        <v>284</v>
      </c>
      <c r="J225" s="184">
        <f>I203+I204+I209+I210+I213+I214+I215+I216+I219+I220</f>
        <v>1512</v>
      </c>
      <c r="K225" s="184">
        <f>J203+J204+J209+J210+J213+J214+J215+J216+J219+J220</f>
        <v>6</v>
      </c>
      <c r="L225" s="184">
        <f>K203+K204+K209+K210+K213+K214+K215+K216+K219+K220</f>
        <v>1766</v>
      </c>
      <c r="N225" s="75"/>
    </row>
    <row r="226" spans="1:14" x14ac:dyDescent="0.2">
      <c r="A226" s="70"/>
      <c r="B226" s="70"/>
      <c r="C226" s="233"/>
      <c r="D226" s="70"/>
      <c r="E226" s="70"/>
      <c r="F226" s="70"/>
      <c r="G226" s="70"/>
      <c r="H226" s="70"/>
      <c r="I226" s="184" t="s">
        <v>284</v>
      </c>
      <c r="J226" s="184">
        <f>SUM(I194:I200)+SUM(I205:I208)+SUM(I213:I216)+SUM(I219:I220)</f>
        <v>3198</v>
      </c>
      <c r="K226" s="184">
        <f>SUM(J194:J200)+SUM(J205:J208)+SUM(J213:J216)+SUM(J219:J220)</f>
        <v>18</v>
      </c>
      <c r="L226" s="184">
        <f>SUM(K194:K200)+SUM(K205:K208)+SUM(K213:K216)+SUM(K219:K220)</f>
        <v>3760</v>
      </c>
      <c r="N226" s="75"/>
    </row>
  </sheetData>
  <autoFilter ref="A12:N180"/>
  <mergeCells count="2">
    <mergeCell ref="A3:B3"/>
    <mergeCell ref="E4:N5"/>
  </mergeCells>
  <printOptions horizontalCentered="1"/>
  <pageMargins left="0.19685039370078741" right="0.19685039370078741" top="0.39370078740157483" bottom="0.31496062992125984" header="3.937007874015748E-2" footer="3.937007874015748E-2"/>
  <pageSetup paperSize="9" scale="62" fitToHeight="4" orientation="landscape" r:id="rId1"/>
  <headerFooter alignWithMargins="0"/>
  <rowBreaks count="3" manualBreakCount="3">
    <brk id="56" max="13" man="1"/>
    <brk id="116" max="13" man="1"/>
    <brk id="17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47"/>
  <sheetViews>
    <sheetView tabSelected="1" zoomScale="98" zoomScaleNormal="98" workbookViewId="0">
      <pane xSplit="2" ySplit="6" topLeftCell="C7" activePane="bottomRight" state="frozen"/>
      <selection activeCell="L33" sqref="L33"/>
      <selection pane="topRight" activeCell="L33" sqref="L33"/>
      <selection pane="bottomLeft" activeCell="L33" sqref="L33"/>
      <selection pane="bottomRight" activeCell="C87" sqref="C87"/>
    </sheetView>
  </sheetViews>
  <sheetFormatPr defaultColWidth="7.7109375" defaultRowHeight="15" x14ac:dyDescent="0.25"/>
  <cols>
    <col min="1" max="1" width="5.7109375" style="29" customWidth="1"/>
    <col min="2" max="2" width="11" style="29" customWidth="1"/>
    <col min="3" max="3" width="8.42578125" style="29" customWidth="1"/>
    <col min="4" max="4" width="7.140625" style="29" customWidth="1"/>
    <col min="5" max="5" width="7.5703125" style="29" customWidth="1"/>
    <col min="6" max="6" width="7.42578125" style="29" customWidth="1"/>
    <col min="7" max="7" width="9.140625" style="339" customWidth="1"/>
    <col min="8" max="8" width="7.28515625" style="339" customWidth="1"/>
    <col min="9" max="9" width="8.85546875" style="339" customWidth="1"/>
    <col min="10" max="10" width="7.42578125" style="339" customWidth="1"/>
    <col min="11" max="11" width="2.28515625" style="339" customWidth="1"/>
    <col min="12" max="14" width="7.42578125" style="339" hidden="1" customWidth="1"/>
    <col min="15" max="15" width="8.140625" style="339" customWidth="1"/>
    <col min="16" max="16" width="8.7109375" style="29" hidden="1" customWidth="1"/>
    <col min="17" max="17" width="8.85546875" style="29" hidden="1" customWidth="1"/>
    <col min="18" max="18" width="8.140625" style="29" hidden="1" customWidth="1"/>
    <col min="19" max="19" width="8" style="29" hidden="1" customWidth="1"/>
    <col min="20" max="20" width="7.85546875" style="29" hidden="1" customWidth="1"/>
    <col min="21" max="21" width="8" style="29" hidden="1" customWidth="1"/>
    <col min="22" max="22" width="8" style="29" customWidth="1"/>
    <col min="23" max="23" width="6.7109375" style="29" customWidth="1"/>
    <col min="24" max="24" width="2.42578125" style="343" customWidth="1"/>
    <col min="25" max="30" width="6.7109375" style="29" hidden="1" customWidth="1"/>
    <col min="31" max="31" width="6.7109375" style="29" customWidth="1"/>
    <col min="32" max="32" width="6.28515625" style="29" customWidth="1"/>
    <col min="33" max="33" width="7.5703125" style="29" hidden="1" customWidth="1"/>
    <col min="34" max="34" width="6.7109375" style="29" hidden="1" customWidth="1"/>
    <col min="35" max="35" width="7.140625" style="29" hidden="1" customWidth="1"/>
    <col min="36" max="37" width="6.7109375" style="29" hidden="1" customWidth="1"/>
    <col min="38" max="38" width="7.7109375" style="29" hidden="1" customWidth="1"/>
    <col min="39" max="39" width="6.42578125" style="29" customWidth="1"/>
    <col min="40" max="40" width="6.7109375" style="29" customWidth="1"/>
    <col min="41" max="41" width="8.5703125" style="29" hidden="1" customWidth="1"/>
    <col min="42" max="42" width="6.7109375" style="29" hidden="1" customWidth="1"/>
    <col min="43" max="43" width="7.85546875" style="29" hidden="1" customWidth="1"/>
    <col min="44" max="44" width="6.7109375" style="29" hidden="1" customWidth="1"/>
    <col min="45" max="46" width="7.5703125" style="29" hidden="1" customWidth="1"/>
    <col min="47" max="47" width="8.42578125" style="29" customWidth="1"/>
    <col min="48" max="48" width="7" style="29" customWidth="1"/>
    <col min="49" max="50" width="8.28515625" style="29" hidden="1" customWidth="1"/>
    <col min="51" max="51" width="7.7109375" style="29" hidden="1" customWidth="1"/>
    <col min="52" max="54" width="6.7109375" style="29" hidden="1" customWidth="1"/>
    <col min="55" max="55" width="8.5703125" style="29" customWidth="1"/>
    <col min="56" max="56" width="6.7109375" style="29" customWidth="1"/>
    <col min="57" max="57" width="2.140625" style="336" customWidth="1"/>
    <col min="58" max="58" width="8.28515625" style="29" customWidth="1"/>
    <col min="59" max="59" width="8.85546875" style="29" customWidth="1"/>
    <col min="60" max="60" width="3.7109375" style="29" customWidth="1"/>
    <col min="61" max="61" width="9.85546875" style="29" customWidth="1"/>
    <col min="62" max="16384" width="7.7109375" style="29"/>
  </cols>
  <sheetData>
    <row r="1" spans="1:59" ht="19.5" x14ac:dyDescent="0.25">
      <c r="A1" s="354" t="s">
        <v>312</v>
      </c>
    </row>
    <row r="2" spans="1:59" x14ac:dyDescent="0.25">
      <c r="A2" s="587" t="s">
        <v>329</v>
      </c>
      <c r="B2" s="587"/>
    </row>
    <row r="3" spans="1:59" ht="15.75" thickBot="1" x14ac:dyDescent="0.3"/>
    <row r="4" spans="1:59" s="336" customFormat="1" ht="23.25" customHeight="1" x14ac:dyDescent="0.25">
      <c r="A4" s="993" t="s">
        <v>57</v>
      </c>
      <c r="B4" s="994"/>
      <c r="C4" s="999" t="s">
        <v>308</v>
      </c>
      <c r="D4" s="1000"/>
      <c r="E4" s="1000"/>
      <c r="F4" s="1000"/>
      <c r="G4" s="1000"/>
      <c r="H4" s="1000"/>
      <c r="I4" s="1000"/>
      <c r="J4" s="1001"/>
      <c r="K4" s="27"/>
      <c r="L4" s="1006" t="s">
        <v>309</v>
      </c>
      <c r="M4" s="1007"/>
      <c r="N4" s="1007"/>
      <c r="O4" s="1007"/>
      <c r="P4" s="1007"/>
      <c r="Q4" s="1007"/>
      <c r="R4" s="1007"/>
      <c r="S4" s="1007"/>
      <c r="T4" s="1007"/>
      <c r="U4" s="1007"/>
      <c r="V4" s="1007"/>
      <c r="W4" s="1008"/>
      <c r="Y4" s="1022" t="s">
        <v>58</v>
      </c>
      <c r="Z4" s="1023"/>
      <c r="AA4" s="1023"/>
      <c r="AB4" s="1023"/>
      <c r="AC4" s="1023"/>
      <c r="AD4" s="1023"/>
      <c r="AE4" s="1023"/>
      <c r="AF4" s="1023"/>
      <c r="AG4" s="1023"/>
      <c r="AH4" s="1023"/>
      <c r="AI4" s="1023"/>
      <c r="AJ4" s="1023"/>
      <c r="AK4" s="1023"/>
      <c r="AL4" s="1023"/>
      <c r="AM4" s="1023"/>
      <c r="AN4" s="1023"/>
      <c r="AO4" s="1023"/>
      <c r="AP4" s="1023"/>
      <c r="AQ4" s="1023"/>
      <c r="AR4" s="1023"/>
      <c r="AS4" s="1023"/>
      <c r="AT4" s="1023"/>
      <c r="AU4" s="1023"/>
      <c r="AV4" s="1023"/>
      <c r="AW4" s="1023"/>
      <c r="AX4" s="1023"/>
      <c r="AY4" s="1023"/>
      <c r="AZ4" s="1023"/>
      <c r="BA4" s="1023"/>
      <c r="BB4" s="1023"/>
      <c r="BC4" s="1023"/>
      <c r="BD4" s="1024"/>
      <c r="BF4" s="1025" t="s">
        <v>311</v>
      </c>
      <c r="BG4" s="1028" t="s">
        <v>310</v>
      </c>
    </row>
    <row r="5" spans="1:59" s="340" customFormat="1" ht="27" customHeight="1" x14ac:dyDescent="0.25">
      <c r="A5" s="995"/>
      <c r="B5" s="996"/>
      <c r="C5" s="1002" t="s">
        <v>59</v>
      </c>
      <c r="D5" s="1003"/>
      <c r="E5" s="1003" t="s">
        <v>60</v>
      </c>
      <c r="F5" s="1003"/>
      <c r="G5" s="1003" t="s">
        <v>61</v>
      </c>
      <c r="H5" s="1003"/>
      <c r="I5" s="1003" t="s">
        <v>62</v>
      </c>
      <c r="J5" s="1009"/>
      <c r="K5" s="28"/>
      <c r="L5" s="977" t="s">
        <v>63</v>
      </c>
      <c r="M5" s="978"/>
      <c r="N5" s="978"/>
      <c r="O5" s="975" t="s">
        <v>327</v>
      </c>
      <c r="P5" s="1011" t="s">
        <v>191</v>
      </c>
      <c r="Q5" s="1012"/>
      <c r="R5" s="1012"/>
      <c r="S5" s="1012"/>
      <c r="T5" s="1012"/>
      <c r="U5" s="1013"/>
      <c r="V5" s="1014" t="s">
        <v>112</v>
      </c>
      <c r="W5" s="1015"/>
      <c r="Y5" s="987" t="s">
        <v>64</v>
      </c>
      <c r="Z5" s="988"/>
      <c r="AA5" s="988"/>
      <c r="AB5" s="988"/>
      <c r="AC5" s="988"/>
      <c r="AD5" s="989"/>
      <c r="AE5" s="979" t="s">
        <v>64</v>
      </c>
      <c r="AF5" s="980"/>
      <c r="AG5" s="1018" t="s">
        <v>65</v>
      </c>
      <c r="AH5" s="988"/>
      <c r="AI5" s="988"/>
      <c r="AJ5" s="988"/>
      <c r="AK5" s="988"/>
      <c r="AL5" s="989"/>
      <c r="AM5" s="979" t="s">
        <v>65</v>
      </c>
      <c r="AN5" s="980"/>
      <c r="AO5" s="1018" t="s">
        <v>66</v>
      </c>
      <c r="AP5" s="988"/>
      <c r="AQ5" s="988"/>
      <c r="AR5" s="988"/>
      <c r="AS5" s="988"/>
      <c r="AT5" s="989"/>
      <c r="AU5" s="979" t="s">
        <v>66</v>
      </c>
      <c r="AV5" s="980"/>
      <c r="AW5" s="1018" t="s">
        <v>67</v>
      </c>
      <c r="AX5" s="988"/>
      <c r="AY5" s="988"/>
      <c r="AZ5" s="988"/>
      <c r="BA5" s="988"/>
      <c r="BB5" s="989"/>
      <c r="BC5" s="979" t="s">
        <v>67</v>
      </c>
      <c r="BD5" s="1031"/>
      <c r="BF5" s="1026"/>
      <c r="BG5" s="1029"/>
    </row>
    <row r="6" spans="1:59" s="336" customFormat="1" ht="18" customHeight="1" thickBot="1" x14ac:dyDescent="0.3">
      <c r="A6" s="997"/>
      <c r="B6" s="998"/>
      <c r="C6" s="1004"/>
      <c r="D6" s="1005"/>
      <c r="E6" s="1005"/>
      <c r="F6" s="1005"/>
      <c r="G6" s="1005"/>
      <c r="H6" s="1005"/>
      <c r="I6" s="1005"/>
      <c r="J6" s="1010"/>
      <c r="K6" s="28"/>
      <c r="L6" s="503" t="s">
        <v>68</v>
      </c>
      <c r="M6" s="504" t="s">
        <v>69</v>
      </c>
      <c r="N6" s="521" t="s">
        <v>70</v>
      </c>
      <c r="O6" s="976"/>
      <c r="P6" s="1020" t="s">
        <v>72</v>
      </c>
      <c r="Q6" s="1021"/>
      <c r="R6" s="1021" t="s">
        <v>73</v>
      </c>
      <c r="S6" s="1021"/>
      <c r="T6" s="1021" t="s">
        <v>74</v>
      </c>
      <c r="U6" s="1016"/>
      <c r="V6" s="1016"/>
      <c r="W6" s="1017"/>
      <c r="Y6" s="985" t="s">
        <v>75</v>
      </c>
      <c r="Z6" s="986"/>
      <c r="AA6" s="986" t="s">
        <v>76</v>
      </c>
      <c r="AB6" s="986"/>
      <c r="AC6" s="986" t="s">
        <v>77</v>
      </c>
      <c r="AD6" s="992"/>
      <c r="AE6" s="981"/>
      <c r="AF6" s="982"/>
      <c r="AG6" s="1019" t="s">
        <v>75</v>
      </c>
      <c r="AH6" s="986"/>
      <c r="AI6" s="986" t="s">
        <v>76</v>
      </c>
      <c r="AJ6" s="986"/>
      <c r="AK6" s="986" t="s">
        <v>77</v>
      </c>
      <c r="AL6" s="992"/>
      <c r="AM6" s="981"/>
      <c r="AN6" s="982"/>
      <c r="AO6" s="1019" t="s">
        <v>75</v>
      </c>
      <c r="AP6" s="986"/>
      <c r="AQ6" s="986" t="s">
        <v>76</v>
      </c>
      <c r="AR6" s="986"/>
      <c r="AS6" s="986" t="s">
        <v>77</v>
      </c>
      <c r="AT6" s="992"/>
      <c r="AU6" s="981"/>
      <c r="AV6" s="982"/>
      <c r="AW6" s="1019" t="s">
        <v>75</v>
      </c>
      <c r="AX6" s="986"/>
      <c r="AY6" s="986" t="s">
        <v>76</v>
      </c>
      <c r="AZ6" s="986"/>
      <c r="BA6" s="986" t="s">
        <v>77</v>
      </c>
      <c r="BB6" s="992"/>
      <c r="BC6" s="981"/>
      <c r="BD6" s="1032"/>
      <c r="BF6" s="1027"/>
      <c r="BG6" s="1030"/>
    </row>
    <row r="7" spans="1:59" s="336" customFormat="1" ht="12.75" customHeight="1" thickBot="1" x14ac:dyDescent="0.3">
      <c r="A7" s="990" t="s">
        <v>78</v>
      </c>
      <c r="B7" s="991"/>
      <c r="C7" s="430"/>
      <c r="D7" s="492">
        <f>'Tab.5_VKM pro K'!C9</f>
        <v>0.29299999999999998</v>
      </c>
      <c r="E7" s="431"/>
      <c r="F7" s="492">
        <f>'Tab.5_VKM pro K'!C10</f>
        <v>1.7000000000000001E-2</v>
      </c>
      <c r="G7" s="431"/>
      <c r="H7" s="492">
        <f>'Tab.5_VKM pro K'!C11</f>
        <v>0.05</v>
      </c>
      <c r="I7" s="432"/>
      <c r="J7" s="464">
        <f>'Tab.5_VKM pro K'!C12</f>
        <v>0.03</v>
      </c>
      <c r="K7" s="30"/>
      <c r="L7" s="433"/>
      <c r="M7" s="434"/>
      <c r="N7" s="434"/>
      <c r="O7" s="563">
        <f>'Tab.5_VKM pro K'!C14</f>
        <v>0.02</v>
      </c>
      <c r="P7" s="431"/>
      <c r="Q7" s="435"/>
      <c r="R7" s="431"/>
      <c r="S7" s="435"/>
      <c r="T7" s="431"/>
      <c r="U7" s="435"/>
      <c r="V7" s="522"/>
      <c r="W7" s="436">
        <f>'Tab.5_VKM pro K'!C15</f>
        <v>0.32</v>
      </c>
      <c r="X7" s="335"/>
      <c r="Y7" s="437"/>
      <c r="Z7" s="438"/>
      <c r="AA7" s="434"/>
      <c r="AB7" s="439"/>
      <c r="AC7" s="434"/>
      <c r="AD7" s="438"/>
      <c r="AE7" s="522"/>
      <c r="AF7" s="440">
        <f>'Tab.5_VKM pro K'!C17</f>
        <v>0.02</v>
      </c>
      <c r="AG7" s="570"/>
      <c r="AH7" s="438"/>
      <c r="AI7" s="434"/>
      <c r="AJ7" s="439"/>
      <c r="AK7" s="434"/>
      <c r="AL7" s="438"/>
      <c r="AM7" s="522"/>
      <c r="AN7" s="564">
        <f>'Tab.5_VKM pro K'!C18</f>
        <v>0.03</v>
      </c>
      <c r="AO7" s="570"/>
      <c r="AP7" s="438"/>
      <c r="AQ7" s="434"/>
      <c r="AR7" s="439"/>
      <c r="AS7" s="434"/>
      <c r="AT7" s="438"/>
      <c r="AU7" s="522"/>
      <c r="AV7" s="564">
        <f>'Tab.5_VKM pro K'!C19</f>
        <v>0.11</v>
      </c>
      <c r="AW7" s="570"/>
      <c r="AX7" s="438"/>
      <c r="AY7" s="434"/>
      <c r="AZ7" s="439"/>
      <c r="BA7" s="434"/>
      <c r="BB7" s="438"/>
      <c r="BC7" s="522"/>
      <c r="BD7" s="441">
        <f>'Tab.5_VKM pro K'!C20</f>
        <v>0.11</v>
      </c>
      <c r="BF7" s="572">
        <f>SUM(C7:BD7)</f>
        <v>1</v>
      </c>
      <c r="BG7" s="442">
        <f>Tab.1_Bilance!L18</f>
        <v>3095646</v>
      </c>
    </row>
    <row r="8" spans="1:59" s="337" customFormat="1" ht="12.75" customHeight="1" x14ac:dyDescent="0.25">
      <c r="A8" s="983" t="s">
        <v>79</v>
      </c>
      <c r="B8" s="984"/>
      <c r="C8" s="459"/>
      <c r="D8" s="489">
        <v>1.0000000000000004</v>
      </c>
      <c r="E8" s="460"/>
      <c r="F8" s="489">
        <f>SUM(F9:F34)</f>
        <v>1</v>
      </c>
      <c r="G8" s="460"/>
      <c r="H8" s="489">
        <f>SUM(H9:H34)</f>
        <v>1</v>
      </c>
      <c r="I8" s="462"/>
      <c r="J8" s="465">
        <f>SUM(J9:J34)</f>
        <v>0.99999999999999989</v>
      </c>
      <c r="K8" s="30"/>
      <c r="L8" s="519"/>
      <c r="M8" s="520"/>
      <c r="N8" s="520"/>
      <c r="O8" s="489">
        <f>SUM(O9:O34)</f>
        <v>0.99999999999999989</v>
      </c>
      <c r="P8" s="529"/>
      <c r="Q8" s="526"/>
      <c r="R8" s="532"/>
      <c r="S8" s="526"/>
      <c r="T8" s="532"/>
      <c r="U8" s="461"/>
      <c r="V8" s="532"/>
      <c r="W8" s="463">
        <f>SUM(W9:W34)</f>
        <v>0.99999999999999989</v>
      </c>
      <c r="Y8" s="459"/>
      <c r="Z8" s="526"/>
      <c r="AA8" s="532"/>
      <c r="AB8" s="526"/>
      <c r="AC8" s="532"/>
      <c r="AD8" s="461"/>
      <c r="AE8" s="532"/>
      <c r="AF8" s="461">
        <f>SUM(AF9:AF34)</f>
        <v>1</v>
      </c>
      <c r="AG8" s="529"/>
      <c r="AH8" s="526"/>
      <c r="AI8" s="532"/>
      <c r="AJ8" s="526"/>
      <c r="AK8" s="532"/>
      <c r="AL8" s="461"/>
      <c r="AM8" s="532"/>
      <c r="AN8" s="565">
        <f>SUM(AN9:AN34)</f>
        <v>1</v>
      </c>
      <c r="AO8" s="529"/>
      <c r="AP8" s="526"/>
      <c r="AQ8" s="532"/>
      <c r="AR8" s="526"/>
      <c r="AS8" s="532"/>
      <c r="AT8" s="461"/>
      <c r="AU8" s="532"/>
      <c r="AV8" s="565">
        <f>SUM(AV9:AV34)</f>
        <v>1</v>
      </c>
      <c r="AW8" s="529"/>
      <c r="AX8" s="526"/>
      <c r="AY8" s="532"/>
      <c r="AZ8" s="526"/>
      <c r="BA8" s="532"/>
      <c r="BB8" s="461"/>
      <c r="BC8" s="532"/>
      <c r="BD8" s="463">
        <f>SUM(BD9:BD34)</f>
        <v>1</v>
      </c>
      <c r="BF8" s="573">
        <f>SUM(BF9:BF34)</f>
        <v>1.0000000000000002</v>
      </c>
      <c r="BG8" s="574">
        <f>SUM(BG9:BG34)</f>
        <v>3095646</v>
      </c>
    </row>
    <row r="9" spans="1:59" s="336" customFormat="1" ht="11.25" customHeight="1" x14ac:dyDescent="0.25">
      <c r="A9" s="455">
        <v>11000</v>
      </c>
      <c r="B9" s="456" t="s">
        <v>80</v>
      </c>
      <c r="C9" s="422"/>
      <c r="D9" s="490">
        <f>D65</f>
        <v>0.31557551383700339</v>
      </c>
      <c r="E9" s="31"/>
      <c r="F9" s="490">
        <f>F65</f>
        <v>0</v>
      </c>
      <c r="G9" s="30"/>
      <c r="H9" s="490">
        <f>(H65*5+H93*3+H121*2)/10</f>
        <v>0.25677452622493357</v>
      </c>
      <c r="J9" s="466">
        <f>(J65*5+J93*3+J121*2)/10</f>
        <v>0.29342534473801318</v>
      </c>
      <c r="K9" s="30"/>
      <c r="L9" s="515"/>
      <c r="M9" s="516"/>
      <c r="N9" s="516"/>
      <c r="O9" s="490">
        <f>(O65*5+O93*3+O121*2)/10</f>
        <v>0.21615687000439179</v>
      </c>
      <c r="P9" s="530"/>
      <c r="Q9" s="527"/>
      <c r="R9" s="533"/>
      <c r="S9" s="527"/>
      <c r="T9" s="533"/>
      <c r="U9" s="30"/>
      <c r="V9" s="535"/>
      <c r="W9" s="423">
        <f>W37</f>
        <v>0.14132825699501986</v>
      </c>
      <c r="Y9" s="568"/>
      <c r="Z9" s="527"/>
      <c r="AA9" s="533"/>
      <c r="AB9" s="527"/>
      <c r="AC9" s="533"/>
      <c r="AD9" s="30"/>
      <c r="AE9" s="535"/>
      <c r="AF9" s="30">
        <f>(AF37*5+AF65*3+AF93*2)/10</f>
        <v>0.19357336698773145</v>
      </c>
      <c r="AG9" s="530"/>
      <c r="AH9" s="527"/>
      <c r="AI9" s="533"/>
      <c r="AJ9" s="527"/>
      <c r="AK9" s="533"/>
      <c r="AL9" s="30"/>
      <c r="AM9" s="535"/>
      <c r="AN9" s="566">
        <f>(AN37*5+AN65*3+AN93*2)/10</f>
        <v>0.61891475930827311</v>
      </c>
      <c r="AO9" s="530"/>
      <c r="AP9" s="527"/>
      <c r="AQ9" s="533"/>
      <c r="AR9" s="527"/>
      <c r="AS9" s="533"/>
      <c r="AT9" s="30"/>
      <c r="AU9" s="535"/>
      <c r="AV9" s="566">
        <f>(AV37*5+AV65*3+AV93*2)/10</f>
        <v>0.12334419668825942</v>
      </c>
      <c r="AW9" s="530"/>
      <c r="AX9" s="527"/>
      <c r="AY9" s="533"/>
      <c r="AZ9" s="527"/>
      <c r="BA9" s="533"/>
      <c r="BB9" s="30"/>
      <c r="BC9" s="535"/>
      <c r="BD9" s="423">
        <f>(BD37*5+BD65*3+BD93*2)/10</f>
        <v>0.2724452491128323</v>
      </c>
      <c r="BF9" s="575">
        <f t="shared" ref="BF9:BF34" si="0">SUMPRODUCT(C$7:BD$7,C9:BD9)</f>
        <v>0.22962904100324616</v>
      </c>
      <c r="BG9" s="576">
        <f t="shared" ref="BG9:BG34" si="1">BF9*BG$7</f>
        <v>710850.22226553492</v>
      </c>
    </row>
    <row r="10" spans="1:59" s="336" customFormat="1" ht="11.25" customHeight="1" x14ac:dyDescent="0.25">
      <c r="A10" s="455">
        <v>12000</v>
      </c>
      <c r="B10" s="456" t="s">
        <v>81</v>
      </c>
      <c r="C10" s="422"/>
      <c r="D10" s="490">
        <f t="shared" ref="D10:D34" si="2">D66</f>
        <v>3.585588814575183E-2</v>
      </c>
      <c r="E10" s="31"/>
      <c r="F10" s="490">
        <f t="shared" ref="F10:F34" si="3">F66</f>
        <v>0</v>
      </c>
      <c r="G10" s="30"/>
      <c r="H10" s="490">
        <f t="shared" ref="H10:H34" si="4">(H66*5+H94*3+H122*2)/10</f>
        <v>3.2551875025636431E-2</v>
      </c>
      <c r="J10" s="466">
        <f t="shared" ref="J10:J34" si="5">(J66*5+J94*3+J122*2)/10</f>
        <v>2.3947252023385168E-2</v>
      </c>
      <c r="K10" s="30"/>
      <c r="L10" s="515"/>
      <c r="M10" s="516"/>
      <c r="N10" s="516"/>
      <c r="O10" s="490">
        <f t="shared" ref="O10:O34" si="6">(O66*5+O94*3+O122*2)/10</f>
        <v>2.8122214725128845E-2</v>
      </c>
      <c r="P10" s="530"/>
      <c r="Q10" s="527"/>
      <c r="R10" s="533"/>
      <c r="S10" s="527"/>
      <c r="T10" s="533"/>
      <c r="U10" s="30"/>
      <c r="V10" s="536"/>
      <c r="W10" s="423">
        <f t="shared" ref="W10" si="7">W38</f>
        <v>4.2660671537400413E-2</v>
      </c>
      <c r="Y10" s="568"/>
      <c r="Z10" s="527"/>
      <c r="AA10" s="533"/>
      <c r="AB10" s="527"/>
      <c r="AC10" s="533"/>
      <c r="AD10" s="30"/>
      <c r="AE10" s="536"/>
      <c r="AF10" s="30">
        <f t="shared" ref="AF10:AF34" si="8">(AF38*5+AF66*3+AF94*2)/10</f>
        <v>8.4870699738048439E-3</v>
      </c>
      <c r="AG10" s="530"/>
      <c r="AH10" s="527"/>
      <c r="AI10" s="533"/>
      <c r="AJ10" s="527"/>
      <c r="AK10" s="533"/>
      <c r="AL10" s="30"/>
      <c r="AM10" s="536"/>
      <c r="AN10" s="566">
        <f t="shared" ref="AN10:AN34" si="9">(AN38*5+AN66*3+AN94*2)/10</f>
        <v>0</v>
      </c>
      <c r="AO10" s="530"/>
      <c r="AP10" s="527"/>
      <c r="AQ10" s="533"/>
      <c r="AR10" s="527"/>
      <c r="AS10" s="533"/>
      <c r="AT10" s="30"/>
      <c r="AU10" s="536"/>
      <c r="AV10" s="566">
        <f t="shared" ref="AV10:AV34" si="10">(AV38*5+AV66*3+AV94*2)/10</f>
        <v>2.1944009433030608E-2</v>
      </c>
      <c r="AW10" s="530"/>
      <c r="AX10" s="527"/>
      <c r="AY10" s="533"/>
      <c r="AZ10" s="527"/>
      <c r="BA10" s="533"/>
      <c r="BB10" s="30"/>
      <c r="BC10" s="536"/>
      <c r="BD10" s="423">
        <f t="shared" ref="BD10:BD34" si="11">(BD38*5+BD66*3+BD94*2)/10</f>
        <v>6.3498982777522722E-3</v>
      </c>
      <c r="BF10" s="575">
        <f t="shared" si="0"/>
        <v>3.0347716972821581E-2</v>
      </c>
      <c r="BG10" s="576">
        <f t="shared" si="1"/>
        <v>93945.78865604724</v>
      </c>
    </row>
    <row r="11" spans="1:59" s="336" customFormat="1" ht="11.25" customHeight="1" x14ac:dyDescent="0.25">
      <c r="A11" s="455">
        <v>13000</v>
      </c>
      <c r="B11" s="456" t="s">
        <v>82</v>
      </c>
      <c r="C11" s="422"/>
      <c r="D11" s="490">
        <f t="shared" si="2"/>
        <v>6.5387523183296483E-3</v>
      </c>
      <c r="E11" s="31"/>
      <c r="F11" s="490">
        <f t="shared" si="3"/>
        <v>5.2576113768225033E-2</v>
      </c>
      <c r="G11" s="30"/>
      <c r="H11" s="490">
        <f t="shared" si="4"/>
        <v>8.112994120517341E-3</v>
      </c>
      <c r="J11" s="466">
        <f t="shared" si="5"/>
        <v>1.1873212224645522E-2</v>
      </c>
      <c r="K11" s="30"/>
      <c r="L11" s="515"/>
      <c r="M11" s="516"/>
      <c r="N11" s="516"/>
      <c r="O11" s="490">
        <f t="shared" si="6"/>
        <v>2.1798370346998282E-2</v>
      </c>
      <c r="P11" s="530"/>
      <c r="Q11" s="527"/>
      <c r="R11" s="533"/>
      <c r="S11" s="527"/>
      <c r="T11" s="533"/>
      <c r="U11" s="30"/>
      <c r="V11" s="536"/>
      <c r="W11" s="423">
        <f t="shared" ref="W11" si="12">W39</f>
        <v>2.7760607944200121E-2</v>
      </c>
      <c r="Y11" s="568"/>
      <c r="Z11" s="527"/>
      <c r="AA11" s="533"/>
      <c r="AB11" s="527"/>
      <c r="AC11" s="533"/>
      <c r="AD11" s="30"/>
      <c r="AE11" s="536"/>
      <c r="AF11" s="30">
        <f t="shared" si="8"/>
        <v>8.1590895568859675E-3</v>
      </c>
      <c r="AG11" s="530"/>
      <c r="AH11" s="527"/>
      <c r="AI11" s="533"/>
      <c r="AJ11" s="527"/>
      <c r="AK11" s="533"/>
      <c r="AL11" s="30"/>
      <c r="AM11" s="536"/>
      <c r="AN11" s="566">
        <f t="shared" si="9"/>
        <v>2.0766873809836355E-3</v>
      </c>
      <c r="AO11" s="530"/>
      <c r="AP11" s="527"/>
      <c r="AQ11" s="533"/>
      <c r="AR11" s="527"/>
      <c r="AS11" s="533"/>
      <c r="AT11" s="30"/>
      <c r="AU11" s="536"/>
      <c r="AV11" s="566">
        <f t="shared" si="10"/>
        <v>3.4939861569530342E-2</v>
      </c>
      <c r="AW11" s="530"/>
      <c r="AX11" s="527"/>
      <c r="AY11" s="533"/>
      <c r="AZ11" s="527"/>
      <c r="BA11" s="533"/>
      <c r="BB11" s="30"/>
      <c r="BC11" s="536"/>
      <c r="BD11" s="423">
        <f t="shared" si="11"/>
        <v>1.1779263620724392E-2</v>
      </c>
      <c r="BF11" s="575">
        <f t="shared" si="0"/>
        <v>1.8255442568674899E-2</v>
      </c>
      <c r="BG11" s="576">
        <f t="shared" si="1"/>
        <v>56512.387765948173</v>
      </c>
    </row>
    <row r="12" spans="1:59" s="336" customFormat="1" ht="11.25" customHeight="1" x14ac:dyDescent="0.25">
      <c r="A12" s="455">
        <v>14000</v>
      </c>
      <c r="B12" s="456" t="s">
        <v>83</v>
      </c>
      <c r="C12" s="422"/>
      <c r="D12" s="490">
        <f t="shared" si="2"/>
        <v>0.11876703295590574</v>
      </c>
      <c r="E12" s="31"/>
      <c r="F12" s="490">
        <f t="shared" si="3"/>
        <v>0</v>
      </c>
      <c r="G12" s="30"/>
      <c r="H12" s="490">
        <f t="shared" si="4"/>
        <v>0.10918166284253594</v>
      </c>
      <c r="J12" s="466">
        <f t="shared" si="5"/>
        <v>9.4317650401167685E-2</v>
      </c>
      <c r="K12" s="30"/>
      <c r="L12" s="515"/>
      <c r="M12" s="516"/>
      <c r="N12" s="516"/>
      <c r="O12" s="490">
        <f t="shared" si="6"/>
        <v>9.3885167841763456E-2</v>
      </c>
      <c r="P12" s="530"/>
      <c r="Q12" s="527"/>
      <c r="R12" s="533"/>
      <c r="S12" s="527"/>
      <c r="T12" s="533"/>
      <c r="U12" s="30"/>
      <c r="V12" s="536"/>
      <c r="W12" s="423">
        <f t="shared" ref="W12" si="13">W40</f>
        <v>9.5146147470664952E-2</v>
      </c>
      <c r="Y12" s="568"/>
      <c r="Z12" s="527"/>
      <c r="AA12" s="533"/>
      <c r="AB12" s="527"/>
      <c r="AC12" s="533"/>
      <c r="AD12" s="30"/>
      <c r="AE12" s="536"/>
      <c r="AF12" s="30">
        <f t="shared" si="8"/>
        <v>0.21480110798265389</v>
      </c>
      <c r="AG12" s="530"/>
      <c r="AH12" s="527"/>
      <c r="AI12" s="533"/>
      <c r="AJ12" s="527"/>
      <c r="AK12" s="533"/>
      <c r="AL12" s="30"/>
      <c r="AM12" s="536"/>
      <c r="AN12" s="566">
        <f t="shared" si="9"/>
        <v>0.12822534175415573</v>
      </c>
      <c r="AO12" s="530"/>
      <c r="AP12" s="527"/>
      <c r="AQ12" s="533"/>
      <c r="AR12" s="527"/>
      <c r="AS12" s="533"/>
      <c r="AT12" s="30"/>
      <c r="AU12" s="536"/>
      <c r="AV12" s="566">
        <f t="shared" si="10"/>
        <v>0.19532658410188494</v>
      </c>
      <c r="AW12" s="530"/>
      <c r="AX12" s="527"/>
      <c r="AY12" s="533"/>
      <c r="AZ12" s="527"/>
      <c r="BA12" s="533"/>
      <c r="BB12" s="30"/>
      <c r="BC12" s="536"/>
      <c r="BD12" s="423">
        <f t="shared" si="11"/>
        <v>0.16143537736023761</v>
      </c>
      <c r="BF12" s="575">
        <f t="shared" si="0"/>
        <v>0.12279842203080152</v>
      </c>
      <c r="BG12" s="576">
        <f t="shared" si="1"/>
        <v>380140.44396596262</v>
      </c>
    </row>
    <row r="13" spans="1:59" s="336" customFormat="1" ht="11.25" customHeight="1" x14ac:dyDescent="0.25">
      <c r="A13" s="455">
        <v>15000</v>
      </c>
      <c r="B13" s="456" t="s">
        <v>84</v>
      </c>
      <c r="C13" s="422"/>
      <c r="D13" s="490">
        <f t="shared" si="2"/>
        <v>6.5087195553029109E-2</v>
      </c>
      <c r="E13" s="31"/>
      <c r="F13" s="490">
        <f t="shared" si="3"/>
        <v>0</v>
      </c>
      <c r="G13" s="30"/>
      <c r="H13" s="490">
        <f t="shared" si="4"/>
        <v>6.1733890961400049E-2</v>
      </c>
      <c r="J13" s="466">
        <f t="shared" si="5"/>
        <v>4.2223335855962066E-2</v>
      </c>
      <c r="K13" s="30"/>
      <c r="L13" s="515"/>
      <c r="M13" s="516"/>
      <c r="N13" s="516"/>
      <c r="O13" s="490">
        <f t="shared" si="6"/>
        <v>6.5761394137197948E-2</v>
      </c>
      <c r="P13" s="530"/>
      <c r="Q13" s="527"/>
      <c r="R13" s="533"/>
      <c r="S13" s="527"/>
      <c r="T13" s="533"/>
      <c r="U13" s="30"/>
      <c r="V13" s="536"/>
      <c r="W13" s="423">
        <f t="shared" ref="W13" si="14">W41</f>
        <v>6.9040945284977312E-2</v>
      </c>
      <c r="Y13" s="568"/>
      <c r="Z13" s="527"/>
      <c r="AA13" s="533"/>
      <c r="AB13" s="527"/>
      <c r="AC13" s="533"/>
      <c r="AD13" s="30"/>
      <c r="AE13" s="536"/>
      <c r="AF13" s="30">
        <f t="shared" si="8"/>
        <v>4.2933427911856538E-2</v>
      </c>
      <c r="AG13" s="530"/>
      <c r="AH13" s="527"/>
      <c r="AI13" s="533"/>
      <c r="AJ13" s="527"/>
      <c r="AK13" s="533"/>
      <c r="AL13" s="30"/>
      <c r="AM13" s="536"/>
      <c r="AN13" s="566">
        <f t="shared" si="9"/>
        <v>7.6031051434688871E-2</v>
      </c>
      <c r="AO13" s="530"/>
      <c r="AP13" s="527"/>
      <c r="AQ13" s="533"/>
      <c r="AR13" s="527"/>
      <c r="AS13" s="533"/>
      <c r="AT13" s="30"/>
      <c r="AU13" s="536"/>
      <c r="AV13" s="566">
        <f t="shared" si="10"/>
        <v>7.6123881642051777E-2</v>
      </c>
      <c r="AW13" s="530"/>
      <c r="AX13" s="527"/>
      <c r="AY13" s="533"/>
      <c r="AZ13" s="527"/>
      <c r="BA13" s="533"/>
      <c r="BB13" s="30"/>
      <c r="BC13" s="536"/>
      <c r="BD13" s="423">
        <f t="shared" si="11"/>
        <v>3.8953851237843715E-2</v>
      </c>
      <c r="BF13" s="575">
        <f t="shared" si="0"/>
        <v>6.2630424012789385E-2</v>
      </c>
      <c r="BG13" s="576">
        <f t="shared" si="1"/>
        <v>193881.62157349542</v>
      </c>
    </row>
    <row r="14" spans="1:59" s="336" customFormat="1" ht="11.25" customHeight="1" x14ac:dyDescent="0.25">
      <c r="A14" s="455">
        <v>16000</v>
      </c>
      <c r="B14" s="456" t="s">
        <v>85</v>
      </c>
      <c r="C14" s="422"/>
      <c r="D14" s="490">
        <f t="shared" si="2"/>
        <v>1.1034399709448422E-2</v>
      </c>
      <c r="E14" s="31"/>
      <c r="F14" s="490">
        <f t="shared" si="3"/>
        <v>0</v>
      </c>
      <c r="G14" s="30"/>
      <c r="H14" s="490">
        <f t="shared" si="4"/>
        <v>8.9056583062577192E-3</v>
      </c>
      <c r="J14" s="466">
        <f t="shared" si="5"/>
        <v>1.8888188390541107E-2</v>
      </c>
      <c r="K14" s="30"/>
      <c r="L14" s="515"/>
      <c r="M14" s="516"/>
      <c r="N14" s="516"/>
      <c r="O14" s="490">
        <f t="shared" si="6"/>
        <v>1.4235151370405149E-2</v>
      </c>
      <c r="P14" s="530"/>
      <c r="Q14" s="527"/>
      <c r="R14" s="533"/>
      <c r="S14" s="527"/>
      <c r="T14" s="533"/>
      <c r="U14" s="30"/>
      <c r="V14" s="536"/>
      <c r="W14" s="423">
        <f t="shared" ref="W14" si="15">W42</f>
        <v>1.4252060436105099E-2</v>
      </c>
      <c r="Y14" s="568"/>
      <c r="Z14" s="527"/>
      <c r="AA14" s="533"/>
      <c r="AB14" s="527"/>
      <c r="AC14" s="533"/>
      <c r="AD14" s="30"/>
      <c r="AE14" s="536"/>
      <c r="AF14" s="30">
        <f t="shared" si="8"/>
        <v>1.5364673524674077E-2</v>
      </c>
      <c r="AG14" s="530"/>
      <c r="AH14" s="527"/>
      <c r="AI14" s="533"/>
      <c r="AJ14" s="527"/>
      <c r="AK14" s="533"/>
      <c r="AL14" s="30"/>
      <c r="AM14" s="536"/>
      <c r="AN14" s="566">
        <f t="shared" si="9"/>
        <v>4.7132743562888726E-2</v>
      </c>
      <c r="AO14" s="530"/>
      <c r="AP14" s="527"/>
      <c r="AQ14" s="533"/>
      <c r="AR14" s="527"/>
      <c r="AS14" s="533"/>
      <c r="AT14" s="30"/>
      <c r="AU14" s="536"/>
      <c r="AV14" s="566">
        <f t="shared" si="10"/>
        <v>6.0648212810728037E-3</v>
      </c>
      <c r="AW14" s="530"/>
      <c r="AX14" s="527"/>
      <c r="AY14" s="533"/>
      <c r="AZ14" s="527"/>
      <c r="BA14" s="533"/>
      <c r="BB14" s="30"/>
      <c r="BC14" s="536"/>
      <c r="BD14" s="423">
        <f t="shared" si="11"/>
        <v>4.460013665047652E-3</v>
      </c>
      <c r="BF14" s="575">
        <f t="shared" si="0"/>
        <v>1.1969377670312633E-2</v>
      </c>
      <c r="BG14" s="576">
        <f t="shared" si="1"/>
        <v>37052.956107592625</v>
      </c>
    </row>
    <row r="15" spans="1:59" s="336" customFormat="1" ht="11.25" customHeight="1" x14ac:dyDescent="0.25">
      <c r="A15" s="455">
        <v>17000</v>
      </c>
      <c r="B15" s="456" t="s">
        <v>86</v>
      </c>
      <c r="C15" s="422"/>
      <c r="D15" s="490">
        <f t="shared" si="2"/>
        <v>1.0889792195598231E-2</v>
      </c>
      <c r="E15" s="31"/>
      <c r="F15" s="490">
        <f t="shared" si="3"/>
        <v>6.7843259873462181E-2</v>
      </c>
      <c r="G15" s="30"/>
      <c r="H15" s="490">
        <f t="shared" si="4"/>
        <v>9.9168618852283931E-3</v>
      </c>
      <c r="J15" s="466">
        <f t="shared" si="5"/>
        <v>1.3240872550791144E-2</v>
      </c>
      <c r="K15" s="30"/>
      <c r="L15" s="515"/>
      <c r="M15" s="516"/>
      <c r="N15" s="516"/>
      <c r="O15" s="490">
        <f t="shared" si="6"/>
        <v>2.2113742686145556E-2</v>
      </c>
      <c r="P15" s="530"/>
      <c r="Q15" s="527"/>
      <c r="R15" s="533"/>
      <c r="S15" s="527"/>
      <c r="T15" s="533"/>
      <c r="U15" s="30"/>
      <c r="V15" s="536"/>
      <c r="W15" s="423">
        <f t="shared" ref="W15" si="16">W43</f>
        <v>3.6661023070895492E-2</v>
      </c>
      <c r="Y15" s="568"/>
      <c r="Z15" s="527"/>
      <c r="AA15" s="533"/>
      <c r="AB15" s="527"/>
      <c r="AC15" s="533"/>
      <c r="AD15" s="30"/>
      <c r="AE15" s="536"/>
      <c r="AF15" s="30">
        <f t="shared" si="8"/>
        <v>1.1082289011439365E-2</v>
      </c>
      <c r="AG15" s="530"/>
      <c r="AH15" s="527"/>
      <c r="AI15" s="533"/>
      <c r="AJ15" s="527"/>
      <c r="AK15" s="533"/>
      <c r="AL15" s="30"/>
      <c r="AM15" s="536"/>
      <c r="AN15" s="566">
        <f t="shared" si="9"/>
        <v>1.4727151237603733E-2</v>
      </c>
      <c r="AO15" s="530"/>
      <c r="AP15" s="527"/>
      <c r="AQ15" s="533"/>
      <c r="AR15" s="527"/>
      <c r="AS15" s="533"/>
      <c r="AT15" s="30"/>
      <c r="AU15" s="536"/>
      <c r="AV15" s="566">
        <f t="shared" si="10"/>
        <v>2.5104714989662276E-2</v>
      </c>
      <c r="AW15" s="530"/>
      <c r="AX15" s="527"/>
      <c r="AY15" s="533"/>
      <c r="AZ15" s="527"/>
      <c r="BA15" s="533"/>
      <c r="BB15" s="30"/>
      <c r="BC15" s="536"/>
      <c r="BD15" s="423">
        <f t="shared" si="11"/>
        <v>1.8191850628477044E-2</v>
      </c>
      <c r="BF15" s="575">
        <f t="shared" si="0"/>
        <v>2.2836998573705986E-2</v>
      </c>
      <c r="BG15" s="576">
        <f t="shared" si="1"/>
        <v>70695.263286698639</v>
      </c>
    </row>
    <row r="16" spans="1:59" s="336" customFormat="1" ht="11.25" customHeight="1" x14ac:dyDescent="0.25">
      <c r="A16" s="455">
        <v>18000</v>
      </c>
      <c r="B16" s="456" t="s">
        <v>87</v>
      </c>
      <c r="C16" s="422"/>
      <c r="D16" s="490">
        <f t="shared" si="2"/>
        <v>4.2467291612850898E-3</v>
      </c>
      <c r="E16" s="31"/>
      <c r="F16" s="490">
        <f t="shared" si="3"/>
        <v>0</v>
      </c>
      <c r="G16" s="30"/>
      <c r="H16" s="490">
        <f t="shared" si="4"/>
        <v>2.5625652852949493E-3</v>
      </c>
      <c r="J16" s="466">
        <f t="shared" si="5"/>
        <v>9.6081744040522818E-3</v>
      </c>
      <c r="K16" s="30"/>
      <c r="L16" s="515"/>
      <c r="M16" s="516"/>
      <c r="N16" s="516"/>
      <c r="O16" s="490">
        <f t="shared" si="6"/>
        <v>1.788504002269959E-2</v>
      </c>
      <c r="P16" s="530"/>
      <c r="Q16" s="527"/>
      <c r="R16" s="533"/>
      <c r="S16" s="527"/>
      <c r="T16" s="533"/>
      <c r="U16" s="30"/>
      <c r="V16" s="536"/>
      <c r="W16" s="423">
        <f t="shared" ref="W16" si="17">W44</f>
        <v>2.771371425315531E-2</v>
      </c>
      <c r="Y16" s="568"/>
      <c r="Z16" s="527"/>
      <c r="AA16" s="533"/>
      <c r="AB16" s="527"/>
      <c r="AC16" s="533"/>
      <c r="AD16" s="30"/>
      <c r="AE16" s="536"/>
      <c r="AF16" s="30">
        <f t="shared" si="8"/>
        <v>3.5269004583718686E-3</v>
      </c>
      <c r="AG16" s="530"/>
      <c r="AH16" s="527"/>
      <c r="AI16" s="533"/>
      <c r="AJ16" s="527"/>
      <c r="AK16" s="533"/>
      <c r="AL16" s="30"/>
      <c r="AM16" s="536"/>
      <c r="AN16" s="566">
        <f t="shared" si="9"/>
        <v>7.3560790135374105E-3</v>
      </c>
      <c r="AO16" s="530"/>
      <c r="AP16" s="527"/>
      <c r="AQ16" s="533"/>
      <c r="AR16" s="527"/>
      <c r="AS16" s="533"/>
      <c r="AT16" s="30"/>
      <c r="AU16" s="536"/>
      <c r="AV16" s="566">
        <f t="shared" si="10"/>
        <v>2.3867684918843508E-2</v>
      </c>
      <c r="AW16" s="530"/>
      <c r="AX16" s="527"/>
      <c r="AY16" s="533"/>
      <c r="AZ16" s="527"/>
      <c r="BA16" s="533"/>
      <c r="BB16" s="30"/>
      <c r="BC16" s="536"/>
      <c r="BD16" s="423">
        <f t="shared" si="11"/>
        <v>9.6089651150147587E-3</v>
      </c>
      <c r="BF16" s="575">
        <f t="shared" si="0"/>
        <v>1.486040638540451E-2</v>
      </c>
      <c r="BG16" s="576">
        <f t="shared" si="1"/>
        <v>46002.557585351933</v>
      </c>
    </row>
    <row r="17" spans="1:59" s="336" customFormat="1" ht="11.25" customHeight="1" x14ac:dyDescent="0.25">
      <c r="A17" s="455">
        <v>19000</v>
      </c>
      <c r="B17" s="456" t="s">
        <v>88</v>
      </c>
      <c r="C17" s="422"/>
      <c r="D17" s="490">
        <f t="shared" si="2"/>
        <v>6.6119847497696531E-3</v>
      </c>
      <c r="E17" s="31"/>
      <c r="F17" s="490">
        <f t="shared" si="3"/>
        <v>0</v>
      </c>
      <c r="G17" s="30"/>
      <c r="H17" s="490">
        <f t="shared" si="4"/>
        <v>2.8559345403699494E-3</v>
      </c>
      <c r="J17" s="466">
        <f t="shared" si="5"/>
        <v>1.182796468686453E-2</v>
      </c>
      <c r="K17" s="30"/>
      <c r="L17" s="515"/>
      <c r="M17" s="516"/>
      <c r="N17" s="516"/>
      <c r="O17" s="490">
        <f t="shared" si="6"/>
        <v>1.0871021717815482E-2</v>
      </c>
      <c r="P17" s="530"/>
      <c r="Q17" s="527"/>
      <c r="R17" s="533"/>
      <c r="S17" s="527"/>
      <c r="T17" s="533"/>
      <c r="U17" s="30"/>
      <c r="V17" s="536"/>
      <c r="W17" s="423">
        <f t="shared" ref="W17" si="18">W45</f>
        <v>2.0604421701704904E-2</v>
      </c>
      <c r="Y17" s="568"/>
      <c r="Z17" s="527"/>
      <c r="AA17" s="533"/>
      <c r="AB17" s="527"/>
      <c r="AC17" s="533"/>
      <c r="AD17" s="30"/>
      <c r="AE17" s="536"/>
      <c r="AF17" s="30">
        <f t="shared" si="8"/>
        <v>1.9021618951758572E-2</v>
      </c>
      <c r="AG17" s="530"/>
      <c r="AH17" s="527"/>
      <c r="AI17" s="533"/>
      <c r="AJ17" s="527"/>
      <c r="AK17" s="533"/>
      <c r="AL17" s="30"/>
      <c r="AM17" s="536"/>
      <c r="AN17" s="566">
        <f t="shared" si="9"/>
        <v>0</v>
      </c>
      <c r="AO17" s="530"/>
      <c r="AP17" s="527"/>
      <c r="AQ17" s="533"/>
      <c r="AR17" s="527"/>
      <c r="AS17" s="533"/>
      <c r="AT17" s="30"/>
      <c r="AU17" s="536"/>
      <c r="AV17" s="566">
        <f t="shared" si="10"/>
        <v>1.3529581491552367E-2</v>
      </c>
      <c r="AW17" s="530"/>
      <c r="AX17" s="527"/>
      <c r="AY17" s="533"/>
      <c r="AZ17" s="527"/>
      <c r="BA17" s="533"/>
      <c r="BB17" s="30"/>
      <c r="BC17" s="536"/>
      <c r="BD17" s="423">
        <f t="shared" si="11"/>
        <v>4.3695624549160228E-3</v>
      </c>
      <c r="BF17" s="575">
        <f t="shared" si="0"/>
        <v>1.1595120791355515E-2</v>
      </c>
      <c r="BG17" s="576">
        <f t="shared" si="1"/>
        <v>35894.389297276532</v>
      </c>
    </row>
    <row r="18" spans="1:59" s="336" customFormat="1" ht="11.25" customHeight="1" x14ac:dyDescent="0.25">
      <c r="A18" s="455">
        <v>21000</v>
      </c>
      <c r="B18" s="456" t="s">
        <v>89</v>
      </c>
      <c r="C18" s="422"/>
      <c r="D18" s="490">
        <f t="shared" si="2"/>
        <v>0.13336954842464621</v>
      </c>
      <c r="E18" s="31"/>
      <c r="F18" s="490">
        <f t="shared" si="3"/>
        <v>2.2149907547876303E-2</v>
      </c>
      <c r="G18" s="30"/>
      <c r="H18" s="490">
        <f t="shared" si="4"/>
        <v>0.15387000498853459</v>
      </c>
      <c r="J18" s="466">
        <f t="shared" si="5"/>
        <v>0.12594951357830428</v>
      </c>
      <c r="K18" s="30"/>
      <c r="L18" s="515"/>
      <c r="M18" s="516"/>
      <c r="N18" s="516"/>
      <c r="O18" s="490">
        <f t="shared" si="6"/>
        <v>9.4774715298682269E-2</v>
      </c>
      <c r="P18" s="530"/>
      <c r="Q18" s="527"/>
      <c r="R18" s="533"/>
      <c r="S18" s="527"/>
      <c r="T18" s="533"/>
      <c r="U18" s="30"/>
      <c r="V18" s="536"/>
      <c r="W18" s="423">
        <f t="shared" ref="W18" si="19">W46</f>
        <v>6.385815951623236E-2</v>
      </c>
      <c r="Y18" s="568"/>
      <c r="Z18" s="527"/>
      <c r="AA18" s="533"/>
      <c r="AB18" s="527"/>
      <c r="AC18" s="533"/>
      <c r="AD18" s="30"/>
      <c r="AE18" s="536"/>
      <c r="AF18" s="30">
        <f t="shared" si="8"/>
        <v>7.6501289337084402E-2</v>
      </c>
      <c r="AG18" s="530"/>
      <c r="AH18" s="527"/>
      <c r="AI18" s="533"/>
      <c r="AJ18" s="527"/>
      <c r="AK18" s="533"/>
      <c r="AL18" s="30"/>
      <c r="AM18" s="536"/>
      <c r="AN18" s="566">
        <f t="shared" si="9"/>
        <v>2.9639721983992572E-2</v>
      </c>
      <c r="AO18" s="530"/>
      <c r="AP18" s="527"/>
      <c r="AQ18" s="533"/>
      <c r="AR18" s="527"/>
      <c r="AS18" s="533"/>
      <c r="AT18" s="30"/>
      <c r="AU18" s="536"/>
      <c r="AV18" s="566">
        <f t="shared" si="10"/>
        <v>6.6768389954881574E-2</v>
      </c>
      <c r="AW18" s="530"/>
      <c r="AX18" s="527"/>
      <c r="AY18" s="533"/>
      <c r="AZ18" s="527"/>
      <c r="BA18" s="533"/>
      <c r="BB18" s="30"/>
      <c r="BC18" s="536"/>
      <c r="BD18" s="423">
        <f t="shared" si="11"/>
        <v>0.12055290439011017</v>
      </c>
      <c r="BF18" s="575">
        <f t="shared" si="0"/>
        <v>9.6280476948889651E-2</v>
      </c>
      <c r="BG18" s="576">
        <f t="shared" si="1"/>
        <v>298050.27334492246</v>
      </c>
    </row>
    <row r="19" spans="1:59" s="336" customFormat="1" ht="11.25" customHeight="1" x14ac:dyDescent="0.25">
      <c r="A19" s="455">
        <v>22000</v>
      </c>
      <c r="B19" s="456" t="s">
        <v>90</v>
      </c>
      <c r="C19" s="422"/>
      <c r="D19" s="490">
        <f t="shared" si="2"/>
        <v>4.2667307305777211E-2</v>
      </c>
      <c r="E19" s="31"/>
      <c r="F19" s="490">
        <f t="shared" si="3"/>
        <v>0</v>
      </c>
      <c r="G19" s="30"/>
      <c r="H19" s="490">
        <f t="shared" si="4"/>
        <v>4.6850517278879442E-2</v>
      </c>
      <c r="J19" s="466">
        <f t="shared" si="5"/>
        <v>2.6943135653479267E-2</v>
      </c>
      <c r="K19" s="30"/>
      <c r="L19" s="515"/>
      <c r="M19" s="516"/>
      <c r="N19" s="516"/>
      <c r="O19" s="490">
        <f t="shared" si="6"/>
        <v>2.9445416392558422E-2</v>
      </c>
      <c r="P19" s="530"/>
      <c r="Q19" s="527"/>
      <c r="R19" s="533"/>
      <c r="S19" s="527"/>
      <c r="T19" s="533"/>
      <c r="U19" s="30"/>
      <c r="V19" s="536"/>
      <c r="W19" s="423">
        <f t="shared" ref="W19" si="20">W47</f>
        <v>1.6297711350716247E-2</v>
      </c>
      <c r="Y19" s="568"/>
      <c r="Z19" s="527"/>
      <c r="AA19" s="533"/>
      <c r="AB19" s="527"/>
      <c r="AC19" s="533"/>
      <c r="AD19" s="30"/>
      <c r="AE19" s="536"/>
      <c r="AF19" s="30">
        <f t="shared" si="8"/>
        <v>1.3559073320443926E-2</v>
      </c>
      <c r="AG19" s="530"/>
      <c r="AH19" s="527"/>
      <c r="AI19" s="533"/>
      <c r="AJ19" s="527"/>
      <c r="AK19" s="533"/>
      <c r="AL19" s="30"/>
      <c r="AM19" s="536"/>
      <c r="AN19" s="566">
        <f t="shared" si="9"/>
        <v>7.567275832619463E-3</v>
      </c>
      <c r="AO19" s="530"/>
      <c r="AP19" s="527"/>
      <c r="AQ19" s="533"/>
      <c r="AR19" s="527"/>
      <c r="AS19" s="533"/>
      <c r="AT19" s="30"/>
      <c r="AU19" s="536"/>
      <c r="AV19" s="566">
        <f t="shared" si="10"/>
        <v>1.0622459800000745E-2</v>
      </c>
      <c r="AW19" s="530"/>
      <c r="AX19" s="527"/>
      <c r="AY19" s="533"/>
      <c r="AZ19" s="527"/>
      <c r="BA19" s="533"/>
      <c r="BB19" s="30"/>
      <c r="BC19" s="536"/>
      <c r="BD19" s="423">
        <f t="shared" si="11"/>
        <v>1.6498411694648284E-2</v>
      </c>
      <c r="BF19" s="575">
        <f t="shared" si="0"/>
        <v>2.4938012540020295E-2</v>
      </c>
      <c r="BG19" s="576">
        <f t="shared" si="1"/>
        <v>77199.25876746366</v>
      </c>
    </row>
    <row r="20" spans="1:59" s="336" customFormat="1" ht="11.25" customHeight="1" x14ac:dyDescent="0.25">
      <c r="A20" s="455">
        <v>23000</v>
      </c>
      <c r="B20" s="456" t="s">
        <v>91</v>
      </c>
      <c r="C20" s="422"/>
      <c r="D20" s="490">
        <f t="shared" si="2"/>
        <v>3.3364630025327233E-2</v>
      </c>
      <c r="E20" s="31"/>
      <c r="F20" s="490">
        <f t="shared" si="3"/>
        <v>6.2164885177936564E-2</v>
      </c>
      <c r="G20" s="30"/>
      <c r="H20" s="490">
        <f t="shared" si="4"/>
        <v>3.9783543968019787E-2</v>
      </c>
      <c r="J20" s="466">
        <f t="shared" si="5"/>
        <v>2.3854379241099184E-2</v>
      </c>
      <c r="K20" s="30"/>
      <c r="L20" s="515"/>
      <c r="M20" s="516"/>
      <c r="N20" s="516"/>
      <c r="O20" s="490">
        <f t="shared" si="6"/>
        <v>3.7394305253862052E-2</v>
      </c>
      <c r="P20" s="530"/>
      <c r="Q20" s="527"/>
      <c r="R20" s="533"/>
      <c r="S20" s="527"/>
      <c r="T20" s="533"/>
      <c r="U20" s="30"/>
      <c r="V20" s="536"/>
      <c r="W20" s="423">
        <f t="shared" ref="W20" si="21">W48</f>
        <v>5.1593512279197562E-2</v>
      </c>
      <c r="Y20" s="568"/>
      <c r="Z20" s="527"/>
      <c r="AA20" s="533"/>
      <c r="AB20" s="527"/>
      <c r="AC20" s="533"/>
      <c r="AD20" s="30"/>
      <c r="AE20" s="536"/>
      <c r="AF20" s="30">
        <f t="shared" si="8"/>
        <v>1.4635350911680473E-2</v>
      </c>
      <c r="AG20" s="530"/>
      <c r="AH20" s="527"/>
      <c r="AI20" s="533"/>
      <c r="AJ20" s="527"/>
      <c r="AK20" s="533"/>
      <c r="AL20" s="30"/>
      <c r="AM20" s="536"/>
      <c r="AN20" s="566">
        <f t="shared" si="9"/>
        <v>0</v>
      </c>
      <c r="AO20" s="530"/>
      <c r="AP20" s="527"/>
      <c r="AQ20" s="533"/>
      <c r="AR20" s="527"/>
      <c r="AS20" s="533"/>
      <c r="AT20" s="30"/>
      <c r="AU20" s="536"/>
      <c r="AV20" s="566">
        <f t="shared" si="10"/>
        <v>3.9105085322148569E-2</v>
      </c>
      <c r="AW20" s="530"/>
      <c r="AX20" s="527"/>
      <c r="AY20" s="533"/>
      <c r="AZ20" s="527"/>
      <c r="BA20" s="533"/>
      <c r="BB20" s="30"/>
      <c r="BC20" s="536"/>
      <c r="BD20" s="423">
        <f t="shared" si="11"/>
        <v>1.8849446077859162E-2</v>
      </c>
      <c r="BF20" s="575">
        <f t="shared" si="0"/>
        <v>3.746296372773468E-2</v>
      </c>
      <c r="BG20" s="576">
        <f t="shared" si="1"/>
        <v>115972.07381190696</v>
      </c>
    </row>
    <row r="21" spans="1:59" s="336" customFormat="1" ht="11.25" customHeight="1" x14ac:dyDescent="0.25">
      <c r="A21" s="455">
        <v>24000</v>
      </c>
      <c r="B21" s="456" t="s">
        <v>92</v>
      </c>
      <c r="C21" s="422"/>
      <c r="D21" s="490">
        <f t="shared" si="2"/>
        <v>1.4616688006268639E-2</v>
      </c>
      <c r="E21" s="31"/>
      <c r="F21" s="490">
        <f t="shared" si="3"/>
        <v>2.7079400740389031E-2</v>
      </c>
      <c r="G21" s="30"/>
      <c r="H21" s="490">
        <f t="shared" si="4"/>
        <v>3.1088068589446828E-2</v>
      </c>
      <c r="J21" s="466">
        <f t="shared" si="5"/>
        <v>3.0795745282845947E-2</v>
      </c>
      <c r="K21" s="30"/>
      <c r="L21" s="515"/>
      <c r="M21" s="516"/>
      <c r="N21" s="516"/>
      <c r="O21" s="490">
        <f t="shared" si="6"/>
        <v>2.7893018238683141E-2</v>
      </c>
      <c r="P21" s="530"/>
      <c r="Q21" s="527"/>
      <c r="R21" s="533"/>
      <c r="S21" s="527"/>
      <c r="T21" s="533"/>
      <c r="U21" s="30"/>
      <c r="V21" s="536"/>
      <c r="W21" s="423">
        <f t="shared" ref="W21" si="22">W49</f>
        <v>2.5266761707200217E-2</v>
      </c>
      <c r="Y21" s="568"/>
      <c r="Z21" s="527"/>
      <c r="AA21" s="533"/>
      <c r="AB21" s="527"/>
      <c r="AC21" s="533"/>
      <c r="AD21" s="30"/>
      <c r="AE21" s="536"/>
      <c r="AF21" s="30">
        <f t="shared" si="8"/>
        <v>1.8917035455643685E-2</v>
      </c>
      <c r="AG21" s="530"/>
      <c r="AH21" s="527"/>
      <c r="AI21" s="533"/>
      <c r="AJ21" s="527"/>
      <c r="AK21" s="533"/>
      <c r="AL21" s="30"/>
      <c r="AM21" s="536"/>
      <c r="AN21" s="566">
        <f t="shared" si="9"/>
        <v>1.8677705232342915E-3</v>
      </c>
      <c r="AO21" s="530"/>
      <c r="AP21" s="527"/>
      <c r="AQ21" s="533"/>
      <c r="AR21" s="527"/>
      <c r="AS21" s="533"/>
      <c r="AT21" s="30"/>
      <c r="AU21" s="536"/>
      <c r="AV21" s="566">
        <f t="shared" si="10"/>
        <v>2.6839738853540174E-2</v>
      </c>
      <c r="AW21" s="530"/>
      <c r="AX21" s="527"/>
      <c r="AY21" s="533"/>
      <c r="AZ21" s="527"/>
      <c r="BA21" s="533"/>
      <c r="BB21" s="30"/>
      <c r="BC21" s="536"/>
      <c r="BD21" s="423">
        <f t="shared" si="11"/>
        <v>1.3454254432293941E-2</v>
      </c>
      <c r="BF21" s="575">
        <f t="shared" si="0"/>
        <v>2.0731252383710434E-2</v>
      </c>
      <c r="BG21" s="576">
        <f t="shared" si="1"/>
        <v>64176.618516623668</v>
      </c>
    </row>
    <row r="22" spans="1:59" s="336" customFormat="1" ht="11.25" customHeight="1" x14ac:dyDescent="0.25">
      <c r="A22" s="455">
        <v>25000</v>
      </c>
      <c r="B22" s="456" t="s">
        <v>93</v>
      </c>
      <c r="C22" s="422"/>
      <c r="D22" s="490">
        <f t="shared" si="2"/>
        <v>3.0706362045601208E-2</v>
      </c>
      <c r="E22" s="31"/>
      <c r="F22" s="490">
        <f t="shared" si="3"/>
        <v>0</v>
      </c>
      <c r="G22" s="30"/>
      <c r="H22" s="490">
        <f t="shared" si="4"/>
        <v>1.5843192030168454E-2</v>
      </c>
      <c r="J22" s="466">
        <f t="shared" si="5"/>
        <v>1.5634917619840611E-2</v>
      </c>
      <c r="K22" s="30"/>
      <c r="L22" s="515"/>
      <c r="M22" s="516"/>
      <c r="N22" s="516"/>
      <c r="O22" s="490">
        <f t="shared" si="6"/>
        <v>2.8275280834195088E-2</v>
      </c>
      <c r="P22" s="530"/>
      <c r="Q22" s="527"/>
      <c r="R22" s="533"/>
      <c r="S22" s="527"/>
      <c r="T22" s="533"/>
      <c r="U22" s="30"/>
      <c r="V22" s="536"/>
      <c r="W22" s="423">
        <f t="shared" ref="W22" si="23">W50</f>
        <v>2.829428988366825E-2</v>
      </c>
      <c r="Y22" s="568"/>
      <c r="Z22" s="527"/>
      <c r="AA22" s="533"/>
      <c r="AB22" s="527"/>
      <c r="AC22" s="533"/>
      <c r="AD22" s="30"/>
      <c r="AE22" s="536"/>
      <c r="AF22" s="30">
        <f t="shared" si="8"/>
        <v>8.1625526656348701E-3</v>
      </c>
      <c r="AG22" s="530"/>
      <c r="AH22" s="527"/>
      <c r="AI22" s="533"/>
      <c r="AJ22" s="527"/>
      <c r="AK22" s="533"/>
      <c r="AL22" s="30"/>
      <c r="AM22" s="536"/>
      <c r="AN22" s="566">
        <f t="shared" si="9"/>
        <v>1.3491635186184566E-4</v>
      </c>
      <c r="AO22" s="530"/>
      <c r="AP22" s="527"/>
      <c r="AQ22" s="533"/>
      <c r="AR22" s="527"/>
      <c r="AS22" s="533"/>
      <c r="AT22" s="30"/>
      <c r="AU22" s="536"/>
      <c r="AV22" s="566">
        <f t="shared" si="10"/>
        <v>2.2063180089320868E-2</v>
      </c>
      <c r="AW22" s="530"/>
      <c r="AX22" s="527"/>
      <c r="AY22" s="533"/>
      <c r="AZ22" s="527"/>
      <c r="BA22" s="533"/>
      <c r="BB22" s="30"/>
      <c r="BC22" s="536"/>
      <c r="BD22" s="423">
        <f t="shared" si="11"/>
        <v>1.8911489608906033E-2</v>
      </c>
      <c r="BF22" s="575">
        <f t="shared" si="0"/>
        <v>2.4552361799596047E-2</v>
      </c>
      <c r="BG22" s="576">
        <f t="shared" si="1"/>
        <v>76005.4205954723</v>
      </c>
    </row>
    <row r="23" spans="1:59" s="336" customFormat="1" ht="11.25" customHeight="1" x14ac:dyDescent="0.25">
      <c r="A23" s="455">
        <v>26000</v>
      </c>
      <c r="B23" s="456" t="s">
        <v>94</v>
      </c>
      <c r="C23" s="422"/>
      <c r="D23" s="490">
        <f t="shared" si="2"/>
        <v>8.1852675648364459E-2</v>
      </c>
      <c r="E23" s="31"/>
      <c r="F23" s="490">
        <f t="shared" si="3"/>
        <v>7.2201441403882599E-2</v>
      </c>
      <c r="G23" s="30"/>
      <c r="H23" s="490">
        <f t="shared" si="4"/>
        <v>8.5336045997945101E-2</v>
      </c>
      <c r="J23" s="466">
        <f t="shared" si="5"/>
        <v>8.5842506315615019E-2</v>
      </c>
      <c r="K23" s="30"/>
      <c r="L23" s="515"/>
      <c r="M23" s="516"/>
      <c r="N23" s="516"/>
      <c r="O23" s="490">
        <f t="shared" si="6"/>
        <v>6.764608332653986E-2</v>
      </c>
      <c r="P23" s="530"/>
      <c r="Q23" s="527"/>
      <c r="R23" s="533"/>
      <c r="S23" s="527"/>
      <c r="T23" s="533"/>
      <c r="U23" s="30"/>
      <c r="V23" s="536"/>
      <c r="W23" s="423">
        <f t="shared" ref="W23" si="24">W51</f>
        <v>6.3211962094260624E-2</v>
      </c>
      <c r="Y23" s="568"/>
      <c r="Z23" s="527"/>
      <c r="AA23" s="533"/>
      <c r="AB23" s="527"/>
      <c r="AC23" s="533"/>
      <c r="AD23" s="30"/>
      <c r="AE23" s="536"/>
      <c r="AF23" s="30">
        <f t="shared" si="8"/>
        <v>9.5069615052439396E-2</v>
      </c>
      <c r="AG23" s="530"/>
      <c r="AH23" s="527"/>
      <c r="AI23" s="533"/>
      <c r="AJ23" s="527"/>
      <c r="AK23" s="533"/>
      <c r="AL23" s="30"/>
      <c r="AM23" s="536"/>
      <c r="AN23" s="566">
        <f t="shared" si="9"/>
        <v>4.9827964450066412E-3</v>
      </c>
      <c r="AO23" s="530"/>
      <c r="AP23" s="527"/>
      <c r="AQ23" s="533"/>
      <c r="AR23" s="527"/>
      <c r="AS23" s="533"/>
      <c r="AT23" s="30"/>
      <c r="AU23" s="536"/>
      <c r="AV23" s="566">
        <f t="shared" si="10"/>
        <v>7.7897990570417047E-2</v>
      </c>
      <c r="AW23" s="530"/>
      <c r="AX23" s="527"/>
      <c r="AY23" s="533"/>
      <c r="AZ23" s="527"/>
      <c r="BA23" s="533"/>
      <c r="BB23" s="30"/>
      <c r="BC23" s="536"/>
      <c r="BD23" s="423">
        <f t="shared" si="11"/>
        <v>6.6989146798646759E-2</v>
      </c>
      <c r="BF23" s="575">
        <f t="shared" si="0"/>
        <v>7.1621546799892688E-2</v>
      </c>
      <c r="BG23" s="576">
        <f t="shared" si="1"/>
        <v>221714.95486490059</v>
      </c>
    </row>
    <row r="24" spans="1:59" s="336" customFormat="1" ht="11.25" customHeight="1" x14ac:dyDescent="0.25">
      <c r="A24" s="455">
        <v>27000</v>
      </c>
      <c r="B24" s="456" t="s">
        <v>95</v>
      </c>
      <c r="C24" s="422"/>
      <c r="D24" s="490">
        <f t="shared" si="2"/>
        <v>2.2907375775942106E-2</v>
      </c>
      <c r="E24" s="31"/>
      <c r="F24" s="490">
        <f t="shared" si="3"/>
        <v>0</v>
      </c>
      <c r="G24" s="30"/>
      <c r="H24" s="490">
        <f t="shared" si="4"/>
        <v>4.9597728335313084E-2</v>
      </c>
      <c r="J24" s="466">
        <f t="shared" si="5"/>
        <v>4.6435161981866126E-2</v>
      </c>
      <c r="K24" s="30"/>
      <c r="L24" s="515"/>
      <c r="M24" s="516"/>
      <c r="N24" s="516"/>
      <c r="O24" s="490">
        <f t="shared" si="6"/>
        <v>5.6475081729951485E-2</v>
      </c>
      <c r="P24" s="530"/>
      <c r="Q24" s="527"/>
      <c r="R24" s="533"/>
      <c r="S24" s="527"/>
      <c r="T24" s="533"/>
      <c r="U24" s="30"/>
      <c r="V24" s="536"/>
      <c r="W24" s="423">
        <f t="shared" ref="W24" si="25">W52</f>
        <v>5.3393038225110698E-2</v>
      </c>
      <c r="Y24" s="568"/>
      <c r="Z24" s="527"/>
      <c r="AA24" s="533"/>
      <c r="AB24" s="527"/>
      <c r="AC24" s="533"/>
      <c r="AD24" s="30"/>
      <c r="AE24" s="536"/>
      <c r="AF24" s="30">
        <f t="shared" si="8"/>
        <v>4.3917776541150852E-2</v>
      </c>
      <c r="AG24" s="530"/>
      <c r="AH24" s="527"/>
      <c r="AI24" s="533"/>
      <c r="AJ24" s="527"/>
      <c r="AK24" s="533"/>
      <c r="AL24" s="30"/>
      <c r="AM24" s="536"/>
      <c r="AN24" s="566">
        <f t="shared" si="9"/>
        <v>9.1570490541500911E-3</v>
      </c>
      <c r="AO24" s="530"/>
      <c r="AP24" s="527"/>
      <c r="AQ24" s="533"/>
      <c r="AR24" s="527"/>
      <c r="AS24" s="533"/>
      <c r="AT24" s="30"/>
      <c r="AU24" s="536"/>
      <c r="AV24" s="566">
        <f t="shared" si="10"/>
        <v>3.3266384555160879E-2</v>
      </c>
      <c r="AW24" s="530"/>
      <c r="AX24" s="527"/>
      <c r="AY24" s="533"/>
      <c r="AZ24" s="527"/>
      <c r="BA24" s="533"/>
      <c r="BB24" s="30"/>
      <c r="BC24" s="536"/>
      <c r="BD24" s="423">
        <f t="shared" si="11"/>
        <v>3.7691662875742923E-2</v>
      </c>
      <c r="BF24" s="575">
        <f t="shared" si="0"/>
        <v>3.7758528465054064E-2</v>
      </c>
      <c r="BG24" s="576">
        <f t="shared" si="1"/>
        <v>116887.03760873075</v>
      </c>
    </row>
    <row r="25" spans="1:59" s="336" customFormat="1" ht="11.25" customHeight="1" x14ac:dyDescent="0.25">
      <c r="A25" s="455">
        <v>28000</v>
      </c>
      <c r="B25" s="456" t="s">
        <v>96</v>
      </c>
      <c r="C25" s="422"/>
      <c r="D25" s="490">
        <f t="shared" si="2"/>
        <v>1.0664940118047092E-2</v>
      </c>
      <c r="E25" s="31"/>
      <c r="F25" s="490">
        <f t="shared" si="3"/>
        <v>4.1945084596588342E-2</v>
      </c>
      <c r="G25" s="30"/>
      <c r="H25" s="490">
        <f t="shared" si="4"/>
        <v>7.4182600602672247E-3</v>
      </c>
      <c r="J25" s="466">
        <f t="shared" si="5"/>
        <v>1.1037951550019919E-2</v>
      </c>
      <c r="K25" s="30"/>
      <c r="L25" s="515"/>
      <c r="M25" s="516"/>
      <c r="N25" s="516"/>
      <c r="O25" s="490">
        <f t="shared" si="6"/>
        <v>2.2414545472423983E-2</v>
      </c>
      <c r="P25" s="530"/>
      <c r="Q25" s="527"/>
      <c r="R25" s="533"/>
      <c r="S25" s="527"/>
      <c r="T25" s="533"/>
      <c r="U25" s="30"/>
      <c r="V25" s="536"/>
      <c r="W25" s="423">
        <f t="shared" ref="W25" si="26">W53</f>
        <v>4.8721082697419989E-2</v>
      </c>
      <c r="Y25" s="568"/>
      <c r="Z25" s="527"/>
      <c r="AA25" s="533"/>
      <c r="AB25" s="527"/>
      <c r="AC25" s="533"/>
      <c r="AD25" s="30"/>
      <c r="AE25" s="536"/>
      <c r="AF25" s="30">
        <f t="shared" si="8"/>
        <v>2.6774709369156109E-2</v>
      </c>
      <c r="AG25" s="530"/>
      <c r="AH25" s="527"/>
      <c r="AI25" s="533"/>
      <c r="AJ25" s="527"/>
      <c r="AK25" s="533"/>
      <c r="AL25" s="30"/>
      <c r="AM25" s="536"/>
      <c r="AN25" s="566">
        <f t="shared" si="9"/>
        <v>1.6732086203770983E-2</v>
      </c>
      <c r="AO25" s="530"/>
      <c r="AP25" s="527"/>
      <c r="AQ25" s="533"/>
      <c r="AR25" s="527"/>
      <c r="AS25" s="533"/>
      <c r="AT25" s="30"/>
      <c r="AU25" s="536"/>
      <c r="AV25" s="566">
        <f t="shared" si="10"/>
        <v>2.4865409352241873E-2</v>
      </c>
      <c r="AW25" s="530"/>
      <c r="AX25" s="527"/>
      <c r="AY25" s="533"/>
      <c r="AZ25" s="527"/>
      <c r="BA25" s="533"/>
      <c r="BB25" s="30"/>
      <c r="BC25" s="536"/>
      <c r="BD25" s="423">
        <f t="shared" si="11"/>
        <v>1.0972915224865067E-2</v>
      </c>
      <c r="BF25" s="575">
        <f t="shared" si="0"/>
        <v>2.5558655291844649E-2</v>
      </c>
      <c r="BG25" s="576">
        <f t="shared" si="1"/>
        <v>79120.549019577724</v>
      </c>
    </row>
    <row r="26" spans="1:59" s="336" customFormat="1" ht="11.25" customHeight="1" x14ac:dyDescent="0.25">
      <c r="A26" s="455">
        <v>31000</v>
      </c>
      <c r="B26" s="456" t="s">
        <v>97</v>
      </c>
      <c r="C26" s="422"/>
      <c r="D26" s="490">
        <f t="shared" si="2"/>
        <v>1.3279570564738625E-2</v>
      </c>
      <c r="E26" s="31"/>
      <c r="F26" s="490">
        <f t="shared" si="3"/>
        <v>0</v>
      </c>
      <c r="G26" s="30"/>
      <c r="H26" s="490">
        <f t="shared" si="4"/>
        <v>1.4376927519537803E-2</v>
      </c>
      <c r="J26" s="466">
        <f t="shared" si="5"/>
        <v>4.3881696113612118E-2</v>
      </c>
      <c r="K26" s="30"/>
      <c r="L26" s="515"/>
      <c r="M26" s="516"/>
      <c r="N26" s="516"/>
      <c r="O26" s="490">
        <f t="shared" si="6"/>
        <v>3.8227525066785152E-2</v>
      </c>
      <c r="P26" s="530"/>
      <c r="Q26" s="527"/>
      <c r="R26" s="533"/>
      <c r="S26" s="527"/>
      <c r="T26" s="533"/>
      <c r="U26" s="30"/>
      <c r="V26" s="536"/>
      <c r="W26" s="423">
        <f t="shared" ref="W26" si="27">W54</f>
        <v>3.7672672215058059E-2</v>
      </c>
      <c r="Y26" s="568"/>
      <c r="Z26" s="527"/>
      <c r="AA26" s="533"/>
      <c r="AB26" s="527"/>
      <c r="AC26" s="533"/>
      <c r="AD26" s="30"/>
      <c r="AE26" s="536"/>
      <c r="AF26" s="30">
        <f t="shared" si="8"/>
        <v>0.11907230784014278</v>
      </c>
      <c r="AG26" s="530"/>
      <c r="AH26" s="527"/>
      <c r="AI26" s="533"/>
      <c r="AJ26" s="527"/>
      <c r="AK26" s="533"/>
      <c r="AL26" s="30"/>
      <c r="AM26" s="536"/>
      <c r="AN26" s="566">
        <f t="shared" si="9"/>
        <v>4.4363024250103191E-3</v>
      </c>
      <c r="AO26" s="530"/>
      <c r="AP26" s="527"/>
      <c r="AQ26" s="533"/>
      <c r="AR26" s="527"/>
      <c r="AS26" s="533"/>
      <c r="AT26" s="30"/>
      <c r="AU26" s="536"/>
      <c r="AV26" s="566">
        <f t="shared" si="10"/>
        <v>5.943375066969879E-2</v>
      </c>
      <c r="AW26" s="530"/>
      <c r="AX26" s="527"/>
      <c r="AY26" s="533"/>
      <c r="AZ26" s="527"/>
      <c r="BA26" s="533"/>
      <c r="BB26" s="30"/>
      <c r="BC26" s="536"/>
      <c r="BD26" s="423">
        <f t="shared" si="11"/>
        <v>5.8517489587192086E-2</v>
      </c>
      <c r="BF26" s="575">
        <f t="shared" si="0"/>
        <v>3.4235188702819115E-2</v>
      </c>
      <c r="BG26" s="576">
        <f t="shared" si="1"/>
        <v>105980.02496712719</v>
      </c>
    </row>
    <row r="27" spans="1:59" s="336" customFormat="1" ht="11.25" customHeight="1" x14ac:dyDescent="0.25">
      <c r="A27" s="455">
        <v>41000</v>
      </c>
      <c r="B27" s="456" t="s">
        <v>98</v>
      </c>
      <c r="C27" s="422"/>
      <c r="D27" s="490">
        <f t="shared" si="2"/>
        <v>1.8813590220620551E-2</v>
      </c>
      <c r="E27" s="31"/>
      <c r="F27" s="490">
        <f t="shared" si="3"/>
        <v>0</v>
      </c>
      <c r="G27" s="30"/>
      <c r="H27" s="490">
        <f t="shared" si="4"/>
        <v>2.2920652441469184E-2</v>
      </c>
      <c r="J27" s="466">
        <f t="shared" si="5"/>
        <v>2.8075056786779479E-2</v>
      </c>
      <c r="K27" s="30"/>
      <c r="L27" s="515"/>
      <c r="M27" s="516"/>
      <c r="N27" s="516"/>
      <c r="O27" s="490">
        <f t="shared" si="6"/>
        <v>3.0073984828168743E-2</v>
      </c>
      <c r="P27" s="530"/>
      <c r="Q27" s="527"/>
      <c r="R27" s="533"/>
      <c r="S27" s="527"/>
      <c r="T27" s="533"/>
      <c r="U27" s="30"/>
      <c r="V27" s="536"/>
      <c r="W27" s="423">
        <f t="shared" ref="W27" si="28">W55</f>
        <v>6.0006313127393865E-2</v>
      </c>
      <c r="Y27" s="568"/>
      <c r="Z27" s="527"/>
      <c r="AA27" s="533"/>
      <c r="AB27" s="527"/>
      <c r="AC27" s="533"/>
      <c r="AD27" s="30"/>
      <c r="AE27" s="536"/>
      <c r="AF27" s="30">
        <f t="shared" si="8"/>
        <v>3.1090819258963859E-2</v>
      </c>
      <c r="AG27" s="530"/>
      <c r="AH27" s="527"/>
      <c r="AI27" s="533"/>
      <c r="AJ27" s="527"/>
      <c r="AK27" s="533"/>
      <c r="AL27" s="30"/>
      <c r="AM27" s="536"/>
      <c r="AN27" s="566">
        <f t="shared" si="9"/>
        <v>6.3120466911630079E-3</v>
      </c>
      <c r="AO27" s="530"/>
      <c r="AP27" s="527"/>
      <c r="AQ27" s="533"/>
      <c r="AR27" s="527"/>
      <c r="AS27" s="533"/>
      <c r="AT27" s="30"/>
      <c r="AU27" s="536"/>
      <c r="AV27" s="566">
        <f t="shared" si="10"/>
        <v>5.4224500904405601E-2</v>
      </c>
      <c r="AW27" s="530"/>
      <c r="AX27" s="527"/>
      <c r="AY27" s="533"/>
      <c r="AZ27" s="527"/>
      <c r="BA27" s="533"/>
      <c r="BB27" s="30"/>
      <c r="BC27" s="536"/>
      <c r="BD27" s="423">
        <f t="shared" si="11"/>
        <v>5.4046001653265639E-2</v>
      </c>
      <c r="BF27" s="575">
        <f t="shared" si="0"/>
        <v>4.0025099224906074E-2</v>
      </c>
      <c r="BG27" s="576">
        <f t="shared" si="1"/>
        <v>123903.53831518358</v>
      </c>
    </row>
    <row r="28" spans="1:59" s="336" customFormat="1" ht="11.25" customHeight="1" x14ac:dyDescent="0.25">
      <c r="A28" s="455">
        <v>43000</v>
      </c>
      <c r="B28" s="456" t="s">
        <v>99</v>
      </c>
      <c r="C28" s="422"/>
      <c r="D28" s="490">
        <f t="shared" si="2"/>
        <v>1.8670007496309246E-2</v>
      </c>
      <c r="E28" s="31"/>
      <c r="F28" s="490">
        <f t="shared" si="3"/>
        <v>0</v>
      </c>
      <c r="G28" s="30"/>
      <c r="H28" s="490">
        <f t="shared" si="4"/>
        <v>3.1396041316533341E-2</v>
      </c>
      <c r="J28" s="466">
        <f t="shared" si="5"/>
        <v>3.050776011355668E-2</v>
      </c>
      <c r="K28" s="30"/>
      <c r="L28" s="515"/>
      <c r="M28" s="516"/>
      <c r="N28" s="516"/>
      <c r="O28" s="490">
        <f t="shared" si="6"/>
        <v>2.9813087286434788E-2</v>
      </c>
      <c r="P28" s="530"/>
      <c r="Q28" s="527"/>
      <c r="R28" s="533"/>
      <c r="S28" s="527"/>
      <c r="T28" s="533"/>
      <c r="U28" s="30"/>
      <c r="V28" s="536"/>
      <c r="W28" s="423">
        <f t="shared" ref="W28" si="29">W56</f>
        <v>3.7189367262301855E-2</v>
      </c>
      <c r="Y28" s="568"/>
      <c r="Z28" s="527"/>
      <c r="AA28" s="533"/>
      <c r="AB28" s="527"/>
      <c r="AC28" s="533"/>
      <c r="AD28" s="30"/>
      <c r="AE28" s="536"/>
      <c r="AF28" s="30">
        <f t="shared" si="8"/>
        <v>1.9679096916904282E-2</v>
      </c>
      <c r="AG28" s="530"/>
      <c r="AH28" s="527"/>
      <c r="AI28" s="533"/>
      <c r="AJ28" s="527"/>
      <c r="AK28" s="533"/>
      <c r="AL28" s="30"/>
      <c r="AM28" s="536"/>
      <c r="AN28" s="566">
        <f t="shared" si="9"/>
        <v>1.0908872522082952E-2</v>
      </c>
      <c r="AO28" s="530"/>
      <c r="AP28" s="527"/>
      <c r="AQ28" s="533"/>
      <c r="AR28" s="527"/>
      <c r="AS28" s="533"/>
      <c r="AT28" s="30"/>
      <c r="AU28" s="536"/>
      <c r="AV28" s="566">
        <f t="shared" si="10"/>
        <v>2.7831031124484252E-2</v>
      </c>
      <c r="AW28" s="530"/>
      <c r="AX28" s="527"/>
      <c r="AY28" s="533"/>
      <c r="AZ28" s="527"/>
      <c r="BA28" s="533"/>
      <c r="BB28" s="30"/>
      <c r="BC28" s="536"/>
      <c r="BD28" s="423">
        <f t="shared" si="11"/>
        <v>2.0291342130192347E-2</v>
      </c>
      <c r="BF28" s="575">
        <f t="shared" si="0"/>
        <v>2.6466515507332266E-2</v>
      </c>
      <c r="BG28" s="576">
        <f t="shared" si="1"/>
        <v>81930.962864211106</v>
      </c>
    </row>
    <row r="29" spans="1:59" s="336" customFormat="1" ht="11.25" customHeight="1" x14ac:dyDescent="0.25">
      <c r="A29" s="455">
        <v>51000</v>
      </c>
      <c r="B29" s="456" t="s">
        <v>100</v>
      </c>
      <c r="C29" s="422"/>
      <c r="D29" s="490">
        <f t="shared" si="2"/>
        <v>2.7668536820317142E-3</v>
      </c>
      <c r="E29" s="31"/>
      <c r="F29" s="490">
        <f t="shared" si="3"/>
        <v>0.2365963721709457</v>
      </c>
      <c r="G29" s="341"/>
      <c r="H29" s="490">
        <f t="shared" si="4"/>
        <v>6.6322351629732297E-3</v>
      </c>
      <c r="J29" s="466">
        <f t="shared" si="5"/>
        <v>2.9107546813866665E-3</v>
      </c>
      <c r="K29" s="30"/>
      <c r="L29" s="515"/>
      <c r="M29" s="516"/>
      <c r="N29" s="516"/>
      <c r="O29" s="490">
        <f t="shared" si="6"/>
        <v>2.4915832483706879E-2</v>
      </c>
      <c r="P29" s="530"/>
      <c r="Q29" s="527"/>
      <c r="R29" s="533"/>
      <c r="S29" s="527"/>
      <c r="T29" s="533"/>
      <c r="U29" s="30"/>
      <c r="V29" s="536"/>
      <c r="W29" s="423">
        <f t="shared" ref="W29" si="30">W57</f>
        <v>1.5849674023216246E-2</v>
      </c>
      <c r="Y29" s="568"/>
      <c r="Z29" s="527"/>
      <c r="AA29" s="533"/>
      <c r="AB29" s="527"/>
      <c r="AC29" s="533"/>
      <c r="AD29" s="30"/>
      <c r="AE29" s="536"/>
      <c r="AF29" s="30">
        <f t="shared" si="8"/>
        <v>6.5554399802081791E-3</v>
      </c>
      <c r="AG29" s="530"/>
      <c r="AH29" s="527"/>
      <c r="AI29" s="533"/>
      <c r="AJ29" s="527"/>
      <c r="AK29" s="533"/>
      <c r="AL29" s="30"/>
      <c r="AM29" s="536"/>
      <c r="AN29" s="566">
        <f t="shared" si="9"/>
        <v>1.0250810813795246E-2</v>
      </c>
      <c r="AO29" s="530"/>
      <c r="AP29" s="527"/>
      <c r="AQ29" s="533"/>
      <c r="AR29" s="527"/>
      <c r="AS29" s="533"/>
      <c r="AT29" s="30"/>
      <c r="AU29" s="536"/>
      <c r="AV29" s="566">
        <f t="shared" si="10"/>
        <v>1.178857023326183E-2</v>
      </c>
      <c r="AW29" s="530"/>
      <c r="AX29" s="527"/>
      <c r="AY29" s="533"/>
      <c r="AZ29" s="527"/>
      <c r="BA29" s="533"/>
      <c r="BB29" s="30"/>
      <c r="BC29" s="536"/>
      <c r="BD29" s="423">
        <f t="shared" si="11"/>
        <v>2.0223054698287612E-2</v>
      </c>
      <c r="BF29" s="575">
        <f t="shared" si="0"/>
        <v>1.4781885057923428E-2</v>
      </c>
      <c r="BG29" s="576">
        <f t="shared" si="1"/>
        <v>45759.483352020427</v>
      </c>
    </row>
    <row r="30" spans="1:59" s="336" customFormat="1" ht="11.25" customHeight="1" x14ac:dyDescent="0.25">
      <c r="A30" s="455">
        <v>52000</v>
      </c>
      <c r="B30" s="456" t="s">
        <v>101</v>
      </c>
      <c r="C30" s="422"/>
      <c r="D30" s="490">
        <f t="shared" si="2"/>
        <v>1.6624684378681626E-4</v>
      </c>
      <c r="E30" s="31"/>
      <c r="F30" s="490">
        <f t="shared" si="3"/>
        <v>0.109545150992268</v>
      </c>
      <c r="G30" s="341"/>
      <c r="H30" s="490">
        <f t="shared" si="4"/>
        <v>1.2887358357864035E-3</v>
      </c>
      <c r="J30" s="466">
        <f t="shared" si="5"/>
        <v>6.8182863675159079E-4</v>
      </c>
      <c r="K30" s="30"/>
      <c r="L30" s="515"/>
      <c r="M30" s="516"/>
      <c r="N30" s="516"/>
      <c r="O30" s="490">
        <f t="shared" si="6"/>
        <v>4.3450154870761995E-3</v>
      </c>
      <c r="P30" s="530"/>
      <c r="Q30" s="527"/>
      <c r="R30" s="533"/>
      <c r="S30" s="527"/>
      <c r="T30" s="533"/>
      <c r="U30" s="30"/>
      <c r="V30" s="536"/>
      <c r="W30" s="423">
        <f t="shared" ref="W30" si="31">W58</f>
        <v>3.3190998616582559E-3</v>
      </c>
      <c r="Y30" s="568"/>
      <c r="Z30" s="527"/>
      <c r="AA30" s="533"/>
      <c r="AB30" s="527"/>
      <c r="AC30" s="533"/>
      <c r="AD30" s="30"/>
      <c r="AE30" s="536"/>
      <c r="AF30" s="30">
        <f t="shared" si="8"/>
        <v>1.0631251255124358E-3</v>
      </c>
      <c r="AG30" s="530"/>
      <c r="AH30" s="527"/>
      <c r="AI30" s="533"/>
      <c r="AJ30" s="527"/>
      <c r="AK30" s="533"/>
      <c r="AL30" s="30"/>
      <c r="AM30" s="536"/>
      <c r="AN30" s="566">
        <f t="shared" si="9"/>
        <v>0</v>
      </c>
      <c r="AO30" s="530"/>
      <c r="AP30" s="527"/>
      <c r="AQ30" s="533"/>
      <c r="AR30" s="527"/>
      <c r="AS30" s="533"/>
      <c r="AT30" s="30"/>
      <c r="AU30" s="536"/>
      <c r="AV30" s="566">
        <f t="shared" si="10"/>
        <v>3.6495538865058742E-3</v>
      </c>
      <c r="AW30" s="530"/>
      <c r="AX30" s="527"/>
      <c r="AY30" s="533"/>
      <c r="AZ30" s="527"/>
      <c r="BA30" s="533"/>
      <c r="BB30" s="30"/>
      <c r="BC30" s="536"/>
      <c r="BD30" s="423">
        <f t="shared" si="11"/>
        <v>3.8129976755542387E-3</v>
      </c>
      <c r="BF30" s="575">
        <f t="shared" si="0"/>
        <v>3.9870249827989885E-3</v>
      </c>
      <c r="BG30" s="576">
        <f t="shared" si="1"/>
        <v>12342.417939901758</v>
      </c>
    </row>
    <row r="31" spans="1:59" s="336" customFormat="1" ht="11.25" customHeight="1" x14ac:dyDescent="0.25">
      <c r="A31" s="455">
        <v>53000</v>
      </c>
      <c r="B31" s="456" t="s">
        <v>102</v>
      </c>
      <c r="C31" s="422"/>
      <c r="D31" s="490">
        <f t="shared" si="2"/>
        <v>6.5360381350246786E-4</v>
      </c>
      <c r="E31" s="31"/>
      <c r="F31" s="490">
        <f t="shared" si="3"/>
        <v>0.12139600776675043</v>
      </c>
      <c r="G31" s="341"/>
      <c r="H31" s="490">
        <f t="shared" si="4"/>
        <v>4.5746968521215655E-4</v>
      </c>
      <c r="J31" s="466">
        <f t="shared" si="5"/>
        <v>2.2108261890035285E-3</v>
      </c>
      <c r="K31" s="30"/>
      <c r="L31" s="515"/>
      <c r="M31" s="516"/>
      <c r="N31" s="516"/>
      <c r="O31" s="490">
        <f t="shared" si="6"/>
        <v>3.1653035608201255E-3</v>
      </c>
      <c r="P31" s="530"/>
      <c r="Q31" s="527"/>
      <c r="R31" s="533"/>
      <c r="S31" s="527"/>
      <c r="T31" s="533"/>
      <c r="U31" s="30"/>
      <c r="V31" s="536"/>
      <c r="W31" s="423">
        <f t="shared" ref="W31" si="32">W59</f>
        <v>4.2396331335505947E-3</v>
      </c>
      <c r="Y31" s="568"/>
      <c r="Z31" s="527"/>
      <c r="AA31" s="533"/>
      <c r="AB31" s="527"/>
      <c r="AC31" s="533"/>
      <c r="AD31" s="30"/>
      <c r="AE31" s="536"/>
      <c r="AF31" s="30">
        <f t="shared" si="8"/>
        <v>1.6841097453889758E-3</v>
      </c>
      <c r="AG31" s="530"/>
      <c r="AH31" s="527"/>
      <c r="AI31" s="533"/>
      <c r="AJ31" s="527"/>
      <c r="AK31" s="533"/>
      <c r="AL31" s="30"/>
      <c r="AM31" s="536"/>
      <c r="AN31" s="566">
        <f t="shared" si="9"/>
        <v>2.9732809573615646E-3</v>
      </c>
      <c r="AO31" s="530"/>
      <c r="AP31" s="527"/>
      <c r="AQ31" s="533"/>
      <c r="AR31" s="527"/>
      <c r="AS31" s="533"/>
      <c r="AT31" s="30"/>
      <c r="AU31" s="536"/>
      <c r="AV31" s="566">
        <f t="shared" si="10"/>
        <v>7.8735925992307037E-3</v>
      </c>
      <c r="AW31" s="530"/>
      <c r="AX31" s="527"/>
      <c r="AY31" s="533"/>
      <c r="AZ31" s="527"/>
      <c r="BA31" s="533"/>
      <c r="BB31" s="30"/>
      <c r="BC31" s="536"/>
      <c r="BD31" s="423">
        <f t="shared" si="11"/>
        <v>7.6914218490132299E-3</v>
      </c>
      <c r="BF31" s="575">
        <f t="shared" si="0"/>
        <v>5.599457206209745E-3</v>
      </c>
      <c r="BG31" s="576">
        <f t="shared" si="1"/>
        <v>17333.937302574373</v>
      </c>
    </row>
    <row r="32" spans="1:59" s="336" customFormat="1" ht="11.25" customHeight="1" x14ac:dyDescent="0.25">
      <c r="A32" s="455">
        <v>54000</v>
      </c>
      <c r="B32" s="456" t="s">
        <v>103</v>
      </c>
      <c r="C32" s="422"/>
      <c r="D32" s="490">
        <f t="shared" si="2"/>
        <v>8.5101685591613269E-4</v>
      </c>
      <c r="E32" s="31"/>
      <c r="F32" s="490">
        <f t="shared" si="3"/>
        <v>0.18650237596167579</v>
      </c>
      <c r="G32" s="341"/>
      <c r="H32" s="490">
        <f t="shared" si="4"/>
        <v>4.7380699843517114E-4</v>
      </c>
      <c r="J32" s="466">
        <f t="shared" si="5"/>
        <v>1.8453886105349918E-3</v>
      </c>
      <c r="K32" s="30"/>
      <c r="L32" s="515"/>
      <c r="M32" s="516"/>
      <c r="N32" s="516"/>
      <c r="O32" s="490">
        <f t="shared" si="6"/>
        <v>1.0690504000080566E-2</v>
      </c>
      <c r="P32" s="530"/>
      <c r="Q32" s="527"/>
      <c r="R32" s="533"/>
      <c r="S32" s="527"/>
      <c r="T32" s="533"/>
      <c r="U32" s="30"/>
      <c r="V32" s="536"/>
      <c r="W32" s="423">
        <f t="shared" ref="W32" si="33">W60</f>
        <v>9.8368247068138497E-3</v>
      </c>
      <c r="Y32" s="568"/>
      <c r="Z32" s="527"/>
      <c r="AA32" s="533"/>
      <c r="AB32" s="527"/>
      <c r="AC32" s="533"/>
      <c r="AD32" s="30"/>
      <c r="AE32" s="536"/>
      <c r="AF32" s="30">
        <f t="shared" si="8"/>
        <v>4.0657073052234784E-3</v>
      </c>
      <c r="AG32" s="530"/>
      <c r="AH32" s="527"/>
      <c r="AI32" s="533"/>
      <c r="AJ32" s="527"/>
      <c r="AK32" s="533"/>
      <c r="AL32" s="30"/>
      <c r="AM32" s="536"/>
      <c r="AN32" s="566">
        <f t="shared" si="9"/>
        <v>5.7325650381976506E-4</v>
      </c>
      <c r="AO32" s="530"/>
      <c r="AP32" s="527"/>
      <c r="AQ32" s="533"/>
      <c r="AR32" s="527"/>
      <c r="AS32" s="533"/>
      <c r="AT32" s="30"/>
      <c r="AU32" s="536"/>
      <c r="AV32" s="566">
        <f t="shared" si="10"/>
        <v>7.3114323473159907E-3</v>
      </c>
      <c r="AW32" s="530"/>
      <c r="AX32" s="527"/>
      <c r="AY32" s="533"/>
      <c r="AZ32" s="527"/>
      <c r="BA32" s="533"/>
      <c r="BB32" s="30"/>
      <c r="BC32" s="536"/>
      <c r="BD32" s="423">
        <f t="shared" si="11"/>
        <v>2.7570547176830754E-3</v>
      </c>
      <c r="BF32" s="575">
        <f t="shared" si="0"/>
        <v>8.0665797429207275E-3</v>
      </c>
      <c r="BG32" s="576">
        <f t="shared" si="1"/>
        <v>24971.275314853578</v>
      </c>
    </row>
    <row r="33" spans="1:70" s="336" customFormat="1" ht="11.25" customHeight="1" x14ac:dyDescent="0.25">
      <c r="A33" s="455">
        <v>55000</v>
      </c>
      <c r="B33" s="456" t="s">
        <v>104</v>
      </c>
      <c r="C33" s="424"/>
      <c r="D33" s="490">
        <f t="shared" si="2"/>
        <v>0</v>
      </c>
      <c r="E33" s="31"/>
      <c r="F33" s="490">
        <f t="shared" si="3"/>
        <v>0</v>
      </c>
      <c r="G33" s="30"/>
      <c r="H33" s="490">
        <f t="shared" si="4"/>
        <v>7.0800599303724715E-5</v>
      </c>
      <c r="J33" s="466">
        <f t="shared" si="5"/>
        <v>2.8185035740574799E-3</v>
      </c>
      <c r="K33" s="30"/>
      <c r="L33" s="515"/>
      <c r="M33" s="516"/>
      <c r="N33" s="516"/>
      <c r="O33" s="490">
        <f t="shared" si="6"/>
        <v>2.3496409599107287E-3</v>
      </c>
      <c r="P33" s="530"/>
      <c r="Q33" s="527"/>
      <c r="R33" s="533"/>
      <c r="S33" s="527"/>
      <c r="T33" s="533"/>
      <c r="U33" s="30"/>
      <c r="V33" s="536"/>
      <c r="W33" s="423">
        <f t="shared" ref="W33" si="34">W61</f>
        <v>4.8289682064558311E-3</v>
      </c>
      <c r="Y33" s="568"/>
      <c r="Z33" s="527"/>
      <c r="AA33" s="533"/>
      <c r="AB33" s="527"/>
      <c r="AC33" s="533"/>
      <c r="AD33" s="30"/>
      <c r="AE33" s="536"/>
      <c r="AF33" s="30">
        <f t="shared" si="8"/>
        <v>1.511549263628289E-3</v>
      </c>
      <c r="AG33" s="530"/>
      <c r="AH33" s="527"/>
      <c r="AI33" s="533"/>
      <c r="AJ33" s="527"/>
      <c r="AK33" s="533"/>
      <c r="AL33" s="30"/>
      <c r="AM33" s="536"/>
      <c r="AN33" s="566">
        <f t="shared" si="9"/>
        <v>0</v>
      </c>
      <c r="AO33" s="530"/>
      <c r="AP33" s="527"/>
      <c r="AQ33" s="533"/>
      <c r="AR33" s="527"/>
      <c r="AS33" s="533"/>
      <c r="AT33" s="30"/>
      <c r="AU33" s="536"/>
      <c r="AV33" s="566">
        <f t="shared" si="10"/>
        <v>5.6035892263579679E-3</v>
      </c>
      <c r="AW33" s="530"/>
      <c r="AX33" s="527"/>
      <c r="AY33" s="533"/>
      <c r="AZ33" s="527"/>
      <c r="BA33" s="533"/>
      <c r="BB33" s="30"/>
      <c r="BC33" s="536"/>
      <c r="BD33" s="423">
        <f t="shared" si="11"/>
        <v>9.8455137734766566E-4</v>
      </c>
      <c r="BF33" s="575">
        <f t="shared" si="0"/>
        <v>2.4352842341311769E-3</v>
      </c>
      <c r="BG33" s="576">
        <f t="shared" si="1"/>
        <v>7538.7778982512409</v>
      </c>
    </row>
    <row r="34" spans="1:70" s="336" customFormat="1" ht="11.25" customHeight="1" thickBot="1" x14ac:dyDescent="0.3">
      <c r="A34" s="457">
        <v>56000</v>
      </c>
      <c r="B34" s="458" t="s">
        <v>105</v>
      </c>
      <c r="C34" s="425"/>
      <c r="D34" s="491">
        <f t="shared" si="2"/>
        <v>4.2294546999798326E-5</v>
      </c>
      <c r="E34" s="427"/>
      <c r="F34" s="491">
        <f t="shared" si="3"/>
        <v>0</v>
      </c>
      <c r="G34" s="426"/>
      <c r="H34" s="491">
        <f t="shared" si="4"/>
        <v>0</v>
      </c>
      <c r="I34" s="428"/>
      <c r="J34" s="467">
        <f t="shared" si="5"/>
        <v>1.2228787958242268E-3</v>
      </c>
      <c r="K34" s="30"/>
      <c r="L34" s="517"/>
      <c r="M34" s="518"/>
      <c r="N34" s="518"/>
      <c r="O34" s="491">
        <f t="shared" si="6"/>
        <v>1.2716869275743274E-3</v>
      </c>
      <c r="P34" s="531"/>
      <c r="Q34" s="528"/>
      <c r="R34" s="534"/>
      <c r="S34" s="528"/>
      <c r="T34" s="534"/>
      <c r="U34" s="426"/>
      <c r="V34" s="537"/>
      <c r="W34" s="429">
        <f t="shared" ref="W34" si="35">W62</f>
        <v>1.2530810156220686E-3</v>
      </c>
      <c r="Y34" s="569"/>
      <c r="Z34" s="528"/>
      <c r="AA34" s="534"/>
      <c r="AB34" s="528"/>
      <c r="AC34" s="534"/>
      <c r="AD34" s="426"/>
      <c r="AE34" s="537"/>
      <c r="AF34" s="426">
        <f t="shared" si="8"/>
        <v>7.9089755161739135E-4</v>
      </c>
      <c r="AG34" s="531"/>
      <c r="AH34" s="528"/>
      <c r="AI34" s="534"/>
      <c r="AJ34" s="528"/>
      <c r="AK34" s="534"/>
      <c r="AL34" s="426"/>
      <c r="AM34" s="537"/>
      <c r="AN34" s="567">
        <f t="shared" si="9"/>
        <v>0</v>
      </c>
      <c r="AO34" s="531"/>
      <c r="AP34" s="528"/>
      <c r="AQ34" s="534"/>
      <c r="AR34" s="528"/>
      <c r="AS34" s="534"/>
      <c r="AT34" s="426"/>
      <c r="AU34" s="537"/>
      <c r="AV34" s="567">
        <f t="shared" si="10"/>
        <v>6.1000439513916372E-4</v>
      </c>
      <c r="AW34" s="531"/>
      <c r="AX34" s="528"/>
      <c r="AY34" s="534"/>
      <c r="AZ34" s="528"/>
      <c r="BA34" s="534"/>
      <c r="BB34" s="426"/>
      <c r="BC34" s="537"/>
      <c r="BD34" s="429">
        <f t="shared" si="11"/>
        <v>1.6182373554605829E-4</v>
      </c>
      <c r="BF34" s="577">
        <f t="shared" si="0"/>
        <v>5.7621737510393854E-4</v>
      </c>
      <c r="BG34" s="578">
        <f t="shared" si="1"/>
        <v>1783.7650123710068</v>
      </c>
    </row>
    <row r="35" spans="1:70" ht="8.25" customHeight="1" x14ac:dyDescent="0.25">
      <c r="E35" s="338"/>
      <c r="G35" s="338"/>
      <c r="H35" s="29"/>
      <c r="I35" s="338"/>
      <c r="J35" s="29"/>
      <c r="K35" s="29"/>
      <c r="L35" s="29"/>
      <c r="M35" s="29"/>
      <c r="N35" s="29"/>
      <c r="O35" s="29"/>
      <c r="P35" s="342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F35" s="344"/>
    </row>
    <row r="36" spans="1:70" x14ac:dyDescent="0.25">
      <c r="A36" s="499" t="s">
        <v>190</v>
      </c>
      <c r="B36" s="500" t="s">
        <v>79</v>
      </c>
      <c r="E36" s="338"/>
      <c r="G36" s="338"/>
      <c r="H36" s="29"/>
      <c r="I36" s="338"/>
      <c r="J36" s="29"/>
      <c r="K36" s="29"/>
      <c r="L36" s="511"/>
      <c r="M36" s="512"/>
      <c r="N36" s="513"/>
      <c r="O36" s="514"/>
      <c r="P36" s="541">
        <f t="shared" ref="P36:T36" si="36">SUM(P37:P62)</f>
        <v>62889.954989854908</v>
      </c>
      <c r="Q36" s="538">
        <f t="shared" si="36"/>
        <v>0.99999999999999967</v>
      </c>
      <c r="R36" s="544">
        <f t="shared" si="36"/>
        <v>34368.023017912856</v>
      </c>
      <c r="S36" s="538">
        <f t="shared" ref="S36" si="37">SUM(S37:S62)</f>
        <v>1</v>
      </c>
      <c r="T36" s="544">
        <f t="shared" si="36"/>
        <v>5842.2643058315189</v>
      </c>
      <c r="U36" s="538">
        <f t="shared" ref="U36" si="38">SUM(U37:U62)</f>
        <v>1.0000000000000002</v>
      </c>
      <c r="V36" s="544">
        <f>SUM(V37:V62)</f>
        <v>103100.24231359927</v>
      </c>
      <c r="W36" s="547">
        <f>SUM(W37:W62)</f>
        <v>0.99999999999999989</v>
      </c>
      <c r="Y36" s="557">
        <f t="shared" ref="Y36:AD36" si="39">SUM(Y37:Y62)</f>
        <v>14470</v>
      </c>
      <c r="Z36" s="538">
        <f t="shared" si="39"/>
        <v>1.0000000000000002</v>
      </c>
      <c r="AA36" s="544">
        <f t="shared" si="39"/>
        <v>9998</v>
      </c>
      <c r="AB36" s="538">
        <f t="shared" si="39"/>
        <v>1</v>
      </c>
      <c r="AC36" s="544">
        <f t="shared" si="39"/>
        <v>3112</v>
      </c>
      <c r="AD36" s="538">
        <f t="shared" si="39"/>
        <v>1</v>
      </c>
      <c r="AE36" s="544">
        <f>SUM(AE37:AE62)</f>
        <v>27580</v>
      </c>
      <c r="AF36" s="478">
        <f>SUM(AF37:AF62)</f>
        <v>1.0000000000000002</v>
      </c>
      <c r="AG36" s="541">
        <f t="shared" ref="AG36:AL36" si="40">SUM(AG37:AG62)</f>
        <v>278</v>
      </c>
      <c r="AH36" s="538">
        <f t="shared" si="40"/>
        <v>1</v>
      </c>
      <c r="AI36" s="544">
        <f t="shared" si="40"/>
        <v>3271</v>
      </c>
      <c r="AJ36" s="538">
        <f t="shared" si="40"/>
        <v>1.0000000000000002</v>
      </c>
      <c r="AK36" s="544">
        <f t="shared" si="40"/>
        <v>157</v>
      </c>
      <c r="AL36" s="538">
        <f t="shared" si="40"/>
        <v>0.99999999999999989</v>
      </c>
      <c r="AM36" s="544">
        <f t="shared" ref="AM36:BD36" si="41">SUM(AM37:AM62)</f>
        <v>3706</v>
      </c>
      <c r="AN36" s="479">
        <f t="shared" si="41"/>
        <v>0.99999999999999989</v>
      </c>
      <c r="AO36" s="541">
        <f>SUM(AO37:AO62)</f>
        <v>365037.72</v>
      </c>
      <c r="AP36" s="538">
        <f t="shared" si="41"/>
        <v>1.0000000000000002</v>
      </c>
      <c r="AQ36" s="544">
        <f t="shared" si="41"/>
        <v>835233.96</v>
      </c>
      <c r="AR36" s="538">
        <f t="shared" si="41"/>
        <v>1.0000000000000002</v>
      </c>
      <c r="AS36" s="544">
        <f t="shared" si="41"/>
        <v>99800.920000000013</v>
      </c>
      <c r="AT36" s="538">
        <f t="shared" si="41"/>
        <v>0.99999999999999978</v>
      </c>
      <c r="AU36" s="544">
        <f t="shared" si="41"/>
        <v>1300072.6000000001</v>
      </c>
      <c r="AV36" s="479">
        <f t="shared" si="41"/>
        <v>0.99999999999999967</v>
      </c>
      <c r="AW36" s="541">
        <f t="shared" si="41"/>
        <v>583244.7799999998</v>
      </c>
      <c r="AX36" s="538">
        <f t="shared" si="41"/>
        <v>1.0000000000000002</v>
      </c>
      <c r="AY36" s="544">
        <f t="shared" si="41"/>
        <v>753263.12</v>
      </c>
      <c r="AZ36" s="538">
        <f t="shared" si="41"/>
        <v>0.99999999999999989</v>
      </c>
      <c r="BA36" s="544">
        <f t="shared" si="41"/>
        <v>28125.039999999997</v>
      </c>
      <c r="BB36" s="538">
        <f t="shared" si="41"/>
        <v>1.0000000000000002</v>
      </c>
      <c r="BC36" s="544">
        <f t="shared" si="41"/>
        <v>1364632.94</v>
      </c>
      <c r="BD36" s="547">
        <f t="shared" si="41"/>
        <v>1</v>
      </c>
      <c r="BF36"/>
      <c r="BG36"/>
      <c r="BH36"/>
      <c r="BI36"/>
      <c r="BJ36"/>
      <c r="BK36"/>
      <c r="BL36"/>
      <c r="BM36"/>
    </row>
    <row r="37" spans="1:70" ht="11.25" customHeight="1" x14ac:dyDescent="0.25">
      <c r="A37" s="468">
        <v>11000</v>
      </c>
      <c r="B37" s="469" t="s">
        <v>80</v>
      </c>
      <c r="E37" s="338"/>
      <c r="G37" s="338"/>
      <c r="H37" s="29"/>
      <c r="I37" s="338"/>
      <c r="J37" s="29"/>
      <c r="K37" s="29"/>
      <c r="L37" s="507"/>
      <c r="M37" s="505"/>
      <c r="N37" s="506"/>
      <c r="O37" s="481"/>
      <c r="P37" s="542">
        <v>5488.9317255804117</v>
      </c>
      <c r="Q37" s="539">
        <f>P37/P$36</f>
        <v>8.7278353537792466E-2</v>
      </c>
      <c r="R37" s="545">
        <v>7640.2364846837927</v>
      </c>
      <c r="S37" s="539">
        <f>R37/R$36</f>
        <v>0.2223065458464587</v>
      </c>
      <c r="T37" s="545">
        <v>1441.8093316809764</v>
      </c>
      <c r="U37" s="539">
        <f>T37/T$36</f>
        <v>0.24678947343101523</v>
      </c>
      <c r="V37" s="550">
        <f>P37+R37+T37</f>
        <v>14570.97754194518</v>
      </c>
      <c r="W37" s="548">
        <f>V37/V$36</f>
        <v>0.14132825699501986</v>
      </c>
      <c r="Y37" s="558">
        <v>1552</v>
      </c>
      <c r="Z37" s="539">
        <f>Y37/Y$36</f>
        <v>0.10725639253628197</v>
      </c>
      <c r="AA37" s="545">
        <v>2341</v>
      </c>
      <c r="AB37" s="539">
        <f>AA37/AA$36</f>
        <v>0.23414682936587317</v>
      </c>
      <c r="AC37" s="545">
        <v>1191</v>
      </c>
      <c r="AD37" s="539">
        <f>AC37/AC$36</f>
        <v>0.38271208226221082</v>
      </c>
      <c r="AE37" s="545">
        <f>Y37+AA37+AC37</f>
        <v>5084</v>
      </c>
      <c r="AF37" s="32">
        <f>AE37/AE$36</f>
        <v>0.18433647570703407</v>
      </c>
      <c r="AG37" s="542">
        <v>95</v>
      </c>
      <c r="AH37" s="539">
        <f>AG37/AG$36</f>
        <v>0.34172661870503596</v>
      </c>
      <c r="AI37" s="545">
        <v>2108</v>
      </c>
      <c r="AJ37" s="539">
        <f>AI37/AI$36</f>
        <v>0.64445123815346994</v>
      </c>
      <c r="AK37" s="545">
        <v>34</v>
      </c>
      <c r="AL37" s="539">
        <f>AK37/AK$36</f>
        <v>0.21656050955414013</v>
      </c>
      <c r="AM37" s="545">
        <f>AG37+AI37+AK37</f>
        <v>2237</v>
      </c>
      <c r="AN37" s="471">
        <f>AM37/AM$36</f>
        <v>0.60361575822989744</v>
      </c>
      <c r="AO37" s="542">
        <v>28228.5</v>
      </c>
      <c r="AP37" s="539">
        <f>AO37/AO$36</f>
        <v>7.7330364653822634E-2</v>
      </c>
      <c r="AQ37" s="545">
        <v>129096.3</v>
      </c>
      <c r="AR37" s="539">
        <f>AQ37/AQ$36</f>
        <v>0.15456304003730884</v>
      </c>
      <c r="AS37" s="545">
        <v>13203.9</v>
      </c>
      <c r="AT37" s="539">
        <f>AS37/AS$36</f>
        <v>0.13230238759322055</v>
      </c>
      <c r="AU37" s="545">
        <f>AO37+AQ37+AS37</f>
        <v>170528.69999999998</v>
      </c>
      <c r="AV37" s="471">
        <f>AU37/AU$36</f>
        <v>0.13116859781522969</v>
      </c>
      <c r="AW37" s="542">
        <v>189646.56</v>
      </c>
      <c r="AX37" s="539">
        <f>AW37/AW$36</f>
        <v>0.3251577493758282</v>
      </c>
      <c r="AY37" s="545">
        <v>144007.67999999999</v>
      </c>
      <c r="AZ37" s="539">
        <f>AY37/AY$36</f>
        <v>0.19117845567694858</v>
      </c>
      <c r="BA37" s="545">
        <v>13066.2</v>
      </c>
      <c r="BB37" s="539">
        <f>BA37/BA$36</f>
        <v>0.46457533927062866</v>
      </c>
      <c r="BC37" s="545">
        <f>AW37+AY37+BA37</f>
        <v>346720.44</v>
      </c>
      <c r="BD37" s="548">
        <f>BC37/BC$36</f>
        <v>0.25407597152095712</v>
      </c>
      <c r="BE37" s="338"/>
      <c r="BF37"/>
      <c r="BG37"/>
      <c r="BH37"/>
      <c r="BI37"/>
      <c r="BJ37"/>
      <c r="BK37"/>
      <c r="BL37"/>
      <c r="BM37"/>
    </row>
    <row r="38" spans="1:70" ht="11.25" customHeight="1" x14ac:dyDescent="0.25">
      <c r="A38" s="455">
        <v>12000</v>
      </c>
      <c r="B38" s="456" t="s">
        <v>81</v>
      </c>
      <c r="E38" s="338"/>
      <c r="G38" s="338"/>
      <c r="H38" s="29"/>
      <c r="I38" s="338"/>
      <c r="J38" s="29"/>
      <c r="K38" s="29"/>
      <c r="L38" s="507"/>
      <c r="M38" s="505"/>
      <c r="N38" s="506"/>
      <c r="O38" s="481"/>
      <c r="P38" s="542">
        <v>2891.5799679427059</v>
      </c>
      <c r="Q38" s="539">
        <f t="shared" ref="Q38:S62" si="42">P38/P$36</f>
        <v>4.5978407337215636E-2</v>
      </c>
      <c r="R38" s="545">
        <v>1276.8962599009901</v>
      </c>
      <c r="S38" s="539">
        <f t="shared" si="42"/>
        <v>3.71536139636389E-2</v>
      </c>
      <c r="T38" s="545">
        <v>229.84934492315443</v>
      </c>
      <c r="U38" s="539">
        <f t="shared" ref="U38" si="43">T38/T$36</f>
        <v>3.9342510521772837E-2</v>
      </c>
      <c r="V38" s="550">
        <f t="shared" ref="V38:V62" si="44">P38+R38+T38</f>
        <v>4398.3255727668502</v>
      </c>
      <c r="W38" s="548">
        <f t="shared" ref="W38:W62" si="45">V38/V$36</f>
        <v>4.2660671537400413E-2</v>
      </c>
      <c r="Y38" s="558">
        <v>153</v>
      </c>
      <c r="Z38" s="539">
        <f t="shared" ref="Z38:Z62" si="46">Y38/Y$36</f>
        <v>1.0573600552868002E-2</v>
      </c>
      <c r="AA38" s="545">
        <v>29</v>
      </c>
      <c r="AB38" s="539">
        <f t="shared" ref="AB38:AB62" si="47">AA38/AA$36</f>
        <v>2.9005801160232048E-3</v>
      </c>
      <c r="AC38" s="545">
        <v>76</v>
      </c>
      <c r="AD38" s="539">
        <f t="shared" ref="AD38:AD62" si="48">AC38/AC$36</f>
        <v>2.4421593830334189E-2</v>
      </c>
      <c r="AE38" s="545">
        <f t="shared" ref="AE38:AE62" si="49">Y38+AA38+AC38</f>
        <v>258</v>
      </c>
      <c r="AF38" s="32">
        <f t="shared" ref="AF38:AF62" si="50">AE38/AE$36</f>
        <v>9.3546047860768675E-3</v>
      </c>
      <c r="AG38" s="542"/>
      <c r="AH38" s="539">
        <f t="shared" ref="AH38:AH62" si="51">AG38/AG$36</f>
        <v>0</v>
      </c>
      <c r="AI38" s="545">
        <v>0</v>
      </c>
      <c r="AJ38" s="539">
        <f t="shared" ref="AJ38:AJ62" si="52">AI38/AI$36</f>
        <v>0</v>
      </c>
      <c r="AK38" s="545"/>
      <c r="AL38" s="539">
        <f t="shared" ref="AL38:AL62" si="53">AK38/AK$36</f>
        <v>0</v>
      </c>
      <c r="AM38" s="545">
        <f t="shared" ref="AM38:AM62" si="54">AG38+AI38+AK38</f>
        <v>0</v>
      </c>
      <c r="AN38" s="471">
        <f t="shared" ref="AN38:AN62" si="55">AM38/AM$36</f>
        <v>0</v>
      </c>
      <c r="AO38" s="542">
        <v>13381</v>
      </c>
      <c r="AP38" s="539">
        <f t="shared" ref="AP38:AP62" si="56">AO38/AO$36</f>
        <v>3.6656485800974213E-2</v>
      </c>
      <c r="AQ38" s="545">
        <v>11088</v>
      </c>
      <c r="AR38" s="539">
        <f t="shared" ref="AR38:AR62" si="57">AQ38/AQ$36</f>
        <v>1.3275322282154332E-2</v>
      </c>
      <c r="AS38" s="545">
        <v>1210</v>
      </c>
      <c r="AT38" s="539">
        <f t="shared" ref="AT38:AT62" si="58">AS38/AS$36</f>
        <v>1.212413673140488E-2</v>
      </c>
      <c r="AU38" s="545">
        <f t="shared" ref="AU38:AU62" si="59">AO38+AQ38+AS38</f>
        <v>25679</v>
      </c>
      <c r="AV38" s="471">
        <f t="shared" ref="AV38:AV62" si="60">AU38/AU$36</f>
        <v>1.9751973851306455E-2</v>
      </c>
      <c r="AW38" s="542">
        <v>6078</v>
      </c>
      <c r="AX38" s="539">
        <f t="shared" ref="AX38:AX62" si="61">AW38/AW$36</f>
        <v>1.0421010540377236E-2</v>
      </c>
      <c r="AY38" s="545">
        <v>3372</v>
      </c>
      <c r="AZ38" s="539">
        <f t="shared" ref="AZ38:AZ62" si="62">AY38/AY$36</f>
        <v>4.4765234225193446E-3</v>
      </c>
      <c r="BA38" s="545">
        <v>1128</v>
      </c>
      <c r="BB38" s="539">
        <f t="shared" ref="BB38:BB62" si="63">BA38/BA$36</f>
        <v>4.0106609626155205E-2</v>
      </c>
      <c r="BC38" s="545">
        <f t="shared" ref="BC38:BC62" si="64">AW38+AY38+BA38</f>
        <v>10578</v>
      </c>
      <c r="BD38" s="548">
        <f t="shared" ref="BD38:BD62" si="65">BC38/BC$36</f>
        <v>7.7515350025187E-3</v>
      </c>
      <c r="BE38" s="338"/>
      <c r="BF38"/>
      <c r="BG38"/>
      <c r="BH38"/>
      <c r="BI38"/>
      <c r="BJ38"/>
      <c r="BK38"/>
      <c r="BL38"/>
      <c r="BM38"/>
      <c r="BN38" s="350"/>
      <c r="BO38" s="350"/>
      <c r="BP38" s="350"/>
      <c r="BQ38" s="350"/>
      <c r="BR38" s="350"/>
    </row>
    <row r="39" spans="1:70" ht="11.25" customHeight="1" x14ac:dyDescent="0.25">
      <c r="A39" s="455">
        <v>13000</v>
      </c>
      <c r="B39" s="456" t="s">
        <v>82</v>
      </c>
      <c r="E39" s="338"/>
      <c r="G39" s="338"/>
      <c r="H39" s="29"/>
      <c r="I39" s="338"/>
      <c r="J39" s="29"/>
      <c r="K39" s="29"/>
      <c r="L39" s="507"/>
      <c r="M39" s="505"/>
      <c r="N39" s="506"/>
      <c r="O39" s="481"/>
      <c r="P39" s="542">
        <v>2032.3768214042771</v>
      </c>
      <c r="Q39" s="539">
        <f t="shared" si="42"/>
        <v>3.2316398091430179E-2</v>
      </c>
      <c r="R39" s="545">
        <v>803.70085714285722</v>
      </c>
      <c r="S39" s="539">
        <f t="shared" si="42"/>
        <v>2.3385134976311051E-2</v>
      </c>
      <c r="T39" s="545">
        <v>26.047727272727272</v>
      </c>
      <c r="U39" s="539">
        <f t="shared" ref="U39" si="66">T39/T$36</f>
        <v>4.4584986075908023E-3</v>
      </c>
      <c r="V39" s="550">
        <f t="shared" si="44"/>
        <v>2862.1254058198615</v>
      </c>
      <c r="W39" s="548">
        <f t="shared" si="45"/>
        <v>2.7760607944200121E-2</v>
      </c>
      <c r="Y39" s="558">
        <v>194</v>
      </c>
      <c r="Z39" s="539">
        <f t="shared" si="46"/>
        <v>1.3407049067035246E-2</v>
      </c>
      <c r="AA39" s="545">
        <v>30</v>
      </c>
      <c r="AB39" s="539">
        <f t="shared" si="47"/>
        <v>3.0006001200240046E-3</v>
      </c>
      <c r="AC39" s="545">
        <v>7</v>
      </c>
      <c r="AD39" s="539">
        <f t="shared" si="48"/>
        <v>2.2493573264781492E-3</v>
      </c>
      <c r="AE39" s="545">
        <f t="shared" si="49"/>
        <v>231</v>
      </c>
      <c r="AF39" s="32">
        <f t="shared" si="50"/>
        <v>8.3756345177664979E-3</v>
      </c>
      <c r="AG39" s="542"/>
      <c r="AH39" s="539">
        <f t="shared" si="51"/>
        <v>0</v>
      </c>
      <c r="AI39" s="545">
        <v>7</v>
      </c>
      <c r="AJ39" s="539">
        <f t="shared" si="52"/>
        <v>2.1400183430143687E-3</v>
      </c>
      <c r="AK39" s="545"/>
      <c r="AL39" s="539">
        <f t="shared" si="53"/>
        <v>0</v>
      </c>
      <c r="AM39" s="545">
        <f t="shared" si="54"/>
        <v>7</v>
      </c>
      <c r="AN39" s="471">
        <f t="shared" si="55"/>
        <v>1.8888289260658392E-3</v>
      </c>
      <c r="AO39" s="542">
        <v>26457.78</v>
      </c>
      <c r="AP39" s="539">
        <f t="shared" si="56"/>
        <v>7.2479578274814993E-2</v>
      </c>
      <c r="AQ39" s="545">
        <v>16710.66</v>
      </c>
      <c r="AR39" s="539">
        <f t="shared" si="57"/>
        <v>2.0007160628382495E-2</v>
      </c>
      <c r="AS39" s="545">
        <v>0</v>
      </c>
      <c r="AT39" s="539">
        <f t="shared" si="58"/>
        <v>0</v>
      </c>
      <c r="AU39" s="545">
        <f t="shared" si="59"/>
        <v>43168.44</v>
      </c>
      <c r="AV39" s="471">
        <f t="shared" si="60"/>
        <v>3.3204637956372587E-2</v>
      </c>
      <c r="AW39" s="542">
        <v>13928.1</v>
      </c>
      <c r="AX39" s="539">
        <f t="shared" si="61"/>
        <v>2.3880368033469594E-2</v>
      </c>
      <c r="AY39" s="545">
        <v>5112.24</v>
      </c>
      <c r="AZ39" s="539">
        <f t="shared" si="62"/>
        <v>6.7867918450593995E-3</v>
      </c>
      <c r="BA39" s="545">
        <v>0</v>
      </c>
      <c r="BB39" s="539">
        <f t="shared" si="63"/>
        <v>0</v>
      </c>
      <c r="BC39" s="545">
        <f t="shared" si="64"/>
        <v>19040.34</v>
      </c>
      <c r="BD39" s="548">
        <f t="shared" si="65"/>
        <v>1.3952719036666374E-2</v>
      </c>
      <c r="BE39" s="338"/>
      <c r="BF39"/>
      <c r="BG39"/>
      <c r="BH39"/>
      <c r="BI39"/>
      <c r="BJ39"/>
      <c r="BK39"/>
      <c r="BL39"/>
      <c r="BM39"/>
      <c r="BN39" s="350"/>
      <c r="BO39" s="350"/>
      <c r="BP39" s="350"/>
      <c r="BQ39" s="350"/>
      <c r="BR39" s="350"/>
    </row>
    <row r="40" spans="1:70" ht="11.25" customHeight="1" x14ac:dyDescent="0.25">
      <c r="A40" s="455">
        <v>14000</v>
      </c>
      <c r="B40" s="456" t="s">
        <v>83</v>
      </c>
      <c r="E40" s="338"/>
      <c r="G40" s="338"/>
      <c r="H40" s="29"/>
      <c r="I40" s="338"/>
      <c r="J40" s="29"/>
      <c r="K40" s="29"/>
      <c r="L40" s="507"/>
      <c r="M40" s="505"/>
      <c r="N40" s="506"/>
      <c r="O40" s="481"/>
      <c r="P40" s="542">
        <v>5446.3684497296326</v>
      </c>
      <c r="Q40" s="539">
        <f t="shared" si="42"/>
        <v>8.6601563804715925E-2</v>
      </c>
      <c r="R40" s="545">
        <v>3561.932297409041</v>
      </c>
      <c r="S40" s="539">
        <f t="shared" si="42"/>
        <v>0.10364088430552251</v>
      </c>
      <c r="T40" s="545">
        <v>801.29011229233424</v>
      </c>
      <c r="U40" s="539">
        <f t="shared" ref="U40" si="67">T40/T$36</f>
        <v>0.13715403315329605</v>
      </c>
      <c r="V40" s="550">
        <f t="shared" si="44"/>
        <v>9809.5908594310076</v>
      </c>
      <c r="W40" s="548">
        <f t="shared" si="45"/>
        <v>9.5146147470664952E-2</v>
      </c>
      <c r="Y40" s="558">
        <v>3023</v>
      </c>
      <c r="Z40" s="539">
        <f t="shared" si="46"/>
        <v>0.20891499654457499</v>
      </c>
      <c r="AA40" s="545">
        <v>2573</v>
      </c>
      <c r="AB40" s="539">
        <f t="shared" si="47"/>
        <v>0.2573514702940588</v>
      </c>
      <c r="AC40" s="545">
        <v>518</v>
      </c>
      <c r="AD40" s="539">
        <f t="shared" si="48"/>
        <v>0.16645244215938304</v>
      </c>
      <c r="AE40" s="545">
        <f t="shared" si="49"/>
        <v>6114</v>
      </c>
      <c r="AF40" s="32">
        <f t="shared" si="50"/>
        <v>0.22168237853517042</v>
      </c>
      <c r="AG40" s="542"/>
      <c r="AH40" s="539">
        <f t="shared" si="51"/>
        <v>0</v>
      </c>
      <c r="AI40" s="545">
        <v>486</v>
      </c>
      <c r="AJ40" s="539">
        <f t="shared" si="52"/>
        <v>0.14857841638642616</v>
      </c>
      <c r="AK40" s="545">
        <v>12</v>
      </c>
      <c r="AL40" s="539">
        <f t="shared" si="53"/>
        <v>7.6433121019108277E-2</v>
      </c>
      <c r="AM40" s="545">
        <f t="shared" si="54"/>
        <v>498</v>
      </c>
      <c r="AN40" s="471">
        <f t="shared" si="55"/>
        <v>0.13437668645439826</v>
      </c>
      <c r="AO40" s="542">
        <v>68824.079999999987</v>
      </c>
      <c r="AP40" s="539">
        <f t="shared" si="56"/>
        <v>0.18853963913647059</v>
      </c>
      <c r="AQ40" s="545">
        <v>164820.06</v>
      </c>
      <c r="AR40" s="539">
        <f t="shared" si="57"/>
        <v>0.19733400208008783</v>
      </c>
      <c r="AS40" s="545">
        <v>24244.379999999997</v>
      </c>
      <c r="AT40" s="539">
        <f t="shared" si="58"/>
        <v>0.2429274199075519</v>
      </c>
      <c r="AU40" s="545">
        <f t="shared" si="59"/>
        <v>257888.52</v>
      </c>
      <c r="AV40" s="471">
        <f t="shared" si="60"/>
        <v>0.19836470670945605</v>
      </c>
      <c r="AW40" s="542">
        <v>1516.1999999999998</v>
      </c>
      <c r="AX40" s="539">
        <f t="shared" si="61"/>
        <v>2.5995946333201652E-3</v>
      </c>
      <c r="AY40" s="545">
        <v>215160.18</v>
      </c>
      <c r="AZ40" s="539">
        <f t="shared" si="62"/>
        <v>0.28563748083139923</v>
      </c>
      <c r="BA40" s="545">
        <v>391.02</v>
      </c>
      <c r="BB40" s="539">
        <f t="shared" si="63"/>
        <v>1.3902913560300715E-2</v>
      </c>
      <c r="BC40" s="545">
        <f t="shared" si="64"/>
        <v>217067.4</v>
      </c>
      <c r="BD40" s="548">
        <f t="shared" si="65"/>
        <v>0.15906651058855431</v>
      </c>
      <c r="BE40" s="338"/>
      <c r="BF40"/>
      <c r="BG40"/>
      <c r="BH40"/>
      <c r="BI40"/>
      <c r="BJ40"/>
      <c r="BK40"/>
      <c r="BL40"/>
      <c r="BM40"/>
      <c r="BN40" s="350"/>
      <c r="BO40" s="350"/>
      <c r="BP40" s="350"/>
      <c r="BQ40" s="350"/>
      <c r="BR40" s="350"/>
    </row>
    <row r="41" spans="1:70" ht="11.25" customHeight="1" x14ac:dyDescent="0.25">
      <c r="A41" s="455">
        <v>15000</v>
      </c>
      <c r="B41" s="456" t="s">
        <v>84</v>
      </c>
      <c r="G41" s="345"/>
      <c r="H41" s="29"/>
      <c r="I41" s="29"/>
      <c r="J41" s="29"/>
      <c r="K41" s="29"/>
      <c r="L41" s="507"/>
      <c r="M41" s="505"/>
      <c r="N41" s="506"/>
      <c r="O41" s="481"/>
      <c r="P41" s="542">
        <v>3963.9981837920027</v>
      </c>
      <c r="Q41" s="539">
        <f t="shared" si="42"/>
        <v>6.3030704735461407E-2</v>
      </c>
      <c r="R41" s="545">
        <v>2793.8294743460765</v>
      </c>
      <c r="S41" s="539">
        <f t="shared" si="42"/>
        <v>8.1291538733255411E-2</v>
      </c>
      <c r="T41" s="545">
        <v>360.31053030303019</v>
      </c>
      <c r="U41" s="539">
        <f t="shared" ref="U41" si="68">T41/T$36</f>
        <v>6.1673096498455635E-2</v>
      </c>
      <c r="V41" s="550">
        <f t="shared" si="44"/>
        <v>7118.1381884411094</v>
      </c>
      <c r="W41" s="548">
        <f t="shared" si="45"/>
        <v>6.9040945284977312E-2</v>
      </c>
      <c r="Y41" s="558">
        <v>339</v>
      </c>
      <c r="Z41" s="539">
        <f t="shared" si="46"/>
        <v>2.3427781617138908E-2</v>
      </c>
      <c r="AA41" s="545">
        <v>602</v>
      </c>
      <c r="AB41" s="539">
        <f t="shared" si="47"/>
        <v>6.0212042408481693E-2</v>
      </c>
      <c r="AC41" s="545">
        <v>165</v>
      </c>
      <c r="AD41" s="539">
        <f t="shared" si="48"/>
        <v>5.3020565552699225E-2</v>
      </c>
      <c r="AE41" s="545">
        <f t="shared" si="49"/>
        <v>1106</v>
      </c>
      <c r="AF41" s="32">
        <f t="shared" si="50"/>
        <v>4.0101522842639591E-2</v>
      </c>
      <c r="AG41" s="542"/>
      <c r="AH41" s="539">
        <f t="shared" si="51"/>
        <v>0</v>
      </c>
      <c r="AI41" s="545">
        <v>280</v>
      </c>
      <c r="AJ41" s="539">
        <f t="shared" si="52"/>
        <v>8.5600733720574751E-2</v>
      </c>
      <c r="AK41" s="545">
        <v>13</v>
      </c>
      <c r="AL41" s="539">
        <f t="shared" si="53"/>
        <v>8.2802547770700632E-2</v>
      </c>
      <c r="AM41" s="545">
        <f t="shared" si="54"/>
        <v>293</v>
      </c>
      <c r="AN41" s="471">
        <f t="shared" si="55"/>
        <v>7.9060982191041559E-2</v>
      </c>
      <c r="AO41" s="542">
        <v>39189.42</v>
      </c>
      <c r="AP41" s="539">
        <f t="shared" si="56"/>
        <v>0.10735717941696546</v>
      </c>
      <c r="AQ41" s="545">
        <v>46500.78</v>
      </c>
      <c r="AR41" s="539">
        <f t="shared" si="57"/>
        <v>5.5673957510061017E-2</v>
      </c>
      <c r="AS41" s="545">
        <v>5519.22</v>
      </c>
      <c r="AT41" s="539">
        <f t="shared" si="58"/>
        <v>5.5302295810499537E-2</v>
      </c>
      <c r="AU41" s="545">
        <f t="shared" si="59"/>
        <v>91209.42</v>
      </c>
      <c r="AV41" s="471">
        <f t="shared" si="60"/>
        <v>7.015717429934297E-2</v>
      </c>
      <c r="AW41" s="542">
        <v>25402.080000000002</v>
      </c>
      <c r="AX41" s="539">
        <f t="shared" si="61"/>
        <v>4.3553034456647877E-2</v>
      </c>
      <c r="AY41" s="545">
        <v>29881.920000000002</v>
      </c>
      <c r="AZ41" s="539">
        <f t="shared" si="62"/>
        <v>3.9669962867689583E-2</v>
      </c>
      <c r="BA41" s="545">
        <v>1119.96</v>
      </c>
      <c r="BB41" s="539">
        <f t="shared" si="63"/>
        <v>3.9820743366053887E-2</v>
      </c>
      <c r="BC41" s="545">
        <f t="shared" si="64"/>
        <v>56403.96</v>
      </c>
      <c r="BD41" s="548">
        <f t="shared" si="65"/>
        <v>4.1332697128064345E-2</v>
      </c>
      <c r="BE41" s="338"/>
      <c r="BF41"/>
      <c r="BG41"/>
      <c r="BH41"/>
      <c r="BI41"/>
      <c r="BJ41"/>
      <c r="BK41"/>
      <c r="BL41"/>
      <c r="BM41"/>
      <c r="BN41" s="350"/>
      <c r="BO41" s="350"/>
      <c r="BP41" s="350"/>
      <c r="BQ41" s="350"/>
      <c r="BR41" s="350"/>
    </row>
    <row r="42" spans="1:70" ht="11.25" customHeight="1" x14ac:dyDescent="0.25">
      <c r="A42" s="455">
        <v>16000</v>
      </c>
      <c r="B42" s="456" t="s">
        <v>85</v>
      </c>
      <c r="G42" s="345"/>
      <c r="H42" s="29"/>
      <c r="I42" s="29"/>
      <c r="J42" s="29"/>
      <c r="K42" s="29"/>
      <c r="L42" s="507"/>
      <c r="M42" s="505"/>
      <c r="N42" s="506"/>
      <c r="O42" s="481"/>
      <c r="P42" s="542">
        <v>242.24753978494624</v>
      </c>
      <c r="Q42" s="539">
        <f t="shared" si="42"/>
        <v>3.851927383697832E-3</v>
      </c>
      <c r="R42" s="545">
        <v>1134.1727564102566</v>
      </c>
      <c r="S42" s="539">
        <f t="shared" si="42"/>
        <v>3.300081461826064E-2</v>
      </c>
      <c r="T42" s="545">
        <v>92.970588235294116</v>
      </c>
      <c r="U42" s="539">
        <f t="shared" ref="U42" si="69">T42/T$36</f>
        <v>1.5913451252538253E-2</v>
      </c>
      <c r="V42" s="550">
        <f t="shared" si="44"/>
        <v>1469.390884430497</v>
      </c>
      <c r="W42" s="548">
        <f t="shared" si="45"/>
        <v>1.4252060436105099E-2</v>
      </c>
      <c r="Y42" s="558">
        <v>22</v>
      </c>
      <c r="Z42" s="539">
        <f t="shared" si="46"/>
        <v>1.5203870076019351E-3</v>
      </c>
      <c r="AA42" s="545">
        <v>371</v>
      </c>
      <c r="AB42" s="539">
        <f t="shared" si="47"/>
        <v>3.7107421484296861E-2</v>
      </c>
      <c r="AC42" s="545">
        <v>33</v>
      </c>
      <c r="AD42" s="539">
        <f t="shared" si="48"/>
        <v>1.0604113110539846E-2</v>
      </c>
      <c r="AE42" s="545">
        <f t="shared" si="49"/>
        <v>426</v>
      </c>
      <c r="AF42" s="32">
        <f t="shared" si="50"/>
        <v>1.5445975344452502E-2</v>
      </c>
      <c r="AG42" s="542"/>
      <c r="AH42" s="539">
        <f t="shared" si="51"/>
        <v>0</v>
      </c>
      <c r="AI42" s="545">
        <v>205</v>
      </c>
      <c r="AJ42" s="539">
        <f t="shared" si="52"/>
        <v>6.2671965759706516E-2</v>
      </c>
      <c r="AK42" s="545"/>
      <c r="AL42" s="539">
        <f t="shared" si="53"/>
        <v>0</v>
      </c>
      <c r="AM42" s="545">
        <f t="shared" si="54"/>
        <v>205</v>
      </c>
      <c r="AN42" s="471">
        <f t="shared" si="55"/>
        <v>5.5315704263356719E-2</v>
      </c>
      <c r="AO42" s="542">
        <v>0</v>
      </c>
      <c r="AP42" s="539">
        <f t="shared" si="56"/>
        <v>0</v>
      </c>
      <c r="AQ42" s="545">
        <v>7175.7</v>
      </c>
      <c r="AR42" s="539">
        <f t="shared" si="57"/>
        <v>8.5912454996441949E-3</v>
      </c>
      <c r="AS42" s="545">
        <v>954.72</v>
      </c>
      <c r="AT42" s="539">
        <f t="shared" si="58"/>
        <v>9.5662444795098067E-3</v>
      </c>
      <c r="AU42" s="545">
        <f t="shared" si="59"/>
        <v>8130.42</v>
      </c>
      <c r="AV42" s="471">
        <f t="shared" si="60"/>
        <v>6.2538199789765585E-3</v>
      </c>
      <c r="AW42" s="542">
        <v>0</v>
      </c>
      <c r="AX42" s="539">
        <f t="shared" si="61"/>
        <v>0</v>
      </c>
      <c r="AY42" s="545">
        <v>9469.68</v>
      </c>
      <c r="AZ42" s="539">
        <f t="shared" si="62"/>
        <v>1.2571543393761268E-2</v>
      </c>
      <c r="BA42" s="545">
        <v>36.72</v>
      </c>
      <c r="BB42" s="539">
        <f t="shared" si="63"/>
        <v>1.3055981431493076E-3</v>
      </c>
      <c r="BC42" s="545">
        <f t="shared" si="64"/>
        <v>9506.4</v>
      </c>
      <c r="BD42" s="548">
        <f t="shared" si="65"/>
        <v>6.9662688927910532E-3</v>
      </c>
      <c r="BE42" s="338"/>
      <c r="BF42"/>
      <c r="BG42"/>
      <c r="BH42"/>
      <c r="BI42"/>
      <c r="BJ42"/>
      <c r="BK42"/>
      <c r="BL42"/>
      <c r="BM42"/>
      <c r="BN42" s="350"/>
      <c r="BO42" s="350"/>
      <c r="BP42" s="350"/>
      <c r="BQ42" s="350"/>
      <c r="BR42" s="350"/>
    </row>
    <row r="43" spans="1:70" ht="11.25" customHeight="1" x14ac:dyDescent="0.25">
      <c r="A43" s="455">
        <v>17000</v>
      </c>
      <c r="B43" s="456" t="s">
        <v>86</v>
      </c>
      <c r="G43" s="345"/>
      <c r="H43" s="29"/>
      <c r="I43" s="29"/>
      <c r="J43" s="29"/>
      <c r="K43" s="29"/>
      <c r="L43" s="507"/>
      <c r="M43" s="505"/>
      <c r="N43" s="506"/>
      <c r="O43" s="481"/>
      <c r="P43" s="542">
        <v>2877.2764780958232</v>
      </c>
      <c r="Q43" s="539">
        <f t="shared" si="42"/>
        <v>4.5750970541479495E-2</v>
      </c>
      <c r="R43" s="545">
        <v>828.65392561983481</v>
      </c>
      <c r="S43" s="539">
        <f t="shared" si="42"/>
        <v>2.4111189787900646E-2</v>
      </c>
      <c r="T43" s="545">
        <v>73.829958358120166</v>
      </c>
      <c r="U43" s="539">
        <f t="shared" ref="U43" si="70">T43/T$36</f>
        <v>1.2637216410155562E-2</v>
      </c>
      <c r="V43" s="550">
        <f t="shared" si="44"/>
        <v>3779.7603620737782</v>
      </c>
      <c r="W43" s="548">
        <f t="shared" si="45"/>
        <v>3.6661023070895492E-2</v>
      </c>
      <c r="Y43" s="558">
        <v>189</v>
      </c>
      <c r="Z43" s="539">
        <f t="shared" si="46"/>
        <v>1.3061506565307532E-2</v>
      </c>
      <c r="AA43" s="545">
        <v>101</v>
      </c>
      <c r="AB43" s="539">
        <f t="shared" si="47"/>
        <v>1.0102020404080815E-2</v>
      </c>
      <c r="AC43" s="545">
        <v>30</v>
      </c>
      <c r="AD43" s="539">
        <f t="shared" si="48"/>
        <v>9.640102827763496E-3</v>
      </c>
      <c r="AE43" s="545">
        <f t="shared" si="49"/>
        <v>320</v>
      </c>
      <c r="AF43" s="32">
        <f t="shared" si="50"/>
        <v>1.1602610587382161E-2</v>
      </c>
      <c r="AG43" s="542">
        <v>54</v>
      </c>
      <c r="AH43" s="539">
        <f t="shared" si="51"/>
        <v>0.19424460431654678</v>
      </c>
      <c r="AI43" s="545">
        <v>0</v>
      </c>
      <c r="AJ43" s="539">
        <f t="shared" si="52"/>
        <v>0</v>
      </c>
      <c r="AK43" s="545">
        <v>1</v>
      </c>
      <c r="AL43" s="539">
        <f t="shared" si="53"/>
        <v>6.369426751592357E-3</v>
      </c>
      <c r="AM43" s="545">
        <f t="shared" si="54"/>
        <v>55</v>
      </c>
      <c r="AN43" s="471">
        <f t="shared" si="55"/>
        <v>1.4840798704803022E-2</v>
      </c>
      <c r="AO43" s="542">
        <v>14518.68</v>
      </c>
      <c r="AP43" s="539">
        <f t="shared" si="56"/>
        <v>3.9773095229720376E-2</v>
      </c>
      <c r="AQ43" s="545">
        <v>17893.86</v>
      </c>
      <c r="AR43" s="539">
        <f t="shared" si="57"/>
        <v>2.1423769694421911E-2</v>
      </c>
      <c r="AS43" s="545">
        <v>1967.58</v>
      </c>
      <c r="AT43" s="539">
        <f t="shared" si="58"/>
        <v>1.9715048718989762E-2</v>
      </c>
      <c r="AU43" s="545">
        <f t="shared" si="59"/>
        <v>34380.120000000003</v>
      </c>
      <c r="AV43" s="471">
        <f t="shared" si="60"/>
        <v>2.6444769315190551E-2</v>
      </c>
      <c r="AW43" s="542">
        <v>21198.66</v>
      </c>
      <c r="AX43" s="539">
        <f t="shared" si="61"/>
        <v>3.6346077542262802E-2</v>
      </c>
      <c r="AY43" s="545">
        <v>2555.1</v>
      </c>
      <c r="AZ43" s="539">
        <f t="shared" si="62"/>
        <v>3.3920418140211085E-3</v>
      </c>
      <c r="BA43" s="545">
        <v>139.74</v>
      </c>
      <c r="BB43" s="539">
        <f t="shared" si="63"/>
        <v>4.9685262669848657E-3</v>
      </c>
      <c r="BC43" s="545">
        <f t="shared" si="64"/>
        <v>23893.5</v>
      </c>
      <c r="BD43" s="548">
        <f t="shared" si="65"/>
        <v>1.7509103949960348E-2</v>
      </c>
      <c r="BE43" s="338"/>
      <c r="BF43"/>
      <c r="BG43"/>
      <c r="BH43"/>
      <c r="BI43"/>
      <c r="BJ43"/>
      <c r="BK43"/>
      <c r="BL43"/>
      <c r="BM43"/>
      <c r="BN43" s="350"/>
      <c r="BO43" s="350"/>
      <c r="BP43" s="350"/>
      <c r="BQ43" s="350"/>
      <c r="BR43" s="350"/>
    </row>
    <row r="44" spans="1:70" ht="11.25" customHeight="1" x14ac:dyDescent="0.25">
      <c r="A44" s="455">
        <v>18000</v>
      </c>
      <c r="B44" s="456" t="s">
        <v>87</v>
      </c>
      <c r="G44" s="345"/>
      <c r="H44" s="29"/>
      <c r="I44" s="29"/>
      <c r="J44" s="29"/>
      <c r="K44" s="29"/>
      <c r="L44" s="507"/>
      <c r="M44" s="505"/>
      <c r="N44" s="506"/>
      <c r="O44" s="481"/>
      <c r="P44" s="542">
        <v>1878.2350220867968</v>
      </c>
      <c r="Q44" s="539">
        <f t="shared" si="42"/>
        <v>2.9865421630366634E-2</v>
      </c>
      <c r="R44" s="545">
        <v>959.3356328233657</v>
      </c>
      <c r="S44" s="539">
        <f t="shared" si="42"/>
        <v>2.7913611217129167E-2</v>
      </c>
      <c r="T44" s="545">
        <v>19.720000000000002</v>
      </c>
      <c r="U44" s="539">
        <f t="shared" ref="U44" si="71">T44/T$36</f>
        <v>3.3754036051255455E-3</v>
      </c>
      <c r="V44" s="550">
        <f t="shared" si="44"/>
        <v>2857.2906549101622</v>
      </c>
      <c r="W44" s="548">
        <f t="shared" si="45"/>
        <v>2.771371425315531E-2</v>
      </c>
      <c r="Y44" s="558">
        <v>78</v>
      </c>
      <c r="Z44" s="539">
        <f t="shared" si="46"/>
        <v>5.3904630269523152E-3</v>
      </c>
      <c r="AA44" s="545">
        <v>17</v>
      </c>
      <c r="AB44" s="539">
        <f t="shared" si="47"/>
        <v>1.7003400680136026E-3</v>
      </c>
      <c r="AC44" s="545">
        <v>8</v>
      </c>
      <c r="AD44" s="539">
        <f t="shared" si="48"/>
        <v>2.5706940874035988E-3</v>
      </c>
      <c r="AE44" s="545">
        <f t="shared" si="49"/>
        <v>103</v>
      </c>
      <c r="AF44" s="32">
        <f t="shared" si="50"/>
        <v>3.7345902828136331E-3</v>
      </c>
      <c r="AG44" s="542">
        <v>18</v>
      </c>
      <c r="AH44" s="539">
        <f t="shared" si="51"/>
        <v>6.4748201438848921E-2</v>
      </c>
      <c r="AI44" s="545">
        <v>4</v>
      </c>
      <c r="AJ44" s="539">
        <f t="shared" si="52"/>
        <v>1.2228676245796392E-3</v>
      </c>
      <c r="AK44" s="545"/>
      <c r="AL44" s="539">
        <f t="shared" si="53"/>
        <v>0</v>
      </c>
      <c r="AM44" s="545">
        <f t="shared" si="54"/>
        <v>22</v>
      </c>
      <c r="AN44" s="471">
        <f t="shared" si="55"/>
        <v>5.9363194819212085E-3</v>
      </c>
      <c r="AO44" s="542">
        <v>18402.84</v>
      </c>
      <c r="AP44" s="539">
        <f t="shared" si="56"/>
        <v>5.0413529867543556E-2</v>
      </c>
      <c r="AQ44" s="545">
        <v>11350.56</v>
      </c>
      <c r="AR44" s="539">
        <f t="shared" si="57"/>
        <v>1.3589677316281537E-2</v>
      </c>
      <c r="AS44" s="545">
        <v>0</v>
      </c>
      <c r="AT44" s="539">
        <f t="shared" si="58"/>
        <v>0</v>
      </c>
      <c r="AU44" s="545">
        <f t="shared" si="59"/>
        <v>29753.4</v>
      </c>
      <c r="AV44" s="471">
        <f t="shared" si="60"/>
        <v>2.2885952676796665E-2</v>
      </c>
      <c r="AW44" s="542">
        <v>4423.74</v>
      </c>
      <c r="AX44" s="539">
        <f t="shared" si="61"/>
        <v>7.5847056873788073E-3</v>
      </c>
      <c r="AY44" s="545">
        <v>7348.08</v>
      </c>
      <c r="AZ44" s="539">
        <f t="shared" si="62"/>
        <v>9.7549976958914431E-3</v>
      </c>
      <c r="BA44" s="545">
        <v>0</v>
      </c>
      <c r="BB44" s="539">
        <f t="shared" si="63"/>
        <v>0</v>
      </c>
      <c r="BC44" s="545">
        <f t="shared" si="64"/>
        <v>11771.82</v>
      </c>
      <c r="BD44" s="548">
        <f t="shared" si="65"/>
        <v>8.6263636579078911E-3</v>
      </c>
      <c r="BE44" s="338"/>
      <c r="BF44"/>
      <c r="BG44"/>
      <c r="BH44"/>
      <c r="BI44"/>
      <c r="BJ44"/>
      <c r="BK44"/>
      <c r="BL44"/>
      <c r="BM44"/>
      <c r="BN44" s="350"/>
      <c r="BO44" s="350"/>
      <c r="BP44" s="350"/>
      <c r="BQ44" s="350"/>
      <c r="BR44" s="350"/>
    </row>
    <row r="45" spans="1:70" ht="11.25" customHeight="1" x14ac:dyDescent="0.25">
      <c r="A45" s="455">
        <v>19000</v>
      </c>
      <c r="B45" s="456" t="s">
        <v>88</v>
      </c>
      <c r="G45" s="345"/>
      <c r="H45" s="29"/>
      <c r="I45" s="29"/>
      <c r="J45" s="29"/>
      <c r="K45" s="29"/>
      <c r="L45" s="507"/>
      <c r="M45" s="505"/>
      <c r="N45" s="506"/>
      <c r="O45" s="481"/>
      <c r="P45" s="542">
        <v>1850.8942169164895</v>
      </c>
      <c r="Q45" s="539">
        <f t="shared" si="42"/>
        <v>2.9430681214751488E-2</v>
      </c>
      <c r="R45" s="545">
        <v>260.61385326086963</v>
      </c>
      <c r="S45" s="539">
        <f t="shared" si="42"/>
        <v>7.5830330166223366E-3</v>
      </c>
      <c r="T45" s="545">
        <v>12.812800000000001</v>
      </c>
      <c r="U45" s="539">
        <f t="shared" ref="U45" si="72">T45/T$36</f>
        <v>2.193122277472241E-3</v>
      </c>
      <c r="V45" s="550">
        <f t="shared" si="44"/>
        <v>2124.3208701773592</v>
      </c>
      <c r="W45" s="548">
        <f t="shared" si="45"/>
        <v>2.0604421701704904E-2</v>
      </c>
      <c r="Y45" s="558">
        <v>376</v>
      </c>
      <c r="Z45" s="539">
        <f t="shared" si="46"/>
        <v>2.5984796129923982E-2</v>
      </c>
      <c r="AA45" s="545">
        <v>128</v>
      </c>
      <c r="AB45" s="539">
        <f t="shared" si="47"/>
        <v>1.2802560512102421E-2</v>
      </c>
      <c r="AC45" s="545">
        <v>26</v>
      </c>
      <c r="AD45" s="539">
        <f t="shared" si="48"/>
        <v>8.3547557840616959E-3</v>
      </c>
      <c r="AE45" s="545">
        <f t="shared" si="49"/>
        <v>530</v>
      </c>
      <c r="AF45" s="32">
        <f t="shared" si="50"/>
        <v>1.9216823785351705E-2</v>
      </c>
      <c r="AG45" s="542"/>
      <c r="AH45" s="539">
        <f t="shared" si="51"/>
        <v>0</v>
      </c>
      <c r="AI45" s="545">
        <v>0</v>
      </c>
      <c r="AJ45" s="539">
        <f t="shared" si="52"/>
        <v>0</v>
      </c>
      <c r="AK45" s="545"/>
      <c r="AL45" s="539">
        <f t="shared" si="53"/>
        <v>0</v>
      </c>
      <c r="AM45" s="545">
        <f t="shared" si="54"/>
        <v>0</v>
      </c>
      <c r="AN45" s="471">
        <f t="shared" si="55"/>
        <v>0</v>
      </c>
      <c r="AO45" s="542">
        <v>8764.86</v>
      </c>
      <c r="AP45" s="539">
        <f t="shared" si="56"/>
        <v>2.4010833729730729E-2</v>
      </c>
      <c r="AQ45" s="545">
        <v>7132.86</v>
      </c>
      <c r="AR45" s="539">
        <f t="shared" si="57"/>
        <v>8.5399544817358723E-3</v>
      </c>
      <c r="AS45" s="545">
        <v>484.5</v>
      </c>
      <c r="AT45" s="539">
        <f t="shared" si="58"/>
        <v>4.8546646664179042E-3</v>
      </c>
      <c r="AU45" s="545">
        <f t="shared" si="59"/>
        <v>16382.220000000001</v>
      </c>
      <c r="AV45" s="471">
        <f t="shared" si="60"/>
        <v>1.2601003974701106E-2</v>
      </c>
      <c r="AW45" s="542">
        <v>4412.5200000000004</v>
      </c>
      <c r="AX45" s="539">
        <f t="shared" si="61"/>
        <v>7.56546848134672E-3</v>
      </c>
      <c r="AY45" s="545">
        <v>602.82000000000005</v>
      </c>
      <c r="AZ45" s="539">
        <f t="shared" si="62"/>
        <v>8.0027812857743524E-4</v>
      </c>
      <c r="BA45" s="545">
        <v>0</v>
      </c>
      <c r="BB45" s="539">
        <f t="shared" si="63"/>
        <v>0</v>
      </c>
      <c r="BC45" s="545">
        <f t="shared" si="64"/>
        <v>5015.34</v>
      </c>
      <c r="BD45" s="548">
        <f t="shared" si="65"/>
        <v>3.675230058567984E-3</v>
      </c>
      <c r="BE45" s="338"/>
      <c r="BF45"/>
      <c r="BG45"/>
      <c r="BH45"/>
      <c r="BI45"/>
      <c r="BJ45"/>
      <c r="BK45"/>
      <c r="BL45"/>
      <c r="BM45"/>
      <c r="BN45" s="350"/>
      <c r="BO45" s="350"/>
      <c r="BP45" s="350"/>
      <c r="BQ45" s="350"/>
      <c r="BR45" s="350"/>
    </row>
    <row r="46" spans="1:70" ht="11.25" customHeight="1" x14ac:dyDescent="0.25">
      <c r="A46" s="455">
        <v>21000</v>
      </c>
      <c r="B46" s="456" t="s">
        <v>89</v>
      </c>
      <c r="G46" s="345"/>
      <c r="H46" s="29"/>
      <c r="I46" s="29"/>
      <c r="J46" s="29"/>
      <c r="K46" s="29"/>
      <c r="L46" s="507"/>
      <c r="M46" s="505"/>
      <c r="N46" s="506"/>
      <c r="O46" s="481"/>
      <c r="P46" s="542">
        <v>4085.897732185555</v>
      </c>
      <c r="Q46" s="539">
        <f t="shared" si="42"/>
        <v>6.4969003918744606E-2</v>
      </c>
      <c r="R46" s="545">
        <v>1994.6430421004975</v>
      </c>
      <c r="S46" s="539">
        <f t="shared" si="42"/>
        <v>5.8037759142004632E-2</v>
      </c>
      <c r="T46" s="545">
        <v>503.25094553797851</v>
      </c>
      <c r="U46" s="539">
        <f t="shared" ref="U46" si="73">T46/T$36</f>
        <v>8.6139708714590882E-2</v>
      </c>
      <c r="V46" s="550">
        <f t="shared" si="44"/>
        <v>6583.7917198240311</v>
      </c>
      <c r="W46" s="548">
        <f t="shared" si="45"/>
        <v>6.385815951623236E-2</v>
      </c>
      <c r="Y46" s="558">
        <v>1399</v>
      </c>
      <c r="Z46" s="539">
        <f t="shared" si="46"/>
        <v>9.6682791983413965E-2</v>
      </c>
      <c r="AA46" s="545">
        <v>509</v>
      </c>
      <c r="AB46" s="539">
        <f t="shared" si="47"/>
        <v>5.0910182036407278E-2</v>
      </c>
      <c r="AC46" s="545">
        <v>217</v>
      </c>
      <c r="AD46" s="539">
        <f t="shared" si="48"/>
        <v>6.9730077120822617E-2</v>
      </c>
      <c r="AE46" s="545">
        <f t="shared" si="49"/>
        <v>2125</v>
      </c>
      <c r="AF46" s="32">
        <f t="shared" si="50"/>
        <v>7.7048585931834668E-2</v>
      </c>
      <c r="AG46" s="542">
        <v>47</v>
      </c>
      <c r="AH46" s="539">
        <f t="shared" si="51"/>
        <v>0.16906474820143885</v>
      </c>
      <c r="AI46" s="545">
        <v>69</v>
      </c>
      <c r="AJ46" s="539">
        <f t="shared" si="52"/>
        <v>2.1094466523998778E-2</v>
      </c>
      <c r="AK46" s="545">
        <v>8</v>
      </c>
      <c r="AL46" s="539">
        <f t="shared" si="53"/>
        <v>5.0955414012738856E-2</v>
      </c>
      <c r="AM46" s="545">
        <f t="shared" si="54"/>
        <v>124</v>
      </c>
      <c r="AN46" s="471">
        <f t="shared" si="55"/>
        <v>3.3459255261737722E-2</v>
      </c>
      <c r="AO46" s="542">
        <v>10542.72</v>
      </c>
      <c r="AP46" s="539">
        <f t="shared" si="56"/>
        <v>2.8881179731234351E-2</v>
      </c>
      <c r="AQ46" s="545">
        <v>63655.14</v>
      </c>
      <c r="AR46" s="539">
        <f t="shared" si="57"/>
        <v>7.6212346538208298E-2</v>
      </c>
      <c r="AS46" s="545">
        <v>5245.86</v>
      </c>
      <c r="AT46" s="539">
        <f t="shared" si="58"/>
        <v>5.2563242903973219E-2</v>
      </c>
      <c r="AU46" s="545">
        <f t="shared" si="59"/>
        <v>79443.72</v>
      </c>
      <c r="AV46" s="471">
        <f t="shared" si="60"/>
        <v>6.1107141247342643E-2</v>
      </c>
      <c r="AW46" s="542">
        <v>59085.54</v>
      </c>
      <c r="AX46" s="539">
        <f t="shared" si="61"/>
        <v>0.10130487580188891</v>
      </c>
      <c r="AY46" s="545">
        <v>94753.919999999998</v>
      </c>
      <c r="AZ46" s="539">
        <f t="shared" si="62"/>
        <v>0.12579126401409377</v>
      </c>
      <c r="BA46" s="545">
        <v>3205.86</v>
      </c>
      <c r="BB46" s="539">
        <f t="shared" si="63"/>
        <v>0.11398597121995206</v>
      </c>
      <c r="BC46" s="545">
        <f t="shared" si="64"/>
        <v>157045.31999999998</v>
      </c>
      <c r="BD46" s="548">
        <f t="shared" si="65"/>
        <v>0.11508246312741065</v>
      </c>
      <c r="BE46" s="338"/>
      <c r="BF46"/>
      <c r="BG46"/>
      <c r="BH46"/>
      <c r="BI46"/>
      <c r="BJ46"/>
      <c r="BK46"/>
      <c r="BL46"/>
      <c r="BM46"/>
      <c r="BN46" s="350"/>
      <c r="BO46" s="350"/>
      <c r="BP46" s="350"/>
      <c r="BQ46" s="350"/>
      <c r="BR46" s="350"/>
    </row>
    <row r="47" spans="1:70" ht="11.25" customHeight="1" x14ac:dyDescent="0.25">
      <c r="A47" s="455">
        <v>22000</v>
      </c>
      <c r="B47" s="456" t="s">
        <v>90</v>
      </c>
      <c r="G47" s="345"/>
      <c r="H47" s="29"/>
      <c r="I47" s="29"/>
      <c r="J47" s="29"/>
      <c r="K47" s="29"/>
      <c r="L47" s="507"/>
      <c r="M47" s="505"/>
      <c r="N47" s="506"/>
      <c r="O47" s="481"/>
      <c r="P47" s="542">
        <v>941.57404888047358</v>
      </c>
      <c r="Q47" s="539">
        <f t="shared" si="42"/>
        <v>1.4971771708730966E-2</v>
      </c>
      <c r="R47" s="545">
        <v>421.65101681957191</v>
      </c>
      <c r="S47" s="539">
        <f t="shared" si="42"/>
        <v>1.2268701536885158E-2</v>
      </c>
      <c r="T47" s="545">
        <v>317.07292371589699</v>
      </c>
      <c r="U47" s="539">
        <f t="shared" ref="U47" si="74">T47/T$36</f>
        <v>5.4272266216954142E-2</v>
      </c>
      <c r="V47" s="550">
        <f t="shared" si="44"/>
        <v>1680.2979894159425</v>
      </c>
      <c r="W47" s="548">
        <f t="shared" si="45"/>
        <v>1.6297711350716247E-2</v>
      </c>
      <c r="Y47" s="558">
        <v>259</v>
      </c>
      <c r="Z47" s="539">
        <f t="shared" si="46"/>
        <v>1.7899101589495509E-2</v>
      </c>
      <c r="AA47" s="545">
        <v>73</v>
      </c>
      <c r="AB47" s="539">
        <f t="shared" si="47"/>
        <v>7.3014602920584114E-3</v>
      </c>
      <c r="AC47" s="545">
        <v>65</v>
      </c>
      <c r="AD47" s="539">
        <f t="shared" si="48"/>
        <v>2.0886889460154243E-2</v>
      </c>
      <c r="AE47" s="545">
        <f t="shared" si="49"/>
        <v>397</v>
      </c>
      <c r="AF47" s="32">
        <f t="shared" si="50"/>
        <v>1.4394488759970993E-2</v>
      </c>
      <c r="AG47" s="542">
        <v>7</v>
      </c>
      <c r="AH47" s="539">
        <f t="shared" si="51"/>
        <v>2.5179856115107913E-2</v>
      </c>
      <c r="AI47" s="545">
        <v>27</v>
      </c>
      <c r="AJ47" s="539">
        <f t="shared" si="52"/>
        <v>8.2543564659125646E-3</v>
      </c>
      <c r="AK47" s="545">
        <v>7</v>
      </c>
      <c r="AL47" s="539">
        <f t="shared" si="53"/>
        <v>4.4585987261146494E-2</v>
      </c>
      <c r="AM47" s="545">
        <f t="shared" si="54"/>
        <v>41</v>
      </c>
      <c r="AN47" s="471">
        <f t="shared" si="55"/>
        <v>1.1063140852671344E-2</v>
      </c>
      <c r="AO47" s="542">
        <v>346.8</v>
      </c>
      <c r="AP47" s="539">
        <f t="shared" si="56"/>
        <v>9.5003880694849842E-4</v>
      </c>
      <c r="AQ47" s="545">
        <v>7916.22</v>
      </c>
      <c r="AR47" s="539">
        <f t="shared" si="57"/>
        <v>9.4778473806309323E-3</v>
      </c>
      <c r="AS47" s="545">
        <v>2731.56</v>
      </c>
      <c r="AT47" s="539">
        <f t="shared" si="58"/>
        <v>2.7370088371930838E-2</v>
      </c>
      <c r="AU47" s="545">
        <f t="shared" si="59"/>
        <v>10994.58</v>
      </c>
      <c r="AV47" s="471">
        <f t="shared" si="60"/>
        <v>8.4568969456013457E-3</v>
      </c>
      <c r="AW47" s="542">
        <v>4824.6000000000004</v>
      </c>
      <c r="AX47" s="539">
        <f t="shared" si="61"/>
        <v>8.2719985937979631E-3</v>
      </c>
      <c r="AY47" s="545">
        <v>16973.82</v>
      </c>
      <c r="AZ47" s="539">
        <f t="shared" si="62"/>
        <v>2.2533719691467172E-2</v>
      </c>
      <c r="BA47" s="545">
        <v>381.48</v>
      </c>
      <c r="BB47" s="539">
        <f t="shared" si="63"/>
        <v>1.3563714042717808E-2</v>
      </c>
      <c r="BC47" s="545">
        <f t="shared" si="64"/>
        <v>22179.899999999998</v>
      </c>
      <c r="BD47" s="548">
        <f t="shared" si="65"/>
        <v>1.6253381660272688E-2</v>
      </c>
      <c r="BE47" s="338"/>
      <c r="BF47"/>
      <c r="BG47"/>
      <c r="BH47"/>
      <c r="BI47"/>
      <c r="BJ47"/>
      <c r="BK47"/>
      <c r="BL47"/>
      <c r="BM47"/>
      <c r="BN47" s="350"/>
      <c r="BO47" s="350"/>
      <c r="BP47" s="350"/>
      <c r="BQ47" s="350"/>
      <c r="BR47" s="350"/>
    </row>
    <row r="48" spans="1:70" ht="11.25" customHeight="1" x14ac:dyDescent="0.25">
      <c r="A48" s="455">
        <v>23000</v>
      </c>
      <c r="B48" s="456" t="s">
        <v>91</v>
      </c>
      <c r="G48" s="345"/>
      <c r="H48" s="29"/>
      <c r="I48" s="29"/>
      <c r="J48" s="29"/>
      <c r="K48" s="29"/>
      <c r="L48" s="507"/>
      <c r="M48" s="505"/>
      <c r="N48" s="506"/>
      <c r="O48" s="481"/>
      <c r="P48" s="542">
        <v>3652.223355365546</v>
      </c>
      <c r="Q48" s="539">
        <f t="shared" si="42"/>
        <v>5.8073238499768434E-2</v>
      </c>
      <c r="R48" s="545">
        <v>1510.1323996175906</v>
      </c>
      <c r="S48" s="539">
        <f t="shared" si="42"/>
        <v>4.3940042720248963E-2</v>
      </c>
      <c r="T48" s="545">
        <v>156.9478628117914</v>
      </c>
      <c r="U48" s="539">
        <f t="shared" ref="U48" si="75">T48/T$36</f>
        <v>2.6864218151707413E-2</v>
      </c>
      <c r="V48" s="550">
        <f t="shared" si="44"/>
        <v>5319.303617794928</v>
      </c>
      <c r="W48" s="548">
        <f t="shared" si="45"/>
        <v>5.1593512279197562E-2</v>
      </c>
      <c r="Y48" s="558">
        <v>257</v>
      </c>
      <c r="Z48" s="539">
        <f t="shared" si="46"/>
        <v>1.7760884588804423E-2</v>
      </c>
      <c r="AA48" s="545">
        <v>87</v>
      </c>
      <c r="AB48" s="539">
        <f t="shared" si="47"/>
        <v>8.7017403480696143E-3</v>
      </c>
      <c r="AC48" s="545">
        <v>26</v>
      </c>
      <c r="AD48" s="539">
        <f t="shared" si="48"/>
        <v>8.3547557840616959E-3</v>
      </c>
      <c r="AE48" s="545">
        <f t="shared" si="49"/>
        <v>370</v>
      </c>
      <c r="AF48" s="32">
        <f t="shared" si="50"/>
        <v>1.3415518491660623E-2</v>
      </c>
      <c r="AG48" s="542"/>
      <c r="AH48" s="539">
        <f t="shared" si="51"/>
        <v>0</v>
      </c>
      <c r="AI48" s="545">
        <v>0</v>
      </c>
      <c r="AJ48" s="539">
        <f t="shared" si="52"/>
        <v>0</v>
      </c>
      <c r="AK48" s="545"/>
      <c r="AL48" s="539">
        <f t="shared" si="53"/>
        <v>0</v>
      </c>
      <c r="AM48" s="545">
        <f t="shared" si="54"/>
        <v>0</v>
      </c>
      <c r="AN48" s="471">
        <f t="shared" si="55"/>
        <v>0</v>
      </c>
      <c r="AO48" s="542">
        <v>16889.16</v>
      </c>
      <c r="AP48" s="539">
        <f t="shared" si="56"/>
        <v>4.6266889898391873E-2</v>
      </c>
      <c r="AQ48" s="545">
        <v>31708.74</v>
      </c>
      <c r="AR48" s="539">
        <f t="shared" si="57"/>
        <v>3.7963901755144157E-2</v>
      </c>
      <c r="AS48" s="545">
        <v>4117.74</v>
      </c>
      <c r="AT48" s="539">
        <f t="shared" si="58"/>
        <v>4.1259539491219112E-2</v>
      </c>
      <c r="AU48" s="545">
        <f t="shared" si="59"/>
        <v>52715.64</v>
      </c>
      <c r="AV48" s="471">
        <f t="shared" si="60"/>
        <v>4.0548227845121874E-2</v>
      </c>
      <c r="AW48" s="542">
        <v>23242.74</v>
      </c>
      <c r="AX48" s="539">
        <f t="shared" si="61"/>
        <v>3.9850746713926889E-2</v>
      </c>
      <c r="AY48" s="545">
        <v>4324.8</v>
      </c>
      <c r="AZ48" s="539">
        <f t="shared" si="62"/>
        <v>5.7414200764269469E-3</v>
      </c>
      <c r="BA48" s="545">
        <v>0</v>
      </c>
      <c r="BB48" s="539">
        <f t="shared" si="63"/>
        <v>0</v>
      </c>
      <c r="BC48" s="545">
        <f t="shared" si="64"/>
        <v>27567.54</v>
      </c>
      <c r="BD48" s="548">
        <f t="shared" si="65"/>
        <v>2.0201432335350194E-2</v>
      </c>
      <c r="BE48" s="338"/>
      <c r="BF48"/>
      <c r="BG48"/>
      <c r="BH48"/>
      <c r="BI48"/>
      <c r="BJ48"/>
      <c r="BK48"/>
      <c r="BL48"/>
      <c r="BM48"/>
      <c r="BN48" s="350"/>
      <c r="BO48" s="350"/>
      <c r="BP48" s="350"/>
      <c r="BQ48" s="350"/>
      <c r="BR48" s="350"/>
    </row>
    <row r="49" spans="1:70" ht="11.25" customHeight="1" x14ac:dyDescent="0.25">
      <c r="A49" s="455">
        <v>24000</v>
      </c>
      <c r="B49" s="456" t="s">
        <v>92</v>
      </c>
      <c r="G49" s="345"/>
      <c r="H49" s="29"/>
      <c r="I49" s="29"/>
      <c r="J49" s="29"/>
      <c r="K49" s="29"/>
      <c r="L49" s="507"/>
      <c r="M49" s="505"/>
      <c r="N49" s="506"/>
      <c r="O49" s="481"/>
      <c r="P49" s="542">
        <v>1793.4157875477356</v>
      </c>
      <c r="Q49" s="539">
        <f t="shared" si="42"/>
        <v>2.8516728750037114E-2</v>
      </c>
      <c r="R49" s="545">
        <v>751.52103896103904</v>
      </c>
      <c r="S49" s="539">
        <f t="shared" si="42"/>
        <v>2.1866868471583045E-2</v>
      </c>
      <c r="T49" s="545">
        <v>60.072427983539065</v>
      </c>
      <c r="U49" s="539">
        <f t="shared" ref="U49" si="76">T49/T$36</f>
        <v>1.0282387930237447E-2</v>
      </c>
      <c r="V49" s="550">
        <f t="shared" si="44"/>
        <v>2605.0092544923136</v>
      </c>
      <c r="W49" s="548">
        <f t="shared" si="45"/>
        <v>2.5266761707200217E-2</v>
      </c>
      <c r="Y49" s="558">
        <v>301</v>
      </c>
      <c r="Z49" s="539">
        <f t="shared" si="46"/>
        <v>2.0801658604008292E-2</v>
      </c>
      <c r="AA49" s="545">
        <v>124</v>
      </c>
      <c r="AB49" s="539">
        <f t="shared" si="47"/>
        <v>1.2402480496099219E-2</v>
      </c>
      <c r="AC49" s="545">
        <v>42</v>
      </c>
      <c r="AD49" s="539">
        <f t="shared" si="48"/>
        <v>1.3496143958868894E-2</v>
      </c>
      <c r="AE49" s="545">
        <f t="shared" si="49"/>
        <v>467</v>
      </c>
      <c r="AF49" s="32">
        <f t="shared" si="50"/>
        <v>1.6932559825960841E-2</v>
      </c>
      <c r="AG49" s="542">
        <v>3</v>
      </c>
      <c r="AH49" s="539">
        <f t="shared" si="51"/>
        <v>1.0791366906474821E-2</v>
      </c>
      <c r="AI49" s="545">
        <v>1</v>
      </c>
      <c r="AJ49" s="539">
        <f t="shared" si="52"/>
        <v>3.057169061449098E-4</v>
      </c>
      <c r="AK49" s="545">
        <v>1</v>
      </c>
      <c r="AL49" s="539">
        <f t="shared" si="53"/>
        <v>6.369426751592357E-3</v>
      </c>
      <c r="AM49" s="545">
        <f t="shared" si="54"/>
        <v>5</v>
      </c>
      <c r="AN49" s="471">
        <f t="shared" si="55"/>
        <v>1.3491635186184566E-3</v>
      </c>
      <c r="AO49" s="542">
        <v>15380.88</v>
      </c>
      <c r="AP49" s="539">
        <f t="shared" si="56"/>
        <v>4.2135042921043885E-2</v>
      </c>
      <c r="AQ49" s="545">
        <v>13502.159999999998</v>
      </c>
      <c r="AR49" s="539">
        <f t="shared" si="57"/>
        <v>1.6165721997223388E-2</v>
      </c>
      <c r="AS49" s="545">
        <v>6287.0999999999995</v>
      </c>
      <c r="AT49" s="539">
        <f t="shared" si="58"/>
        <v>6.2996413259517034E-2</v>
      </c>
      <c r="AU49" s="545">
        <f t="shared" si="59"/>
        <v>35170.14</v>
      </c>
      <c r="AV49" s="471">
        <f t="shared" si="60"/>
        <v>2.7052443071256174E-2</v>
      </c>
      <c r="AW49" s="542">
        <v>13128.24</v>
      </c>
      <c r="AX49" s="539">
        <f t="shared" si="61"/>
        <v>2.2508971276176709E-2</v>
      </c>
      <c r="AY49" s="545">
        <v>5433.24</v>
      </c>
      <c r="AZ49" s="539">
        <f t="shared" si="62"/>
        <v>7.2129377580572376E-3</v>
      </c>
      <c r="BA49" s="545">
        <v>1236.8999999999999</v>
      </c>
      <c r="BB49" s="539">
        <f t="shared" si="63"/>
        <v>4.3978604119318587E-2</v>
      </c>
      <c r="BC49" s="545">
        <f t="shared" si="64"/>
        <v>19798.38</v>
      </c>
      <c r="BD49" s="548">
        <f t="shared" si="65"/>
        <v>1.4508209071957476E-2</v>
      </c>
      <c r="BE49" s="338"/>
      <c r="BF49"/>
      <c r="BG49"/>
      <c r="BH49"/>
      <c r="BI49"/>
      <c r="BJ49"/>
      <c r="BK49"/>
      <c r="BL49"/>
      <c r="BM49"/>
      <c r="BN49" s="350"/>
      <c r="BO49" s="350"/>
      <c r="BP49" s="350"/>
      <c r="BQ49" s="350"/>
      <c r="BR49" s="350"/>
    </row>
    <row r="50" spans="1:70" ht="11.25" customHeight="1" x14ac:dyDescent="0.25">
      <c r="A50" s="455">
        <v>25000</v>
      </c>
      <c r="B50" s="456" t="s">
        <v>93</v>
      </c>
      <c r="G50" s="345"/>
      <c r="H50" s="29"/>
      <c r="I50" s="29"/>
      <c r="J50" s="29"/>
      <c r="K50" s="29"/>
      <c r="L50" s="507"/>
      <c r="M50" s="505"/>
      <c r="N50" s="506"/>
      <c r="O50" s="481"/>
      <c r="P50" s="542">
        <v>2216.2410468895519</v>
      </c>
      <c r="Q50" s="539">
        <f t="shared" si="42"/>
        <v>3.5239984624683938E-2</v>
      </c>
      <c r="R50" s="545">
        <v>568.55740870786519</v>
      </c>
      <c r="S50" s="539">
        <f t="shared" si="42"/>
        <v>1.6543209611199605E-2</v>
      </c>
      <c r="T50" s="545">
        <v>132.34968749999999</v>
      </c>
      <c r="U50" s="539">
        <f t="shared" ref="U50" si="77">T50/T$36</f>
        <v>2.2653834296386371E-2</v>
      </c>
      <c r="V50" s="550">
        <f t="shared" si="44"/>
        <v>2917.1481430974172</v>
      </c>
      <c r="W50" s="548">
        <f t="shared" si="45"/>
        <v>2.829428988366825E-2</v>
      </c>
      <c r="Y50" s="558">
        <v>140</v>
      </c>
      <c r="Z50" s="539">
        <f t="shared" si="46"/>
        <v>9.675190048375951E-3</v>
      </c>
      <c r="AA50" s="545">
        <v>39</v>
      </c>
      <c r="AB50" s="539">
        <f t="shared" si="47"/>
        <v>3.9007801560312061E-3</v>
      </c>
      <c r="AC50" s="545">
        <v>40</v>
      </c>
      <c r="AD50" s="539">
        <f t="shared" si="48"/>
        <v>1.2853470437017995E-2</v>
      </c>
      <c r="AE50" s="545">
        <f t="shared" si="49"/>
        <v>219</v>
      </c>
      <c r="AF50" s="32">
        <f t="shared" si="50"/>
        <v>7.940536620739666E-3</v>
      </c>
      <c r="AG50" s="542">
        <v>1</v>
      </c>
      <c r="AH50" s="539">
        <f t="shared" si="51"/>
        <v>3.5971223021582736E-3</v>
      </c>
      <c r="AI50" s="545">
        <v>0</v>
      </c>
      <c r="AJ50" s="539">
        <f t="shared" si="52"/>
        <v>0</v>
      </c>
      <c r="AK50" s="545"/>
      <c r="AL50" s="539">
        <f t="shared" si="53"/>
        <v>0</v>
      </c>
      <c r="AM50" s="545">
        <f t="shared" si="54"/>
        <v>1</v>
      </c>
      <c r="AN50" s="471">
        <f t="shared" si="55"/>
        <v>2.6983270372369131E-4</v>
      </c>
      <c r="AO50" s="542">
        <v>13046.82</v>
      </c>
      <c r="AP50" s="539">
        <f t="shared" si="56"/>
        <v>3.5741018763759541E-2</v>
      </c>
      <c r="AQ50" s="545">
        <v>10131.66</v>
      </c>
      <c r="AR50" s="539">
        <f t="shared" si="57"/>
        <v>1.213032573531852E-2</v>
      </c>
      <c r="AS50" s="545">
        <v>2087.94</v>
      </c>
      <c r="AT50" s="539">
        <f t="shared" si="58"/>
        <v>2.0921049625594632E-2</v>
      </c>
      <c r="AU50" s="545">
        <f t="shared" si="59"/>
        <v>25266.42</v>
      </c>
      <c r="AV50" s="471">
        <f t="shared" si="60"/>
        <v>1.9434622343398357E-2</v>
      </c>
      <c r="AW50" s="542">
        <v>19494.240000000002</v>
      </c>
      <c r="AX50" s="539">
        <f t="shared" si="61"/>
        <v>3.3423771062297394E-2</v>
      </c>
      <c r="AY50" s="545">
        <v>5050.0200000000004</v>
      </c>
      <c r="AZ50" s="539">
        <f t="shared" si="62"/>
        <v>6.7041912260353336E-3</v>
      </c>
      <c r="BA50" s="545">
        <v>724.2</v>
      </c>
      <c r="BB50" s="539">
        <f t="shared" si="63"/>
        <v>2.5749296712111347E-2</v>
      </c>
      <c r="BC50" s="545">
        <f t="shared" si="64"/>
        <v>25268.460000000003</v>
      </c>
      <c r="BD50" s="548">
        <f t="shared" si="65"/>
        <v>1.8516671596685921E-2</v>
      </c>
      <c r="BE50" s="338"/>
      <c r="BF50"/>
      <c r="BG50"/>
      <c r="BH50"/>
      <c r="BI50"/>
      <c r="BJ50"/>
      <c r="BK50"/>
      <c r="BL50"/>
      <c r="BM50"/>
      <c r="BN50" s="350"/>
      <c r="BO50" s="350"/>
      <c r="BP50" s="350"/>
      <c r="BQ50" s="350"/>
      <c r="BR50" s="350"/>
    </row>
    <row r="51" spans="1:70" ht="11.25" customHeight="1" x14ac:dyDescent="0.25">
      <c r="A51" s="455">
        <v>26000</v>
      </c>
      <c r="B51" s="456" t="s">
        <v>94</v>
      </c>
      <c r="G51" s="345"/>
      <c r="H51" s="29"/>
      <c r="I51" s="29"/>
      <c r="J51" s="29"/>
      <c r="K51" s="29"/>
      <c r="L51" s="507"/>
      <c r="M51" s="505"/>
      <c r="N51" s="506"/>
      <c r="O51" s="481"/>
      <c r="P51" s="542">
        <v>4220.0569673240279</v>
      </c>
      <c r="Q51" s="539">
        <f t="shared" si="42"/>
        <v>6.7102241812778948E-2</v>
      </c>
      <c r="R51" s="545">
        <v>1933.772655487805</v>
      </c>
      <c r="S51" s="539">
        <f t="shared" si="42"/>
        <v>5.6266624777337612E-2</v>
      </c>
      <c r="T51" s="545">
        <v>363.33898622448982</v>
      </c>
      <c r="U51" s="539">
        <f t="shared" ref="U51" si="78">T51/T$36</f>
        <v>6.2191466733509317E-2</v>
      </c>
      <c r="V51" s="550">
        <f t="shared" si="44"/>
        <v>6517.1686090363219</v>
      </c>
      <c r="W51" s="548">
        <f t="shared" si="45"/>
        <v>6.3211962094260624E-2</v>
      </c>
      <c r="Y51" s="558">
        <v>1808</v>
      </c>
      <c r="Z51" s="539">
        <f t="shared" si="46"/>
        <v>0.12494816862474084</v>
      </c>
      <c r="AA51" s="545">
        <v>680</v>
      </c>
      <c r="AB51" s="539">
        <f t="shared" si="47"/>
        <v>6.8013602720544103E-2</v>
      </c>
      <c r="AC51" s="545">
        <v>208</v>
      </c>
      <c r="AD51" s="539">
        <f t="shared" si="48"/>
        <v>6.6838046272493568E-2</v>
      </c>
      <c r="AE51" s="545">
        <f t="shared" si="49"/>
        <v>2696</v>
      </c>
      <c r="AF51" s="32">
        <f t="shared" si="50"/>
        <v>9.7751994198694708E-2</v>
      </c>
      <c r="AG51" s="542">
        <v>4</v>
      </c>
      <c r="AH51" s="539">
        <f t="shared" si="51"/>
        <v>1.4388489208633094E-2</v>
      </c>
      <c r="AI51" s="545">
        <v>10</v>
      </c>
      <c r="AJ51" s="539">
        <f t="shared" si="52"/>
        <v>3.0571690614490982E-3</v>
      </c>
      <c r="AK51" s="545">
        <v>4</v>
      </c>
      <c r="AL51" s="539">
        <f t="shared" si="53"/>
        <v>2.5477707006369428E-2</v>
      </c>
      <c r="AM51" s="545">
        <f t="shared" si="54"/>
        <v>18</v>
      </c>
      <c r="AN51" s="471">
        <f t="shared" si="55"/>
        <v>4.8569886670264432E-3</v>
      </c>
      <c r="AO51" s="542">
        <v>24258.059999999998</v>
      </c>
      <c r="AP51" s="539">
        <f t="shared" si="56"/>
        <v>6.6453570880291496E-2</v>
      </c>
      <c r="AQ51" s="545">
        <v>66940.799999999988</v>
      </c>
      <c r="AR51" s="539">
        <f t="shared" si="57"/>
        <v>8.0146166470529995E-2</v>
      </c>
      <c r="AS51" s="545">
        <v>13856.699999999999</v>
      </c>
      <c r="AT51" s="539">
        <f t="shared" si="58"/>
        <v>0.13884340945955204</v>
      </c>
      <c r="AU51" s="545">
        <f t="shared" si="59"/>
        <v>105055.55999999998</v>
      </c>
      <c r="AV51" s="471">
        <f t="shared" si="60"/>
        <v>8.0807456445124659E-2</v>
      </c>
      <c r="AW51" s="542">
        <v>36558.659999999996</v>
      </c>
      <c r="AX51" s="539">
        <f t="shared" si="61"/>
        <v>6.2681503981913064E-2</v>
      </c>
      <c r="AY51" s="545">
        <v>51702.42</v>
      </c>
      <c r="AZ51" s="539">
        <f t="shared" si="62"/>
        <v>6.8637928271332332E-2</v>
      </c>
      <c r="BA51" s="545">
        <v>1249.4399999999998</v>
      </c>
      <c r="BB51" s="539">
        <f t="shared" si="63"/>
        <v>4.4424470151864674E-2</v>
      </c>
      <c r="BC51" s="545">
        <f t="shared" si="64"/>
        <v>89510.51999999999</v>
      </c>
      <c r="BD51" s="548">
        <f t="shared" si="65"/>
        <v>6.5593111067654572E-2</v>
      </c>
      <c r="BE51" s="338"/>
      <c r="BF51"/>
      <c r="BG51"/>
      <c r="BH51"/>
      <c r="BI51"/>
      <c r="BJ51"/>
      <c r="BK51"/>
      <c r="BL51"/>
      <c r="BM51"/>
      <c r="BN51" s="350"/>
      <c r="BO51" s="350"/>
      <c r="BP51" s="350"/>
      <c r="BQ51" s="350"/>
      <c r="BR51" s="350"/>
    </row>
    <row r="52" spans="1:70" ht="11.25" customHeight="1" x14ac:dyDescent="0.25">
      <c r="A52" s="455">
        <v>27000</v>
      </c>
      <c r="B52" s="456" t="s">
        <v>95</v>
      </c>
      <c r="G52" s="345"/>
      <c r="H52" s="29"/>
      <c r="I52" s="29"/>
      <c r="J52" s="29"/>
      <c r="K52" s="29"/>
      <c r="L52" s="507"/>
      <c r="M52" s="505"/>
      <c r="N52" s="506"/>
      <c r="O52" s="481"/>
      <c r="P52" s="542">
        <v>3824.6316572684213</v>
      </c>
      <c r="Q52" s="539">
        <f t="shared" si="42"/>
        <v>6.0814666791944624E-2</v>
      </c>
      <c r="R52" s="545">
        <v>1439.0362167643084</v>
      </c>
      <c r="S52" s="539">
        <f t="shared" si="42"/>
        <v>4.1871370256423318E-2</v>
      </c>
      <c r="T52" s="545">
        <v>241.16730483545163</v>
      </c>
      <c r="U52" s="539">
        <f t="shared" ref="U52" si="79">T52/T$36</f>
        <v>4.1279766236308052E-2</v>
      </c>
      <c r="V52" s="550">
        <f t="shared" si="44"/>
        <v>5504.8351788681812</v>
      </c>
      <c r="W52" s="548">
        <f t="shared" si="45"/>
        <v>5.3393038225110698E-2</v>
      </c>
      <c r="Y52" s="558">
        <v>698</v>
      </c>
      <c r="Z52" s="539">
        <f t="shared" si="46"/>
        <v>4.8237733241188664E-2</v>
      </c>
      <c r="AA52" s="545">
        <v>353</v>
      </c>
      <c r="AB52" s="539">
        <f t="shared" si="47"/>
        <v>3.5307061412282459E-2</v>
      </c>
      <c r="AC52" s="545">
        <v>127</v>
      </c>
      <c r="AD52" s="539">
        <f t="shared" si="48"/>
        <v>4.0809768637532134E-2</v>
      </c>
      <c r="AE52" s="545">
        <f t="shared" si="49"/>
        <v>1178</v>
      </c>
      <c r="AF52" s="32">
        <f t="shared" si="50"/>
        <v>4.2712110224800579E-2</v>
      </c>
      <c r="AG52" s="542">
        <v>17</v>
      </c>
      <c r="AH52" s="539">
        <f t="shared" si="51"/>
        <v>6.1151079136690649E-2</v>
      </c>
      <c r="AI52" s="545">
        <v>1</v>
      </c>
      <c r="AJ52" s="539">
        <f t="shared" si="52"/>
        <v>3.057169061449098E-4</v>
      </c>
      <c r="AK52" s="545">
        <v>17</v>
      </c>
      <c r="AL52" s="539">
        <f t="shared" si="53"/>
        <v>0.10828025477707007</v>
      </c>
      <c r="AM52" s="545">
        <f t="shared" si="54"/>
        <v>35</v>
      </c>
      <c r="AN52" s="471">
        <f t="shared" si="55"/>
        <v>9.4441446303291966E-3</v>
      </c>
      <c r="AO52" s="542">
        <v>9083.5199999999986</v>
      </c>
      <c r="AP52" s="539">
        <f t="shared" si="56"/>
        <v>2.4883784612724405E-2</v>
      </c>
      <c r="AQ52" s="545">
        <v>24761.94</v>
      </c>
      <c r="AR52" s="539">
        <f t="shared" si="57"/>
        <v>2.9646711204127763E-2</v>
      </c>
      <c r="AS52" s="545">
        <v>7668.78</v>
      </c>
      <c r="AT52" s="539">
        <f t="shared" si="58"/>
        <v>7.6840774614101742E-2</v>
      </c>
      <c r="AU52" s="545">
        <f t="shared" si="59"/>
        <v>41514.239999999998</v>
      </c>
      <c r="AV52" s="471">
        <f t="shared" si="60"/>
        <v>3.1932247476025563E-2</v>
      </c>
      <c r="AW52" s="542">
        <v>44384.759999999995</v>
      </c>
      <c r="AX52" s="539">
        <f t="shared" si="61"/>
        <v>7.6099712371193465E-2</v>
      </c>
      <c r="AY52" s="545">
        <v>7146.6599999999989</v>
      </c>
      <c r="AZ52" s="539">
        <f t="shared" si="62"/>
        <v>9.4876010921655096E-3</v>
      </c>
      <c r="BA52" s="545">
        <v>1031.6999999999998</v>
      </c>
      <c r="BB52" s="539">
        <f t="shared" si="63"/>
        <v>3.6682614495837158E-2</v>
      </c>
      <c r="BC52" s="545">
        <f t="shared" si="64"/>
        <v>52563.119999999988</v>
      </c>
      <c r="BD52" s="548">
        <f t="shared" si="65"/>
        <v>3.8518138071619454E-2</v>
      </c>
      <c r="BE52" s="338"/>
      <c r="BF52"/>
      <c r="BG52"/>
      <c r="BH52"/>
      <c r="BI52"/>
      <c r="BJ52"/>
      <c r="BK52"/>
      <c r="BL52"/>
      <c r="BM52"/>
      <c r="BN52" s="350"/>
      <c r="BO52" s="350"/>
      <c r="BP52" s="350"/>
      <c r="BQ52" s="350"/>
      <c r="BR52" s="350"/>
    </row>
    <row r="53" spans="1:70" ht="11.25" customHeight="1" x14ac:dyDescent="0.25">
      <c r="A53" s="455">
        <v>28000</v>
      </c>
      <c r="B53" s="456" t="s">
        <v>96</v>
      </c>
      <c r="G53" s="345"/>
      <c r="H53" s="29"/>
      <c r="I53" s="29"/>
      <c r="J53" s="29"/>
      <c r="K53" s="29"/>
      <c r="L53" s="507"/>
      <c r="M53" s="505"/>
      <c r="N53" s="506"/>
      <c r="O53" s="481"/>
      <c r="P53" s="542">
        <v>3742.8645139070491</v>
      </c>
      <c r="Q53" s="539">
        <f t="shared" si="42"/>
        <v>5.9514504574074333E-2</v>
      </c>
      <c r="R53" s="545">
        <v>1186.6747629310344</v>
      </c>
      <c r="S53" s="539">
        <f t="shared" si="42"/>
        <v>3.4528455777410622E-2</v>
      </c>
      <c r="T53" s="545">
        <v>93.616155046826208</v>
      </c>
      <c r="U53" s="539">
        <f t="shared" ref="U53" si="80">T53/T$36</f>
        <v>1.6023950671554217E-2</v>
      </c>
      <c r="V53" s="550">
        <f t="shared" si="44"/>
        <v>5023.1554318849094</v>
      </c>
      <c r="W53" s="548">
        <f t="shared" si="45"/>
        <v>4.8721082697419989E-2</v>
      </c>
      <c r="Y53" s="558">
        <v>387</v>
      </c>
      <c r="Z53" s="539">
        <f t="shared" si="46"/>
        <v>2.6744989633724948E-2</v>
      </c>
      <c r="AA53" s="545">
        <v>271</v>
      </c>
      <c r="AB53" s="539">
        <f t="shared" si="47"/>
        <v>2.7105421084216843E-2</v>
      </c>
      <c r="AC53" s="545">
        <v>69</v>
      </c>
      <c r="AD53" s="539">
        <f t="shared" si="48"/>
        <v>2.2172236503856042E-2</v>
      </c>
      <c r="AE53" s="545">
        <f t="shared" si="49"/>
        <v>727</v>
      </c>
      <c r="AF53" s="32">
        <f t="shared" si="50"/>
        <v>2.6359680928208847E-2</v>
      </c>
      <c r="AG53" s="542">
        <v>7</v>
      </c>
      <c r="AH53" s="539">
        <f t="shared" si="51"/>
        <v>2.5179856115107913E-2</v>
      </c>
      <c r="AI53" s="545">
        <v>15</v>
      </c>
      <c r="AJ53" s="539">
        <f t="shared" si="52"/>
        <v>4.5857535921736475E-3</v>
      </c>
      <c r="AK53" s="545">
        <v>17</v>
      </c>
      <c r="AL53" s="539">
        <f t="shared" si="53"/>
        <v>0.10828025477707007</v>
      </c>
      <c r="AM53" s="545">
        <f t="shared" si="54"/>
        <v>39</v>
      </c>
      <c r="AN53" s="471">
        <f t="shared" si="55"/>
        <v>1.0523475445223961E-2</v>
      </c>
      <c r="AO53" s="542">
        <v>13998.48</v>
      </c>
      <c r="AP53" s="539">
        <f t="shared" si="56"/>
        <v>3.8348037019297621E-2</v>
      </c>
      <c r="AQ53" s="545">
        <v>16350.6</v>
      </c>
      <c r="AR53" s="539">
        <f t="shared" si="57"/>
        <v>1.9576071835010159E-2</v>
      </c>
      <c r="AS53" s="545">
        <v>2747.88</v>
      </c>
      <c r="AT53" s="539">
        <f t="shared" si="58"/>
        <v>2.7533613918589123E-2</v>
      </c>
      <c r="AU53" s="545">
        <f t="shared" si="59"/>
        <v>33096.959999999999</v>
      </c>
      <c r="AV53" s="471">
        <f t="shared" si="60"/>
        <v>2.5457778280997535E-2</v>
      </c>
      <c r="AW53" s="542">
        <v>14616.6</v>
      </c>
      <c r="AX53" s="539">
        <f t="shared" si="61"/>
        <v>2.5060832949075011E-2</v>
      </c>
      <c r="AY53" s="545">
        <v>1306.6200000000001</v>
      </c>
      <c r="AZ53" s="539">
        <f t="shared" si="62"/>
        <v>1.7346129995054055E-3</v>
      </c>
      <c r="BA53" s="545">
        <v>744.6</v>
      </c>
      <c r="BB53" s="539">
        <f t="shared" si="63"/>
        <v>2.6474629013860961E-2</v>
      </c>
      <c r="BC53" s="545">
        <f t="shared" si="64"/>
        <v>16667.82</v>
      </c>
      <c r="BD53" s="548">
        <f t="shared" si="65"/>
        <v>1.2214141628444057E-2</v>
      </c>
      <c r="BE53" s="338"/>
      <c r="BF53"/>
      <c r="BG53"/>
      <c r="BH53"/>
      <c r="BI53"/>
      <c r="BJ53"/>
      <c r="BK53"/>
      <c r="BL53"/>
      <c r="BM53"/>
      <c r="BN53" s="350"/>
      <c r="BO53" s="350"/>
      <c r="BP53" s="350"/>
      <c r="BQ53" s="350"/>
      <c r="BR53" s="350"/>
    </row>
    <row r="54" spans="1:70" ht="11.25" customHeight="1" x14ac:dyDescent="0.25">
      <c r="A54" s="455">
        <v>31000</v>
      </c>
      <c r="B54" s="456" t="s">
        <v>97</v>
      </c>
      <c r="G54" s="345"/>
      <c r="H54" s="29"/>
      <c r="I54" s="29"/>
      <c r="J54" s="29"/>
      <c r="K54" s="29"/>
      <c r="L54" s="507"/>
      <c r="M54" s="505"/>
      <c r="N54" s="506"/>
      <c r="O54" s="481"/>
      <c r="P54" s="542">
        <v>2662.2247096907613</v>
      </c>
      <c r="Q54" s="539">
        <f t="shared" si="42"/>
        <v>4.2331477421477214E-2</v>
      </c>
      <c r="R54" s="545">
        <v>1129.0691454545456</v>
      </c>
      <c r="S54" s="539">
        <f t="shared" si="42"/>
        <v>3.2852315795589025E-2</v>
      </c>
      <c r="T54" s="545">
        <v>92.767778827977324</v>
      </c>
      <c r="U54" s="539">
        <f t="shared" ref="U54" si="81">T54/T$36</f>
        <v>1.5878737073805473E-2</v>
      </c>
      <c r="V54" s="550">
        <f t="shared" si="44"/>
        <v>3884.0616339732846</v>
      </c>
      <c r="W54" s="548">
        <f t="shared" si="45"/>
        <v>3.7672672215058059E-2</v>
      </c>
      <c r="Y54" s="558">
        <v>1944</v>
      </c>
      <c r="Z54" s="539">
        <f t="shared" si="46"/>
        <v>0.13434692467173462</v>
      </c>
      <c r="AA54" s="545">
        <v>1189</v>
      </c>
      <c r="AB54" s="539">
        <f t="shared" si="47"/>
        <v>0.1189237847569514</v>
      </c>
      <c r="AC54" s="545">
        <v>92</v>
      </c>
      <c r="AD54" s="539">
        <f t="shared" si="48"/>
        <v>2.9562982005141389E-2</v>
      </c>
      <c r="AE54" s="545">
        <f t="shared" si="49"/>
        <v>3225</v>
      </c>
      <c r="AF54" s="32">
        <f t="shared" si="50"/>
        <v>0.11693255982596085</v>
      </c>
      <c r="AG54" s="542"/>
      <c r="AH54" s="539">
        <f t="shared" si="51"/>
        <v>0</v>
      </c>
      <c r="AI54" s="545">
        <v>1</v>
      </c>
      <c r="AJ54" s="539">
        <f t="shared" si="52"/>
        <v>3.057169061449098E-4</v>
      </c>
      <c r="AK54" s="545">
        <v>11</v>
      </c>
      <c r="AL54" s="539">
        <f t="shared" si="53"/>
        <v>7.0063694267515922E-2</v>
      </c>
      <c r="AM54" s="545">
        <f t="shared" si="54"/>
        <v>12</v>
      </c>
      <c r="AN54" s="471">
        <f t="shared" si="55"/>
        <v>3.2379924446842958E-3</v>
      </c>
      <c r="AO54" s="542">
        <v>3899.9399999999996</v>
      </c>
      <c r="AP54" s="539">
        <f t="shared" si="56"/>
        <v>1.0683663047205093E-2</v>
      </c>
      <c r="AQ54" s="545">
        <v>76486.01999999999</v>
      </c>
      <c r="AR54" s="539">
        <f t="shared" si="57"/>
        <v>9.1574365582548861E-2</v>
      </c>
      <c r="AS54" s="545">
        <v>1299.5999999999999</v>
      </c>
      <c r="AT54" s="539">
        <f t="shared" si="58"/>
        <v>1.3021924046391554E-2</v>
      </c>
      <c r="AU54" s="545">
        <f t="shared" si="59"/>
        <v>81685.56</v>
      </c>
      <c r="AV54" s="471">
        <f t="shared" si="60"/>
        <v>6.2831537254150263E-2</v>
      </c>
      <c r="AW54" s="542">
        <v>30522.359999999997</v>
      </c>
      <c r="AX54" s="539">
        <f t="shared" si="61"/>
        <v>5.23319900094091E-2</v>
      </c>
      <c r="AY54" s="545">
        <v>59168.279999999992</v>
      </c>
      <c r="AZ54" s="539">
        <f t="shared" si="62"/>
        <v>7.854928567324522E-2</v>
      </c>
      <c r="BA54" s="545">
        <v>402.41999999999996</v>
      </c>
      <c r="BB54" s="539">
        <f t="shared" si="63"/>
        <v>1.4308246317160793E-2</v>
      </c>
      <c r="BC54" s="545">
        <f t="shared" si="64"/>
        <v>90093.059999999983</v>
      </c>
      <c r="BD54" s="548">
        <f t="shared" si="65"/>
        <v>6.6019995091134168E-2</v>
      </c>
      <c r="BE54" s="338"/>
      <c r="BF54"/>
      <c r="BG54"/>
      <c r="BH54"/>
      <c r="BI54"/>
      <c r="BJ54"/>
      <c r="BK54"/>
      <c r="BL54"/>
      <c r="BM54"/>
      <c r="BN54" s="350"/>
      <c r="BO54" s="350"/>
      <c r="BP54" s="350"/>
      <c r="BQ54" s="350"/>
      <c r="BR54" s="350"/>
    </row>
    <row r="55" spans="1:70" ht="11.25" customHeight="1" x14ac:dyDescent="0.25">
      <c r="A55" s="455">
        <v>41000</v>
      </c>
      <c r="B55" s="456" t="s">
        <v>98</v>
      </c>
      <c r="G55" s="345"/>
      <c r="H55" s="29"/>
      <c r="I55" s="29"/>
      <c r="J55" s="29"/>
      <c r="K55" s="29"/>
      <c r="L55" s="507"/>
      <c r="M55" s="505"/>
      <c r="N55" s="506"/>
      <c r="O55" s="481"/>
      <c r="P55" s="542">
        <v>4230.4371125865855</v>
      </c>
      <c r="Q55" s="539">
        <f t="shared" si="42"/>
        <v>6.7267294328148569E-2</v>
      </c>
      <c r="R55" s="545">
        <v>1663.4378822055135</v>
      </c>
      <c r="S55" s="539">
        <f t="shared" si="42"/>
        <v>4.8400743951391031E-2</v>
      </c>
      <c r="T55" s="545">
        <v>292.79042898792176</v>
      </c>
      <c r="U55" s="539">
        <f t="shared" ref="U55" si="82">T55/T$36</f>
        <v>5.0115916305886715E-2</v>
      </c>
      <c r="V55" s="550">
        <f t="shared" si="44"/>
        <v>6186.6654237800203</v>
      </c>
      <c r="W55" s="548">
        <f t="shared" si="45"/>
        <v>6.0006313127393865E-2</v>
      </c>
      <c r="Y55" s="558">
        <v>645</v>
      </c>
      <c r="Z55" s="539">
        <f t="shared" si="46"/>
        <v>4.4574982722874912E-2</v>
      </c>
      <c r="AA55" s="545">
        <v>208</v>
      </c>
      <c r="AB55" s="539">
        <f t="shared" si="47"/>
        <v>2.0804160832166432E-2</v>
      </c>
      <c r="AC55" s="545">
        <v>78</v>
      </c>
      <c r="AD55" s="539">
        <f t="shared" si="48"/>
        <v>2.5064267352185091E-2</v>
      </c>
      <c r="AE55" s="545">
        <f t="shared" si="49"/>
        <v>931</v>
      </c>
      <c r="AF55" s="32">
        <f t="shared" si="50"/>
        <v>3.3756345177664973E-2</v>
      </c>
      <c r="AG55" s="542">
        <v>4</v>
      </c>
      <c r="AH55" s="539">
        <f t="shared" si="51"/>
        <v>1.4388489208633094E-2</v>
      </c>
      <c r="AI55" s="545">
        <v>11</v>
      </c>
      <c r="AJ55" s="539">
        <f t="shared" si="52"/>
        <v>3.3628859675940079E-3</v>
      </c>
      <c r="AK55" s="545">
        <v>10</v>
      </c>
      <c r="AL55" s="539">
        <f t="shared" si="53"/>
        <v>6.3694267515923567E-2</v>
      </c>
      <c r="AM55" s="545">
        <f t="shared" si="54"/>
        <v>25</v>
      </c>
      <c r="AN55" s="471">
        <f t="shared" si="55"/>
        <v>6.7458175930922831E-3</v>
      </c>
      <c r="AO55" s="542">
        <v>11725</v>
      </c>
      <c r="AP55" s="539">
        <f t="shared" si="56"/>
        <v>3.2119968314507336E-2</v>
      </c>
      <c r="AQ55" s="545">
        <v>56670</v>
      </c>
      <c r="AR55" s="539">
        <f t="shared" si="57"/>
        <v>6.7849252681248737E-2</v>
      </c>
      <c r="AS55" s="545">
        <v>2209</v>
      </c>
      <c r="AT55" s="539">
        <f t="shared" si="58"/>
        <v>2.2134064495597832E-2</v>
      </c>
      <c r="AU55" s="545">
        <f t="shared" si="59"/>
        <v>70604</v>
      </c>
      <c r="AV55" s="471">
        <f t="shared" si="60"/>
        <v>5.4307736352569844E-2</v>
      </c>
      <c r="AW55" s="542">
        <v>10726</v>
      </c>
      <c r="AX55" s="539">
        <f t="shared" si="61"/>
        <v>1.8390220311958905E-2</v>
      </c>
      <c r="AY55" s="545">
        <v>67850</v>
      </c>
      <c r="AZ55" s="539">
        <f t="shared" si="62"/>
        <v>9.0074766968546133E-2</v>
      </c>
      <c r="BA55" s="545">
        <v>2874</v>
      </c>
      <c r="BB55" s="539">
        <f t="shared" si="63"/>
        <v>0.10218652133472522</v>
      </c>
      <c r="BC55" s="545">
        <f t="shared" si="64"/>
        <v>81450</v>
      </c>
      <c r="BD55" s="548">
        <f t="shared" si="65"/>
        <v>5.9686379840721129E-2</v>
      </c>
      <c r="BE55" s="338"/>
      <c r="BF55"/>
      <c r="BG55"/>
      <c r="BH55"/>
      <c r="BI55"/>
      <c r="BJ55"/>
      <c r="BK55"/>
      <c r="BL55"/>
      <c r="BM55"/>
      <c r="BN55" s="350"/>
      <c r="BO55" s="350"/>
      <c r="BP55" s="350"/>
      <c r="BQ55" s="350"/>
      <c r="BR55" s="350"/>
    </row>
    <row r="56" spans="1:70" ht="11.25" customHeight="1" x14ac:dyDescent="0.25">
      <c r="A56" s="455">
        <v>43000</v>
      </c>
      <c r="B56" s="456" t="s">
        <v>99</v>
      </c>
      <c r="G56" s="345"/>
      <c r="H56" s="29"/>
      <c r="I56" s="29"/>
      <c r="J56" s="29"/>
      <c r="K56" s="29"/>
      <c r="L56" s="507"/>
      <c r="M56" s="505"/>
      <c r="N56" s="506"/>
      <c r="O56" s="481"/>
      <c r="P56" s="542">
        <v>2674.4870690893263</v>
      </c>
      <c r="Q56" s="539">
        <f t="shared" si="42"/>
        <v>4.2526458629534095E-2</v>
      </c>
      <c r="R56" s="545">
        <v>842.42129584942086</v>
      </c>
      <c r="S56" s="539">
        <f t="shared" si="42"/>
        <v>2.4511776409435741E-2</v>
      </c>
      <c r="T56" s="545">
        <v>317.32441129401013</v>
      </c>
      <c r="U56" s="539">
        <f t="shared" ref="U56" si="83">T56/T$36</f>
        <v>5.4315312468364255E-2</v>
      </c>
      <c r="V56" s="550">
        <f t="shared" si="44"/>
        <v>3834.2327762327573</v>
      </c>
      <c r="W56" s="548">
        <f t="shared" si="45"/>
        <v>3.7189367262301855E-2</v>
      </c>
      <c r="Y56" s="558">
        <v>473</v>
      </c>
      <c r="Z56" s="539">
        <f t="shared" si="46"/>
        <v>3.26883206634416E-2</v>
      </c>
      <c r="AA56" s="545">
        <v>111</v>
      </c>
      <c r="AB56" s="539">
        <f t="shared" si="47"/>
        <v>1.1102220444088817E-2</v>
      </c>
      <c r="AC56" s="545">
        <v>51</v>
      </c>
      <c r="AD56" s="539">
        <f t="shared" si="48"/>
        <v>1.6388174807197942E-2</v>
      </c>
      <c r="AE56" s="545">
        <f t="shared" si="49"/>
        <v>635</v>
      </c>
      <c r="AF56" s="32">
        <f t="shared" si="50"/>
        <v>2.3023930384336477E-2</v>
      </c>
      <c r="AG56" s="542">
        <v>6</v>
      </c>
      <c r="AH56" s="539">
        <f t="shared" si="51"/>
        <v>2.1582733812949641E-2</v>
      </c>
      <c r="AI56" s="545">
        <v>5</v>
      </c>
      <c r="AJ56" s="539">
        <f t="shared" si="52"/>
        <v>1.5285845307245491E-3</v>
      </c>
      <c r="AK56" s="545">
        <v>21</v>
      </c>
      <c r="AL56" s="539">
        <f t="shared" si="53"/>
        <v>0.13375796178343949</v>
      </c>
      <c r="AM56" s="545">
        <f t="shared" si="54"/>
        <v>32</v>
      </c>
      <c r="AN56" s="471">
        <f t="shared" si="55"/>
        <v>8.634646519158122E-3</v>
      </c>
      <c r="AO56" s="542">
        <v>10363</v>
      </c>
      <c r="AP56" s="539">
        <f t="shared" si="56"/>
        <v>2.8388847048463926E-2</v>
      </c>
      <c r="AQ56" s="545">
        <v>23138</v>
      </c>
      <c r="AR56" s="539">
        <f t="shared" si="57"/>
        <v>2.7702417655527323E-2</v>
      </c>
      <c r="AS56" s="545">
        <v>3266</v>
      </c>
      <c r="AT56" s="539">
        <f t="shared" si="58"/>
        <v>3.2725149227081272E-2</v>
      </c>
      <c r="AU56" s="545">
        <f t="shared" si="59"/>
        <v>36767</v>
      </c>
      <c r="AV56" s="471">
        <f t="shared" si="60"/>
        <v>2.8280728322402915E-2</v>
      </c>
      <c r="AW56" s="542">
        <v>27137</v>
      </c>
      <c r="AX56" s="539">
        <f t="shared" si="61"/>
        <v>4.6527634589374312E-2</v>
      </c>
      <c r="AY56" s="545">
        <v>493</v>
      </c>
      <c r="AZ56" s="539">
        <f t="shared" si="62"/>
        <v>6.5448577915244277E-4</v>
      </c>
      <c r="BA56" s="545">
        <v>301</v>
      </c>
      <c r="BB56" s="539">
        <f t="shared" si="63"/>
        <v>1.07022070013056E-2</v>
      </c>
      <c r="BC56" s="545">
        <f t="shared" si="64"/>
        <v>27931</v>
      </c>
      <c r="BD56" s="548">
        <f t="shared" si="65"/>
        <v>2.0467775019412913E-2</v>
      </c>
      <c r="BE56" s="338"/>
      <c r="BF56"/>
      <c r="BG56"/>
      <c r="BH56"/>
      <c r="BI56"/>
      <c r="BJ56"/>
      <c r="BK56"/>
      <c r="BL56"/>
      <c r="BM56"/>
      <c r="BN56" s="350"/>
      <c r="BO56" s="350"/>
      <c r="BP56" s="350"/>
      <c r="BQ56" s="350"/>
      <c r="BR56" s="350"/>
    </row>
    <row r="57" spans="1:70" ht="11.25" customHeight="1" x14ac:dyDescent="0.25">
      <c r="A57" s="455">
        <v>51000</v>
      </c>
      <c r="B57" s="456" t="s">
        <v>100</v>
      </c>
      <c r="G57" s="345"/>
      <c r="H57" s="29"/>
      <c r="I57" s="29"/>
      <c r="J57" s="29"/>
      <c r="K57" s="29"/>
      <c r="L57" s="507"/>
      <c r="M57" s="505"/>
      <c r="N57" s="506"/>
      <c r="O57" s="481"/>
      <c r="P57" s="542">
        <v>933.83936281993726</v>
      </c>
      <c r="Q57" s="539">
        <f t="shared" si="42"/>
        <v>1.4848784085957439E-2</v>
      </c>
      <c r="R57" s="545">
        <v>585.21586956521742</v>
      </c>
      <c r="S57" s="539">
        <f t="shared" si="42"/>
        <v>1.7027917761234006E-2</v>
      </c>
      <c r="T57" s="545">
        <v>115.05000000000001</v>
      </c>
      <c r="U57" s="539">
        <f t="shared" ref="U57" si="84">T57/T$36</f>
        <v>1.9692707138422617E-2</v>
      </c>
      <c r="V57" s="550">
        <f t="shared" si="44"/>
        <v>1634.1052323851547</v>
      </c>
      <c r="W57" s="548">
        <f t="shared" si="45"/>
        <v>1.5849674023216246E-2</v>
      </c>
      <c r="Y57" s="558">
        <v>82</v>
      </c>
      <c r="Z57" s="539">
        <f t="shared" si="46"/>
        <v>5.6668970283344855E-3</v>
      </c>
      <c r="AA57" s="545">
        <v>70</v>
      </c>
      <c r="AB57" s="539">
        <f t="shared" si="47"/>
        <v>7.001400280056011E-3</v>
      </c>
      <c r="AC57" s="545">
        <v>24</v>
      </c>
      <c r="AD57" s="539">
        <f t="shared" si="48"/>
        <v>7.7120822622107968E-3</v>
      </c>
      <c r="AE57" s="545">
        <f t="shared" si="49"/>
        <v>176</v>
      </c>
      <c r="AF57" s="32">
        <f t="shared" si="50"/>
        <v>6.3814358230601881E-3</v>
      </c>
      <c r="AG57" s="542">
        <v>15</v>
      </c>
      <c r="AH57" s="539">
        <f t="shared" si="51"/>
        <v>5.3956834532374098E-2</v>
      </c>
      <c r="AI57" s="545">
        <v>31</v>
      </c>
      <c r="AJ57" s="539">
        <f t="shared" si="52"/>
        <v>9.4772240904922034E-3</v>
      </c>
      <c r="AK57" s="545"/>
      <c r="AL57" s="539">
        <f t="shared" si="53"/>
        <v>0</v>
      </c>
      <c r="AM57" s="545">
        <f t="shared" si="54"/>
        <v>46</v>
      </c>
      <c r="AN57" s="471">
        <f t="shared" si="55"/>
        <v>1.24123043712898E-2</v>
      </c>
      <c r="AO57" s="542">
        <v>5681.4000000000005</v>
      </c>
      <c r="AP57" s="539">
        <f t="shared" si="56"/>
        <v>1.5563871043244521E-2</v>
      </c>
      <c r="AQ57" s="545">
        <v>10443.780000000001</v>
      </c>
      <c r="AR57" s="539">
        <f t="shared" si="57"/>
        <v>1.2504017437222022E-2</v>
      </c>
      <c r="AS57" s="545">
        <v>125.46000000000001</v>
      </c>
      <c r="AT57" s="539">
        <f t="shared" si="58"/>
        <v>1.2571026399355836E-3</v>
      </c>
      <c r="AU57" s="545">
        <f t="shared" si="59"/>
        <v>16250.64</v>
      </c>
      <c r="AV57" s="471">
        <f t="shared" si="60"/>
        <v>1.2499794242260007E-2</v>
      </c>
      <c r="AW57" s="542">
        <v>29539.200000000001</v>
      </c>
      <c r="AX57" s="539">
        <f t="shared" si="61"/>
        <v>5.0646316971752425E-2</v>
      </c>
      <c r="AY57" s="545">
        <v>2795.82</v>
      </c>
      <c r="AZ57" s="539">
        <f t="shared" si="62"/>
        <v>3.7116114220486465E-3</v>
      </c>
      <c r="BA57" s="545">
        <v>0</v>
      </c>
      <c r="BB57" s="539">
        <f t="shared" si="63"/>
        <v>0</v>
      </c>
      <c r="BC57" s="545">
        <f t="shared" si="64"/>
        <v>32335.02</v>
      </c>
      <c r="BD57" s="548">
        <f t="shared" si="65"/>
        <v>2.3695031134159786E-2</v>
      </c>
      <c r="BE57" s="338"/>
      <c r="BF57"/>
      <c r="BG57"/>
      <c r="BH57"/>
      <c r="BI57"/>
      <c r="BJ57"/>
      <c r="BK57"/>
      <c r="BL57"/>
      <c r="BM57"/>
      <c r="BN57" s="350"/>
      <c r="BO57" s="350"/>
      <c r="BP57" s="350"/>
      <c r="BQ57" s="350"/>
      <c r="BR57" s="350"/>
    </row>
    <row r="58" spans="1:70" ht="11.25" customHeight="1" x14ac:dyDescent="0.25">
      <c r="A58" s="455">
        <v>52000</v>
      </c>
      <c r="B58" s="456" t="s">
        <v>101</v>
      </c>
      <c r="G58" s="345"/>
      <c r="H58" s="29"/>
      <c r="I58" s="29"/>
      <c r="J58" s="29"/>
      <c r="K58" s="29"/>
      <c r="L58" s="507"/>
      <c r="M58" s="505"/>
      <c r="N58" s="506"/>
      <c r="O58" s="481"/>
      <c r="P58" s="542">
        <v>0</v>
      </c>
      <c r="Q58" s="539">
        <f t="shared" si="42"/>
        <v>0</v>
      </c>
      <c r="R58" s="545">
        <v>309.75</v>
      </c>
      <c r="S58" s="539">
        <f t="shared" si="42"/>
        <v>9.0127383771407537E-3</v>
      </c>
      <c r="T58" s="545">
        <v>32.45000000000001</v>
      </c>
      <c r="U58" s="539">
        <f t="shared" ref="U58" si="85">T58/T$36</f>
        <v>5.5543532954525346E-3</v>
      </c>
      <c r="V58" s="550">
        <f t="shared" si="44"/>
        <v>342.2</v>
      </c>
      <c r="W58" s="548">
        <f t="shared" si="45"/>
        <v>3.3190998616582559E-3</v>
      </c>
      <c r="Y58" s="558">
        <v>0</v>
      </c>
      <c r="Z58" s="539">
        <f t="shared" si="46"/>
        <v>0</v>
      </c>
      <c r="AA58" s="545">
        <v>21</v>
      </c>
      <c r="AB58" s="539">
        <f t="shared" si="47"/>
        <v>2.1004200840168035E-3</v>
      </c>
      <c r="AC58" s="545">
        <v>9</v>
      </c>
      <c r="AD58" s="539">
        <f t="shared" si="48"/>
        <v>2.8920308483290488E-3</v>
      </c>
      <c r="AE58" s="545">
        <f t="shared" si="49"/>
        <v>30</v>
      </c>
      <c r="AF58" s="32">
        <f t="shared" si="50"/>
        <v>1.0877447425670776E-3</v>
      </c>
      <c r="AG58" s="542"/>
      <c r="AH58" s="539">
        <f t="shared" si="51"/>
        <v>0</v>
      </c>
      <c r="AI58" s="545">
        <v>0</v>
      </c>
      <c r="AJ58" s="539">
        <f t="shared" si="52"/>
        <v>0</v>
      </c>
      <c r="AK58" s="545"/>
      <c r="AL58" s="539">
        <f t="shared" si="53"/>
        <v>0</v>
      </c>
      <c r="AM58" s="545">
        <f t="shared" si="54"/>
        <v>0</v>
      </c>
      <c r="AN58" s="471">
        <f t="shared" si="55"/>
        <v>0</v>
      </c>
      <c r="AO58" s="542">
        <v>0</v>
      </c>
      <c r="AP58" s="539">
        <f t="shared" si="56"/>
        <v>0</v>
      </c>
      <c r="AQ58" s="545">
        <v>5272</v>
      </c>
      <c r="AR58" s="539">
        <f t="shared" si="57"/>
        <v>6.3120038845163821E-3</v>
      </c>
      <c r="AS58" s="545">
        <v>114</v>
      </c>
      <c r="AT58" s="539">
        <f t="shared" si="58"/>
        <v>1.1422740391571538E-3</v>
      </c>
      <c r="AU58" s="545">
        <f t="shared" si="59"/>
        <v>5386</v>
      </c>
      <c r="AV58" s="471">
        <f t="shared" si="60"/>
        <v>4.1428455610863571E-3</v>
      </c>
      <c r="AW58" s="542">
        <v>0</v>
      </c>
      <c r="AX58" s="539">
        <f t="shared" si="61"/>
        <v>0</v>
      </c>
      <c r="AY58" s="545">
        <v>5288</v>
      </c>
      <c r="AZ58" s="539">
        <f t="shared" si="62"/>
        <v>7.020123326892733E-3</v>
      </c>
      <c r="BA58" s="545">
        <v>0</v>
      </c>
      <c r="BB58" s="539">
        <f t="shared" si="63"/>
        <v>0</v>
      </c>
      <c r="BC58" s="545">
        <f t="shared" si="64"/>
        <v>5288</v>
      </c>
      <c r="BD58" s="548">
        <f t="shared" si="65"/>
        <v>3.8750347034712503E-3</v>
      </c>
      <c r="BE58" s="338"/>
      <c r="BF58"/>
      <c r="BG58"/>
      <c r="BH58"/>
      <c r="BI58"/>
      <c r="BJ58"/>
      <c r="BK58"/>
      <c r="BL58"/>
      <c r="BM58"/>
      <c r="BN58" s="350"/>
      <c r="BO58" s="350"/>
      <c r="BP58" s="350"/>
      <c r="BQ58" s="350"/>
      <c r="BR58" s="350"/>
    </row>
    <row r="59" spans="1:70" ht="11.25" customHeight="1" x14ac:dyDescent="0.25">
      <c r="A59" s="455">
        <v>53000</v>
      </c>
      <c r="B59" s="456" t="s">
        <v>102</v>
      </c>
      <c r="G59" s="345"/>
      <c r="H59" s="29"/>
      <c r="I59" s="29"/>
      <c r="J59" s="29"/>
      <c r="K59" s="29"/>
      <c r="L59" s="507"/>
      <c r="M59" s="505"/>
      <c r="N59" s="506"/>
      <c r="O59" s="481"/>
      <c r="P59" s="542">
        <v>0</v>
      </c>
      <c r="Q59" s="539">
        <f t="shared" si="42"/>
        <v>0</v>
      </c>
      <c r="R59" s="545">
        <v>423.30720338983048</v>
      </c>
      <c r="S59" s="539">
        <f t="shared" si="42"/>
        <v>1.2316891290755938E-2</v>
      </c>
      <c r="T59" s="545">
        <v>13.8</v>
      </c>
      <c r="U59" s="539">
        <f t="shared" ref="U59" si="86">T59/T$36</f>
        <v>2.3620978575422174E-3</v>
      </c>
      <c r="V59" s="550">
        <f t="shared" si="44"/>
        <v>437.10720338983049</v>
      </c>
      <c r="W59" s="548">
        <f t="shared" si="45"/>
        <v>4.2396331335505947E-3</v>
      </c>
      <c r="Y59" s="558">
        <v>17</v>
      </c>
      <c r="Z59" s="539">
        <f t="shared" si="46"/>
        <v>1.1748445058742225E-3</v>
      </c>
      <c r="AA59" s="545">
        <v>30</v>
      </c>
      <c r="AB59" s="539">
        <f t="shared" si="47"/>
        <v>3.0006001200240046E-3</v>
      </c>
      <c r="AC59" s="545">
        <v>0</v>
      </c>
      <c r="AD59" s="539">
        <f t="shared" si="48"/>
        <v>0</v>
      </c>
      <c r="AE59" s="545">
        <f t="shared" si="49"/>
        <v>47</v>
      </c>
      <c r="AF59" s="32">
        <f t="shared" si="50"/>
        <v>1.7041334300217548E-3</v>
      </c>
      <c r="AG59" s="542"/>
      <c r="AH59" s="539">
        <f t="shared" si="51"/>
        <v>0</v>
      </c>
      <c r="AI59" s="545">
        <v>10</v>
      </c>
      <c r="AJ59" s="539">
        <f t="shared" si="52"/>
        <v>3.0571690614490982E-3</v>
      </c>
      <c r="AK59" s="545"/>
      <c r="AL59" s="539">
        <f t="shared" si="53"/>
        <v>0</v>
      </c>
      <c r="AM59" s="545">
        <f t="shared" si="54"/>
        <v>10</v>
      </c>
      <c r="AN59" s="471">
        <f t="shared" si="55"/>
        <v>2.6983270372369131E-3</v>
      </c>
      <c r="AO59" s="542">
        <v>424</v>
      </c>
      <c r="AP59" s="539">
        <f t="shared" si="56"/>
        <v>1.1615238008828238E-3</v>
      </c>
      <c r="AQ59" s="545">
        <v>12963</v>
      </c>
      <c r="AR59" s="539">
        <f t="shared" si="57"/>
        <v>1.5520202267637681E-2</v>
      </c>
      <c r="AS59" s="545">
        <v>0</v>
      </c>
      <c r="AT59" s="539">
        <f t="shared" si="58"/>
        <v>0</v>
      </c>
      <c r="AU59" s="545">
        <f t="shared" si="59"/>
        <v>13387</v>
      </c>
      <c r="AV59" s="471">
        <f t="shared" si="60"/>
        <v>1.0297117253298007E-2</v>
      </c>
      <c r="AW59" s="542">
        <v>0</v>
      </c>
      <c r="AX59" s="539">
        <f t="shared" si="61"/>
        <v>0</v>
      </c>
      <c r="AY59" s="545">
        <v>11538</v>
      </c>
      <c r="AZ59" s="539">
        <f t="shared" si="62"/>
        <v>1.5317356835417616E-2</v>
      </c>
      <c r="BA59" s="545">
        <v>0</v>
      </c>
      <c r="BB59" s="539">
        <f t="shared" si="63"/>
        <v>0</v>
      </c>
      <c r="BC59" s="545">
        <f t="shared" si="64"/>
        <v>11538</v>
      </c>
      <c r="BD59" s="548">
        <f t="shared" si="65"/>
        <v>8.4550208790944176E-3</v>
      </c>
      <c r="BE59" s="338"/>
      <c r="BF59"/>
      <c r="BG59"/>
      <c r="BH59"/>
      <c r="BI59"/>
      <c r="BJ59"/>
      <c r="BK59"/>
      <c r="BL59"/>
      <c r="BM59"/>
      <c r="BN59" s="350"/>
      <c r="BO59" s="350"/>
      <c r="BP59" s="350"/>
      <c r="BQ59" s="350"/>
      <c r="BR59" s="350"/>
    </row>
    <row r="60" spans="1:70" ht="11.25" customHeight="1" x14ac:dyDescent="0.25">
      <c r="A60" s="455">
        <v>54000</v>
      </c>
      <c r="B60" s="456" t="s">
        <v>103</v>
      </c>
      <c r="G60" s="345"/>
      <c r="H60" s="29"/>
      <c r="I60" s="29"/>
      <c r="J60" s="29"/>
      <c r="K60" s="29"/>
      <c r="L60" s="507"/>
      <c r="M60" s="505"/>
      <c r="N60" s="506"/>
      <c r="O60" s="481"/>
      <c r="P60" s="542">
        <v>613.09247240736966</v>
      </c>
      <c r="Q60" s="539">
        <f t="shared" si="42"/>
        <v>9.7486549721059693E-3</v>
      </c>
      <c r="R60" s="545">
        <v>349.46153846153845</v>
      </c>
      <c r="S60" s="539">
        <f t="shared" si="42"/>
        <v>1.0168217656261363E-2</v>
      </c>
      <c r="T60" s="545">
        <v>51.625</v>
      </c>
      <c r="U60" s="539">
        <f t="shared" ref="U60" si="87">T60/T$36</f>
        <v>8.8364711518563021E-3</v>
      </c>
      <c r="V60" s="550">
        <f t="shared" si="44"/>
        <v>1014.1790108689081</v>
      </c>
      <c r="W60" s="548">
        <f t="shared" si="45"/>
        <v>9.8368247068138497E-3</v>
      </c>
      <c r="Y60" s="558">
        <v>56</v>
      </c>
      <c r="Z60" s="539">
        <f t="shared" si="46"/>
        <v>3.8700760193503803E-3</v>
      </c>
      <c r="AA60" s="545">
        <v>41</v>
      </c>
      <c r="AB60" s="539">
        <f t="shared" si="47"/>
        <v>4.1008201640328062E-3</v>
      </c>
      <c r="AC60" s="545">
        <v>10</v>
      </c>
      <c r="AD60" s="539">
        <f t="shared" si="48"/>
        <v>3.2133676092544988E-3</v>
      </c>
      <c r="AE60" s="545">
        <f t="shared" si="49"/>
        <v>107</v>
      </c>
      <c r="AF60" s="32">
        <f t="shared" si="50"/>
        <v>3.8796229151559099E-3</v>
      </c>
      <c r="AG60" s="542"/>
      <c r="AH60" s="539">
        <f t="shared" si="51"/>
        <v>0</v>
      </c>
      <c r="AI60" s="545">
        <v>0</v>
      </c>
      <c r="AJ60" s="539">
        <f t="shared" si="52"/>
        <v>0</v>
      </c>
      <c r="AK60" s="545">
        <v>1</v>
      </c>
      <c r="AL60" s="539">
        <f t="shared" si="53"/>
        <v>6.369426751592357E-3</v>
      </c>
      <c r="AM60" s="545">
        <f t="shared" si="54"/>
        <v>1</v>
      </c>
      <c r="AN60" s="471">
        <f t="shared" si="55"/>
        <v>2.6983270372369131E-4</v>
      </c>
      <c r="AO60" s="542">
        <v>3349.68</v>
      </c>
      <c r="AP60" s="539">
        <f t="shared" si="56"/>
        <v>9.1762571824084375E-3</v>
      </c>
      <c r="AQ60" s="545">
        <v>3525.12</v>
      </c>
      <c r="AR60" s="539">
        <f t="shared" si="57"/>
        <v>4.2205180450277666E-3</v>
      </c>
      <c r="AS60" s="545">
        <v>459</v>
      </c>
      <c r="AT60" s="539">
        <f t="shared" si="58"/>
        <v>4.5991559997643301E-3</v>
      </c>
      <c r="AU60" s="545">
        <f t="shared" si="59"/>
        <v>7333.7999999999993</v>
      </c>
      <c r="AV60" s="471">
        <f t="shared" si="60"/>
        <v>5.6410695833448059E-3</v>
      </c>
      <c r="AW60" s="542">
        <v>1801.32</v>
      </c>
      <c r="AX60" s="539">
        <f t="shared" si="61"/>
        <v>3.0884459866061735E-3</v>
      </c>
      <c r="AY60" s="545">
        <v>1928.82</v>
      </c>
      <c r="AZ60" s="539">
        <f t="shared" si="62"/>
        <v>2.5606191897460744E-3</v>
      </c>
      <c r="BA60" s="545">
        <v>91.8</v>
      </c>
      <c r="BB60" s="539">
        <f t="shared" si="63"/>
        <v>3.2639953578732692E-3</v>
      </c>
      <c r="BC60" s="545">
        <f t="shared" si="64"/>
        <v>3821.94</v>
      </c>
      <c r="BD60" s="548">
        <f t="shared" si="65"/>
        <v>2.800709178249794E-3</v>
      </c>
      <c r="BE60" s="338"/>
      <c r="BF60"/>
      <c r="BG60"/>
      <c r="BH60"/>
      <c r="BI60"/>
      <c r="BJ60"/>
      <c r="BK60"/>
      <c r="BL60"/>
      <c r="BM60"/>
      <c r="BN60" s="350"/>
      <c r="BO60" s="350"/>
      <c r="BP60" s="350"/>
      <c r="BQ60" s="350"/>
      <c r="BR60" s="350"/>
    </row>
    <row r="61" spans="1:70" ht="11.25" customHeight="1" x14ac:dyDescent="0.25">
      <c r="A61" s="455">
        <v>55000</v>
      </c>
      <c r="B61" s="456" t="s">
        <v>104</v>
      </c>
      <c r="G61" s="345"/>
      <c r="H61" s="29"/>
      <c r="I61" s="29"/>
      <c r="J61" s="29"/>
      <c r="K61" s="29"/>
      <c r="L61" s="507"/>
      <c r="M61" s="505"/>
      <c r="N61" s="506"/>
      <c r="O61" s="481"/>
      <c r="P61" s="542">
        <v>497.86779221026302</v>
      </c>
      <c r="Q61" s="539">
        <f t="shared" si="42"/>
        <v>7.9164914697518324E-3</v>
      </c>
      <c r="R61" s="545">
        <v>0</v>
      </c>
      <c r="S61" s="539">
        <f t="shared" si="42"/>
        <v>0</v>
      </c>
      <c r="T61" s="545">
        <v>0</v>
      </c>
      <c r="U61" s="539">
        <f t="shared" ref="U61" si="88">T61/T$36</f>
        <v>0</v>
      </c>
      <c r="V61" s="550">
        <f t="shared" si="44"/>
        <v>497.86779221026302</v>
      </c>
      <c r="W61" s="548">
        <f t="shared" si="45"/>
        <v>4.8289682064558311E-3</v>
      </c>
      <c r="Y61" s="558">
        <v>51</v>
      </c>
      <c r="Z61" s="539">
        <f t="shared" si="46"/>
        <v>3.5245335176226677E-3</v>
      </c>
      <c r="AA61" s="545">
        <v>0</v>
      </c>
      <c r="AB61" s="539">
        <f t="shared" si="47"/>
        <v>0</v>
      </c>
      <c r="AC61" s="545">
        <v>0</v>
      </c>
      <c r="AD61" s="539">
        <f t="shared" si="48"/>
        <v>0</v>
      </c>
      <c r="AE61" s="545">
        <f t="shared" si="49"/>
        <v>51</v>
      </c>
      <c r="AF61" s="32">
        <f t="shared" si="50"/>
        <v>1.8491660623640319E-3</v>
      </c>
      <c r="AG61" s="542"/>
      <c r="AH61" s="539">
        <f t="shared" si="51"/>
        <v>0</v>
      </c>
      <c r="AI61" s="545">
        <v>0</v>
      </c>
      <c r="AJ61" s="539">
        <f t="shared" si="52"/>
        <v>0</v>
      </c>
      <c r="AK61" s="545"/>
      <c r="AL61" s="539">
        <f t="shared" si="53"/>
        <v>0</v>
      </c>
      <c r="AM61" s="545">
        <f t="shared" si="54"/>
        <v>0</v>
      </c>
      <c r="AN61" s="471">
        <f t="shared" si="55"/>
        <v>0</v>
      </c>
      <c r="AO61" s="542">
        <v>6695</v>
      </c>
      <c r="AP61" s="539">
        <f t="shared" si="56"/>
        <v>1.8340570393656854E-2</v>
      </c>
      <c r="AQ61" s="545">
        <v>0</v>
      </c>
      <c r="AR61" s="539">
        <f t="shared" si="57"/>
        <v>0</v>
      </c>
      <c r="AS61" s="545">
        <v>0</v>
      </c>
      <c r="AT61" s="539">
        <f t="shared" si="58"/>
        <v>0</v>
      </c>
      <c r="AU61" s="545">
        <f t="shared" si="59"/>
        <v>6695</v>
      </c>
      <c r="AV61" s="471">
        <f t="shared" si="60"/>
        <v>5.1497124083685784E-3</v>
      </c>
      <c r="AW61" s="542">
        <v>1136</v>
      </c>
      <c r="AX61" s="539">
        <f t="shared" si="61"/>
        <v>1.9477242470991346E-3</v>
      </c>
      <c r="AY61" s="545">
        <v>0</v>
      </c>
      <c r="AZ61" s="539">
        <f t="shared" si="62"/>
        <v>0</v>
      </c>
      <c r="BA61" s="545">
        <v>0</v>
      </c>
      <c r="BB61" s="539">
        <f t="shared" si="63"/>
        <v>0</v>
      </c>
      <c r="BC61" s="545">
        <f t="shared" si="64"/>
        <v>1136</v>
      </c>
      <c r="BD61" s="548">
        <f t="shared" si="65"/>
        <v>8.3245828728126703E-4</v>
      </c>
      <c r="BE61" s="338"/>
      <c r="BF61"/>
      <c r="BG61"/>
      <c r="BH61"/>
      <c r="BI61"/>
      <c r="BJ61"/>
      <c r="BK61"/>
      <c r="BL61"/>
      <c r="BM61"/>
      <c r="BN61" s="350"/>
      <c r="BO61" s="350"/>
      <c r="BP61" s="350"/>
      <c r="BQ61" s="350"/>
      <c r="BR61" s="350"/>
    </row>
    <row r="62" spans="1:70" ht="11.25" customHeight="1" x14ac:dyDescent="0.25">
      <c r="A62" s="501">
        <v>56000</v>
      </c>
      <c r="B62" s="502" t="s">
        <v>105</v>
      </c>
      <c r="G62" s="345"/>
      <c r="H62" s="29"/>
      <c r="I62" s="29"/>
      <c r="J62" s="29"/>
      <c r="K62" s="29"/>
      <c r="L62" s="508"/>
      <c r="M62" s="509"/>
      <c r="N62" s="510"/>
      <c r="O62" s="482"/>
      <c r="P62" s="543">
        <v>129.19295634920636</v>
      </c>
      <c r="Q62" s="540">
        <f t="shared" si="42"/>
        <v>2.0542701353506629E-3</v>
      </c>
      <c r="R62" s="546">
        <v>0</v>
      </c>
      <c r="S62" s="540">
        <f t="shared" si="42"/>
        <v>0</v>
      </c>
      <c r="T62" s="546">
        <v>0</v>
      </c>
      <c r="U62" s="540">
        <f t="shared" ref="U62" si="89">T62/T$36</f>
        <v>0</v>
      </c>
      <c r="V62" s="551">
        <f t="shared" si="44"/>
        <v>129.19295634920636</v>
      </c>
      <c r="W62" s="549">
        <f t="shared" si="45"/>
        <v>1.2530810156220686E-3</v>
      </c>
      <c r="Y62" s="559">
        <v>27</v>
      </c>
      <c r="Z62" s="540">
        <f t="shared" si="46"/>
        <v>1.8659295093296476E-3</v>
      </c>
      <c r="AA62" s="546">
        <v>0</v>
      </c>
      <c r="AB62" s="540">
        <f t="shared" si="47"/>
        <v>0</v>
      </c>
      <c r="AC62" s="546">
        <v>0</v>
      </c>
      <c r="AD62" s="540">
        <f t="shared" si="48"/>
        <v>0</v>
      </c>
      <c r="AE62" s="546">
        <f t="shared" si="49"/>
        <v>27</v>
      </c>
      <c r="AF62" s="473">
        <f t="shared" si="50"/>
        <v>9.7897026831036981E-4</v>
      </c>
      <c r="AG62" s="543"/>
      <c r="AH62" s="540">
        <f t="shared" si="51"/>
        <v>0</v>
      </c>
      <c r="AI62" s="546">
        <v>0</v>
      </c>
      <c r="AJ62" s="540">
        <f t="shared" si="52"/>
        <v>0</v>
      </c>
      <c r="AK62" s="546"/>
      <c r="AL62" s="540">
        <f t="shared" si="53"/>
        <v>0</v>
      </c>
      <c r="AM62" s="546">
        <f t="shared" si="54"/>
        <v>0</v>
      </c>
      <c r="AN62" s="475">
        <f t="shared" si="55"/>
        <v>0</v>
      </c>
      <c r="AO62" s="543">
        <v>1586.1000000000001</v>
      </c>
      <c r="AP62" s="540">
        <f t="shared" si="56"/>
        <v>4.3450304258968097E-3</v>
      </c>
      <c r="AQ62" s="546">
        <v>0</v>
      </c>
      <c r="AR62" s="540">
        <f t="shared" si="57"/>
        <v>0</v>
      </c>
      <c r="AS62" s="546">
        <v>0</v>
      </c>
      <c r="AT62" s="540">
        <f t="shared" si="58"/>
        <v>0</v>
      </c>
      <c r="AU62" s="546">
        <f t="shared" si="59"/>
        <v>1586.1000000000001</v>
      </c>
      <c r="AV62" s="475">
        <f t="shared" si="60"/>
        <v>1.2200087902783274E-3</v>
      </c>
      <c r="AW62" s="543">
        <v>441.66</v>
      </c>
      <c r="AX62" s="540">
        <f t="shared" si="61"/>
        <v>7.5724638289947519E-4</v>
      </c>
      <c r="AY62" s="546">
        <v>0</v>
      </c>
      <c r="AZ62" s="540">
        <f t="shared" si="62"/>
        <v>0</v>
      </c>
      <c r="BA62" s="546">
        <v>0</v>
      </c>
      <c r="BB62" s="540">
        <f t="shared" si="63"/>
        <v>0</v>
      </c>
      <c r="BC62" s="546">
        <f t="shared" si="64"/>
        <v>441.66</v>
      </c>
      <c r="BD62" s="549">
        <f t="shared" si="65"/>
        <v>3.2364747109211658E-4</v>
      </c>
      <c r="BE62" s="338"/>
      <c r="BF62"/>
      <c r="BG62"/>
      <c r="BH62"/>
      <c r="BI62"/>
      <c r="BJ62"/>
      <c r="BK62"/>
      <c r="BL62"/>
      <c r="BM62"/>
      <c r="BN62" s="350"/>
      <c r="BO62" s="350"/>
      <c r="BP62" s="350"/>
      <c r="BQ62" s="350"/>
      <c r="BR62" s="350"/>
    </row>
    <row r="63" spans="1:70" ht="9" customHeight="1" x14ac:dyDescent="0.25">
      <c r="G63" s="345"/>
      <c r="H63" s="29"/>
      <c r="I63" s="29"/>
      <c r="J63" s="29"/>
      <c r="K63" s="29"/>
      <c r="L63" s="29"/>
      <c r="M63" s="29"/>
      <c r="O63" s="29"/>
      <c r="P63" s="342"/>
      <c r="BD63" s="571"/>
      <c r="BE63" s="338"/>
      <c r="BF63"/>
      <c r="BG63"/>
      <c r="BH63"/>
      <c r="BI63"/>
      <c r="BJ63"/>
      <c r="BK63"/>
      <c r="BL63"/>
      <c r="BM63"/>
      <c r="BN63" s="350"/>
      <c r="BO63" s="350"/>
      <c r="BP63" s="350"/>
      <c r="BQ63" s="350"/>
      <c r="BR63" s="350"/>
    </row>
    <row r="64" spans="1:70" x14ac:dyDescent="0.25">
      <c r="A64" s="499" t="s">
        <v>106</v>
      </c>
      <c r="B64" s="500" t="s">
        <v>79</v>
      </c>
      <c r="C64" s="477">
        <v>1524215.4029999988</v>
      </c>
      <c r="D64" s="486">
        <v>1.0000000000000004</v>
      </c>
      <c r="E64" s="476">
        <f t="shared" ref="E64:H64" si="90">SUM(E65:E90)</f>
        <v>259053</v>
      </c>
      <c r="F64" s="480">
        <f t="shared" si="90"/>
        <v>1</v>
      </c>
      <c r="G64" s="476">
        <f t="shared" si="90"/>
        <v>4539174.95</v>
      </c>
      <c r="H64" s="480">
        <f t="shared" si="90"/>
        <v>1</v>
      </c>
      <c r="I64" s="477">
        <f>SUM(I65:I90)</f>
        <v>4514237.0200000014</v>
      </c>
      <c r="J64" s="483">
        <f>SUM(J65:J90)</f>
        <v>0.99999999999999967</v>
      </c>
      <c r="K64" s="29"/>
      <c r="L64" s="511">
        <f t="shared" ref="L64:O64" si="91">SUM(L65:L90)</f>
        <v>1964.0740000000001</v>
      </c>
      <c r="M64" s="512">
        <f t="shared" si="91"/>
        <v>3457.4110000000001</v>
      </c>
      <c r="N64" s="513">
        <f t="shared" si="91"/>
        <v>10096.301500000001</v>
      </c>
      <c r="O64" s="514">
        <f t="shared" si="91"/>
        <v>1.0000000000000002</v>
      </c>
      <c r="P64" s="541"/>
      <c r="Q64" s="538"/>
      <c r="R64" s="544"/>
      <c r="S64" s="538"/>
      <c r="T64" s="544"/>
      <c r="U64" s="538"/>
      <c r="V64" s="544"/>
      <c r="W64" s="547"/>
      <c r="Y64" s="557">
        <f t="shared" ref="Y64:AL64" si="92">SUM(Y65:Y90)</f>
        <v>13843</v>
      </c>
      <c r="Z64" s="538">
        <f t="shared" si="92"/>
        <v>0.99999999999999989</v>
      </c>
      <c r="AA64" s="544">
        <f t="shared" si="92"/>
        <v>9589</v>
      </c>
      <c r="AB64" s="538">
        <f t="shared" si="92"/>
        <v>1.0000000000000002</v>
      </c>
      <c r="AC64" s="544">
        <f t="shared" si="92"/>
        <v>2935</v>
      </c>
      <c r="AD64" s="538">
        <f t="shared" si="92"/>
        <v>1.0000000000000002</v>
      </c>
      <c r="AE64" s="544">
        <f>SUM(AE65:AE90)</f>
        <v>26367</v>
      </c>
      <c r="AF64" s="478">
        <f>SUM(AF65:AF90)</f>
        <v>0.99999999999999989</v>
      </c>
      <c r="AG64" s="541">
        <f t="shared" si="92"/>
        <v>246</v>
      </c>
      <c r="AH64" s="538">
        <f t="shared" si="92"/>
        <v>1.0000000000000002</v>
      </c>
      <c r="AI64" s="544">
        <f t="shared" si="92"/>
        <v>2991</v>
      </c>
      <c r="AJ64" s="538">
        <f t="shared" si="92"/>
        <v>1</v>
      </c>
      <c r="AK64" s="544">
        <f t="shared" si="92"/>
        <v>185</v>
      </c>
      <c r="AL64" s="538">
        <f t="shared" si="92"/>
        <v>1</v>
      </c>
      <c r="AM64" s="544">
        <f>SUM(AM65:AM90)</f>
        <v>3422</v>
      </c>
      <c r="AN64" s="479">
        <f>SUM(AN65:AN90)</f>
        <v>1</v>
      </c>
      <c r="AO64" s="541">
        <f>SUM(AO65:AO90)</f>
        <v>329359.39999999997</v>
      </c>
      <c r="AP64" s="538">
        <f t="shared" ref="AP64" si="93">SUM(AP65:AP90)</f>
        <v>1</v>
      </c>
      <c r="AQ64" s="544">
        <f>SUM(AQ65:AQ90)</f>
        <v>794977.76000000036</v>
      </c>
      <c r="AR64" s="538">
        <f t="shared" ref="AR64" si="94">SUM(AR65:AR90)</f>
        <v>0.99999999999999967</v>
      </c>
      <c r="AS64" s="544">
        <f>SUM(AS65:AS90)</f>
        <v>68703.439999999988</v>
      </c>
      <c r="AT64" s="538">
        <f t="shared" ref="AT64" si="95">SUM(AT65:AT90)</f>
        <v>1.0000000000000002</v>
      </c>
      <c r="AU64" s="544">
        <f>SUM(AU65:AU90)</f>
        <v>1193040.6000000001</v>
      </c>
      <c r="AV64" s="479">
        <f>SUM(AV65:AV90)</f>
        <v>1</v>
      </c>
      <c r="AW64" s="541">
        <f>SUM(AW65:AW90)</f>
        <v>498719.0199999999</v>
      </c>
      <c r="AX64" s="538">
        <f t="shared" ref="AX64" si="96">SUM(AX65:AX90)</f>
        <v>1.0000000000000002</v>
      </c>
      <c r="AY64" s="544">
        <f>SUM(AY65:AY90)</f>
        <v>739135.5</v>
      </c>
      <c r="AZ64" s="538">
        <f t="shared" ref="AZ64" si="97">SUM(AZ65:AZ90)</f>
        <v>0.99999999999999978</v>
      </c>
      <c r="BA64" s="544">
        <f>SUM(BA65:BA90)</f>
        <v>19069.460000000003</v>
      </c>
      <c r="BB64" s="538">
        <f t="shared" ref="BB64" si="98">SUM(BB65:BB90)</f>
        <v>0.99999999999999978</v>
      </c>
      <c r="BC64" s="544">
        <f>SUM(BC65:BC90)</f>
        <v>1256923.98</v>
      </c>
      <c r="BD64" s="547">
        <f>SUM(BD65:BD90)</f>
        <v>1</v>
      </c>
      <c r="BE64" s="338"/>
      <c r="BF64"/>
      <c r="BG64" s="66"/>
      <c r="BJ64"/>
      <c r="BK64"/>
      <c r="BL64"/>
      <c r="BM64"/>
      <c r="BN64" s="350"/>
    </row>
    <row r="65" spans="1:65" ht="11.25" customHeight="1" x14ac:dyDescent="0.25">
      <c r="A65" s="468">
        <v>11000</v>
      </c>
      <c r="B65" s="469" t="s">
        <v>80</v>
      </c>
      <c r="C65" s="346">
        <v>481005.05899999983</v>
      </c>
      <c r="D65" s="487">
        <f>C65/C$64</f>
        <v>0.31557551383700339</v>
      </c>
      <c r="E65" s="470"/>
      <c r="F65" s="481">
        <f t="shared" ref="F65:F90" si="99">E65/$E$64</f>
        <v>0</v>
      </c>
      <c r="G65" s="470">
        <v>1163972.8400000001</v>
      </c>
      <c r="H65" s="481">
        <f>G65/G$64</f>
        <v>0.2564282832940819</v>
      </c>
      <c r="I65" s="346">
        <v>1360671.52</v>
      </c>
      <c r="J65" s="484">
        <f>I65/I$64</f>
        <v>0.30141782852155147</v>
      </c>
      <c r="K65" s="29"/>
      <c r="L65" s="507">
        <v>425.09800000000001</v>
      </c>
      <c r="M65" s="505">
        <v>761.22799999999995</v>
      </c>
      <c r="N65" s="506">
        <f>L65*2.5+M65*1.5</f>
        <v>2204.587</v>
      </c>
      <c r="O65" s="481">
        <f t="shared" ref="O65:O90" si="100">N65/N$64</f>
        <v>0.21835589993028631</v>
      </c>
      <c r="P65" s="542"/>
      <c r="Q65" s="539"/>
      <c r="R65" s="545"/>
      <c r="S65" s="539"/>
      <c r="T65" s="545"/>
      <c r="U65" s="539"/>
      <c r="V65" s="550"/>
      <c r="W65" s="548"/>
      <c r="Y65" s="558">
        <v>1650</v>
      </c>
      <c r="Z65" s="539">
        <f t="shared" ref="Z65:Z90" si="101">Y65/Y$64</f>
        <v>0.11919381636928411</v>
      </c>
      <c r="AA65" s="545">
        <v>2349</v>
      </c>
      <c r="AB65" s="539">
        <f t="shared" ref="AB65:AB90" si="102">AA65/AA$64</f>
        <v>0.24496819272082596</v>
      </c>
      <c r="AC65" s="545">
        <v>1127</v>
      </c>
      <c r="AD65" s="539">
        <f>AC65/AC$64</f>
        <v>0.38398637137989777</v>
      </c>
      <c r="AE65" s="545">
        <f>Y65+AA65+AC65</f>
        <v>5126</v>
      </c>
      <c r="AF65" s="32">
        <f t="shared" ref="AF65:AF90" si="103">AE65/AE$64</f>
        <v>0.19440967876512308</v>
      </c>
      <c r="AG65" s="542">
        <v>68</v>
      </c>
      <c r="AH65" s="539">
        <f t="shared" ref="AH65:AH90" si="104">AG65/AG$64</f>
        <v>0.27642276422764228</v>
      </c>
      <c r="AI65" s="545">
        <v>2089</v>
      </c>
      <c r="AJ65" s="539">
        <f>AI65/AI$64</f>
        <v>0.69842861919090604</v>
      </c>
      <c r="AK65" s="545">
        <v>44</v>
      </c>
      <c r="AL65" s="539">
        <f>AK65/AK$64</f>
        <v>0.23783783783783785</v>
      </c>
      <c r="AM65" s="545">
        <f>AG65+AI65+AK65</f>
        <v>2201</v>
      </c>
      <c r="AN65" s="471">
        <f>AM65/AM$64</f>
        <v>0.6431911163062537</v>
      </c>
      <c r="AO65" s="542">
        <v>12750</v>
      </c>
      <c r="AP65" s="539">
        <f>AO65/AO$64</f>
        <v>3.8711510890534782E-2</v>
      </c>
      <c r="AQ65" s="545">
        <v>112158.18000000001</v>
      </c>
      <c r="AR65" s="539">
        <f>AQ65/AQ$64</f>
        <v>0.14108341848456232</v>
      </c>
      <c r="AS65" s="545">
        <v>4641</v>
      </c>
      <c r="AT65" s="539">
        <f>AS65/AS$64</f>
        <v>6.7551202676314329E-2</v>
      </c>
      <c r="AU65" s="545">
        <f>AO65+AQ65+AS65</f>
        <v>129549.18000000001</v>
      </c>
      <c r="AV65" s="471">
        <f>AU65/AU$64</f>
        <v>0.10858740264162008</v>
      </c>
      <c r="AW65" s="542">
        <v>191002.14</v>
      </c>
      <c r="AX65" s="539">
        <f>AW65/AW$64</f>
        <v>0.38298547346359491</v>
      </c>
      <c r="AY65" s="545">
        <v>154118.94</v>
      </c>
      <c r="AZ65" s="539">
        <f>AY65/AY$64</f>
        <v>0.20851243107657527</v>
      </c>
      <c r="BA65" s="545">
        <v>6976.8</v>
      </c>
      <c r="BB65" s="539">
        <f>BA65/BA$64</f>
        <v>0.3658624837829702</v>
      </c>
      <c r="BC65" s="545">
        <f>AW65+AY65+BA65</f>
        <v>352097.88</v>
      </c>
      <c r="BD65" s="548">
        <f>BC65/BC$64</f>
        <v>0.28012663104732877</v>
      </c>
      <c r="BE65" s="338"/>
      <c r="BF65"/>
      <c r="BG65" s="66"/>
      <c r="BJ65"/>
      <c r="BK65"/>
      <c r="BL65"/>
      <c r="BM65"/>
    </row>
    <row r="66" spans="1:65" ht="11.25" customHeight="1" x14ac:dyDescent="0.25">
      <c r="A66" s="455">
        <v>12000</v>
      </c>
      <c r="B66" s="456" t="s">
        <v>81</v>
      </c>
      <c r="C66" s="346">
        <v>54652.097000000002</v>
      </c>
      <c r="D66" s="487">
        <f t="shared" ref="D66:D90" si="105">C66/C$64</f>
        <v>3.585588814575183E-2</v>
      </c>
      <c r="E66" s="470"/>
      <c r="F66" s="481">
        <f t="shared" si="99"/>
        <v>0</v>
      </c>
      <c r="G66" s="470">
        <v>152234.85999999999</v>
      </c>
      <c r="H66" s="481">
        <f t="shared" ref="H66:H90" si="106">G66/G$64</f>
        <v>3.3538002319121886E-2</v>
      </c>
      <c r="I66" s="346">
        <v>106482.33</v>
      </c>
      <c r="J66" s="484">
        <f t="shared" ref="J66:J90" si="107">I66/I$64</f>
        <v>2.3588112349492887E-2</v>
      </c>
      <c r="K66" s="29"/>
      <c r="L66" s="507">
        <v>53.29</v>
      </c>
      <c r="M66" s="505">
        <v>99.74</v>
      </c>
      <c r="N66" s="506">
        <f t="shared" ref="N66:N90" si="108">L66*2.5+M66*1.5</f>
        <v>282.83499999999998</v>
      </c>
      <c r="O66" s="481">
        <f t="shared" si="100"/>
        <v>2.8013723639295038E-2</v>
      </c>
      <c r="P66" s="542"/>
      <c r="Q66" s="539"/>
      <c r="R66" s="545"/>
      <c r="S66" s="539"/>
      <c r="T66" s="545"/>
      <c r="U66" s="539"/>
      <c r="V66" s="550"/>
      <c r="W66" s="548"/>
      <c r="Y66" s="558">
        <v>129</v>
      </c>
      <c r="Z66" s="539">
        <f t="shared" si="101"/>
        <v>9.3187892797803942E-3</v>
      </c>
      <c r="AA66" s="545">
        <v>19</v>
      </c>
      <c r="AB66" s="539">
        <f t="shared" si="102"/>
        <v>1.9814370633016998E-3</v>
      </c>
      <c r="AC66" s="545">
        <v>70</v>
      </c>
      <c r="AD66" s="539">
        <f t="shared" ref="AD66:AD90" si="109">AC66/AC$64</f>
        <v>2.385008517887564E-2</v>
      </c>
      <c r="AE66" s="545">
        <f t="shared" ref="AE66:AE90" si="110">Y66+AA66+AC66</f>
        <v>218</v>
      </c>
      <c r="AF66" s="32">
        <f t="shared" si="103"/>
        <v>8.2679106458831107E-3</v>
      </c>
      <c r="AG66" s="542"/>
      <c r="AH66" s="539">
        <f t="shared" si="104"/>
        <v>0</v>
      </c>
      <c r="AI66" s="545">
        <v>0</v>
      </c>
      <c r="AJ66" s="539">
        <f>AI66/AI$64</f>
        <v>0</v>
      </c>
      <c r="AK66" s="545"/>
      <c r="AL66" s="539">
        <f>AK66/AK$64</f>
        <v>0</v>
      </c>
      <c r="AM66" s="545">
        <f t="shared" ref="AM66:AM90" si="111">AG66+AI66+AK66</f>
        <v>0</v>
      </c>
      <c r="AN66" s="471">
        <f t="shared" ref="AN66:AN90" si="112">AM66/AM$64</f>
        <v>0</v>
      </c>
      <c r="AO66" s="542">
        <v>14638</v>
      </c>
      <c r="AP66" s="539">
        <f t="shared" ref="AP66:AR90" si="113">AO66/AO$64</f>
        <v>4.444385069926652E-2</v>
      </c>
      <c r="AQ66" s="545">
        <v>13576</v>
      </c>
      <c r="AR66" s="539">
        <f t="shared" si="113"/>
        <v>1.7077207291937315E-2</v>
      </c>
      <c r="AS66" s="545">
        <v>1076</v>
      </c>
      <c r="AT66" s="539">
        <f t="shared" ref="AT66" si="114">AS66/AS$64</f>
        <v>1.5661515638809353E-2</v>
      </c>
      <c r="AU66" s="545">
        <f t="shared" ref="AU66:AU90" si="115">AO66+AQ66+AS66</f>
        <v>29290</v>
      </c>
      <c r="AV66" s="471">
        <f t="shared" ref="AV66:AV90" si="116">AU66/AU$64</f>
        <v>2.4550715206171522E-2</v>
      </c>
      <c r="AW66" s="542">
        <v>4625</v>
      </c>
      <c r="AX66" s="539">
        <f t="shared" ref="AX66" si="117">AW66/AW$64</f>
        <v>9.2737589996066336E-3</v>
      </c>
      <c r="AY66" s="545">
        <v>2757</v>
      </c>
      <c r="AZ66" s="539">
        <f t="shared" ref="AZ66" si="118">AY66/AY$64</f>
        <v>3.7300332618308823E-3</v>
      </c>
      <c r="BA66" s="545">
        <v>373</v>
      </c>
      <c r="BB66" s="539">
        <f t="shared" ref="BB66" si="119">BA66/BA$64</f>
        <v>1.9560071444078644E-2</v>
      </c>
      <c r="BC66" s="545">
        <f t="shared" ref="BC66:BC90" si="120">AW66+AY66+BA66</f>
        <v>7755</v>
      </c>
      <c r="BD66" s="548">
        <f t="shared" ref="BD66:BD90" si="121">BC66/BC$64</f>
        <v>6.1698242084616767E-3</v>
      </c>
      <c r="BE66" s="338"/>
      <c r="BF66" s="338"/>
      <c r="BG66" s="66"/>
    </row>
    <row r="67" spans="1:65" ht="11.25" customHeight="1" x14ac:dyDescent="0.25">
      <c r="A67" s="455">
        <v>13000</v>
      </c>
      <c r="B67" s="456" t="s">
        <v>82</v>
      </c>
      <c r="C67" s="346">
        <v>9966.4670000000006</v>
      </c>
      <c r="D67" s="487">
        <f t="shared" si="105"/>
        <v>6.5387523183296483E-3</v>
      </c>
      <c r="E67" s="470">
        <v>13620</v>
      </c>
      <c r="F67" s="481">
        <f t="shared" si="99"/>
        <v>5.2576113768225033E-2</v>
      </c>
      <c r="G67" s="470">
        <v>41970.509999999995</v>
      </c>
      <c r="H67" s="481">
        <f t="shared" si="106"/>
        <v>9.2462860458815306E-3</v>
      </c>
      <c r="I67" s="346">
        <v>53524.42</v>
      </c>
      <c r="J67" s="484">
        <f t="shared" si="107"/>
        <v>1.1856803212339962E-2</v>
      </c>
      <c r="K67" s="29"/>
      <c r="L67" s="507">
        <v>38.94</v>
      </c>
      <c r="M67" s="505">
        <v>82.613</v>
      </c>
      <c r="N67" s="506">
        <f t="shared" si="108"/>
        <v>221.26949999999999</v>
      </c>
      <c r="O67" s="481">
        <f t="shared" si="100"/>
        <v>2.1915896628087024E-2</v>
      </c>
      <c r="P67" s="542"/>
      <c r="Q67" s="539"/>
      <c r="R67" s="545"/>
      <c r="S67" s="539"/>
      <c r="T67" s="545"/>
      <c r="U67" s="539"/>
      <c r="V67" s="550"/>
      <c r="W67" s="548"/>
      <c r="Y67" s="558">
        <v>177</v>
      </c>
      <c r="Z67" s="539">
        <f t="shared" si="101"/>
        <v>1.2786245755977751E-2</v>
      </c>
      <c r="AA67" s="545">
        <v>32</v>
      </c>
      <c r="AB67" s="539">
        <f t="shared" si="102"/>
        <v>3.3371571592449682E-3</v>
      </c>
      <c r="AC67" s="545">
        <v>3</v>
      </c>
      <c r="AD67" s="539">
        <f t="shared" si="109"/>
        <v>1.0221465076660989E-3</v>
      </c>
      <c r="AE67" s="545">
        <f t="shared" si="110"/>
        <v>212</v>
      </c>
      <c r="AF67" s="32">
        <f t="shared" si="103"/>
        <v>8.04035347214321E-3</v>
      </c>
      <c r="AG67" s="542"/>
      <c r="AH67" s="539">
        <f t="shared" si="104"/>
        <v>0</v>
      </c>
      <c r="AI67" s="545">
        <v>6</v>
      </c>
      <c r="AJ67" s="539">
        <f>AI67/AI$64</f>
        <v>2.0060180541624875E-3</v>
      </c>
      <c r="AK67" s="545"/>
      <c r="AL67" s="539">
        <f>AK67/AK$64</f>
        <v>0</v>
      </c>
      <c r="AM67" s="545">
        <f t="shared" si="111"/>
        <v>6</v>
      </c>
      <c r="AN67" s="471">
        <f t="shared" si="112"/>
        <v>1.7533606078316774E-3</v>
      </c>
      <c r="AO67" s="542">
        <v>23503.86</v>
      </c>
      <c r="AP67" s="539">
        <f t="shared" si="113"/>
        <v>7.1362347636047443E-2</v>
      </c>
      <c r="AQ67" s="545">
        <v>15110.28</v>
      </c>
      <c r="AR67" s="539">
        <f t="shared" si="113"/>
        <v>1.9007173232116575E-2</v>
      </c>
      <c r="AS67" s="545">
        <v>66.3</v>
      </c>
      <c r="AT67" s="539">
        <f t="shared" ref="AT67" si="122">AS67/AS$64</f>
        <v>9.6501718109020466E-4</v>
      </c>
      <c r="AU67" s="545">
        <f t="shared" si="115"/>
        <v>38680.44</v>
      </c>
      <c r="AV67" s="471">
        <f t="shared" si="116"/>
        <v>3.2421729822103285E-2</v>
      </c>
      <c r="AW67" s="542">
        <v>11750.4</v>
      </c>
      <c r="AX67" s="539">
        <f t="shared" ref="AX67" si="123">AW67/AW$64</f>
        <v>2.3561162756535737E-2</v>
      </c>
      <c r="AY67" s="545">
        <v>1167.9000000000001</v>
      </c>
      <c r="AZ67" s="539">
        <f t="shared" ref="AZ67" si="124">AY67/AY$64</f>
        <v>1.5800891717418525E-3</v>
      </c>
      <c r="BA67" s="545">
        <v>0</v>
      </c>
      <c r="BB67" s="539">
        <f t="shared" ref="BB67" si="125">BA67/BA$64</f>
        <v>0</v>
      </c>
      <c r="BC67" s="545">
        <f t="shared" si="120"/>
        <v>12918.3</v>
      </c>
      <c r="BD67" s="548">
        <f t="shared" si="121"/>
        <v>1.0277709873909796E-2</v>
      </c>
      <c r="BE67" s="338"/>
      <c r="BF67" s="338"/>
      <c r="BG67" s="66"/>
    </row>
    <row r="68" spans="1:65" ht="11.25" customHeight="1" x14ac:dyDescent="0.25">
      <c r="A68" s="455">
        <v>14000</v>
      </c>
      <c r="B68" s="456" t="s">
        <v>83</v>
      </c>
      <c r="C68" s="346">
        <v>181026.541</v>
      </c>
      <c r="D68" s="487">
        <f t="shared" si="105"/>
        <v>0.11876703295590574</v>
      </c>
      <c r="E68" s="470"/>
      <c r="F68" s="481">
        <f t="shared" si="99"/>
        <v>0</v>
      </c>
      <c r="G68" s="470">
        <v>502455.88</v>
      </c>
      <c r="H68" s="481">
        <f t="shared" si="106"/>
        <v>0.11069321749759832</v>
      </c>
      <c r="I68" s="346">
        <v>438086.18000000005</v>
      </c>
      <c r="J68" s="484">
        <f t="shared" si="107"/>
        <v>9.7045453763081296E-2</v>
      </c>
      <c r="K68" s="29"/>
      <c r="L68" s="507">
        <v>193.34299999999999</v>
      </c>
      <c r="M68" s="505">
        <v>301.94400000000002</v>
      </c>
      <c r="N68" s="506">
        <f t="shared" si="108"/>
        <v>936.27350000000001</v>
      </c>
      <c r="O68" s="481">
        <f t="shared" si="100"/>
        <v>9.2734304735253778E-2</v>
      </c>
      <c r="P68" s="542"/>
      <c r="Q68" s="539"/>
      <c r="R68" s="545"/>
      <c r="S68" s="539"/>
      <c r="T68" s="545"/>
      <c r="U68" s="539"/>
      <c r="V68" s="550"/>
      <c r="W68" s="548"/>
      <c r="Y68" s="558">
        <v>2855</v>
      </c>
      <c r="Z68" s="539">
        <f t="shared" si="101"/>
        <v>0.20624142165715523</v>
      </c>
      <c r="AA68" s="545">
        <v>2372</v>
      </c>
      <c r="AB68" s="539">
        <f t="shared" si="102"/>
        <v>0.24736677442903326</v>
      </c>
      <c r="AC68" s="545">
        <v>438</v>
      </c>
      <c r="AD68" s="539">
        <f t="shared" si="109"/>
        <v>0.14923339011925044</v>
      </c>
      <c r="AE68" s="545">
        <f t="shared" si="110"/>
        <v>5665</v>
      </c>
      <c r="AF68" s="32">
        <f t="shared" si="103"/>
        <v>0.21485189820609094</v>
      </c>
      <c r="AG68" s="542"/>
      <c r="AH68" s="539">
        <f t="shared" si="104"/>
        <v>0</v>
      </c>
      <c r="AI68" s="545">
        <v>407</v>
      </c>
      <c r="AJ68" s="539">
        <f t="shared" ref="AJ68:AJ90" si="126">AI68/AI$64</f>
        <v>0.13607489134068873</v>
      </c>
      <c r="AK68" s="545">
        <v>8</v>
      </c>
      <c r="AL68" s="539">
        <f>AK68/AK$64</f>
        <v>4.3243243243243246E-2</v>
      </c>
      <c r="AM68" s="545">
        <f t="shared" si="111"/>
        <v>415</v>
      </c>
      <c r="AN68" s="471">
        <f t="shared" si="112"/>
        <v>0.12127410870835768</v>
      </c>
      <c r="AO68" s="542">
        <v>57421.799999999996</v>
      </c>
      <c r="AP68" s="539">
        <f t="shared" si="113"/>
        <v>0.17434389302385175</v>
      </c>
      <c r="AQ68" s="545">
        <v>147834.06</v>
      </c>
      <c r="AR68" s="539">
        <f t="shared" si="113"/>
        <v>0.18595999465444157</v>
      </c>
      <c r="AS68" s="545">
        <v>17410.079999999998</v>
      </c>
      <c r="AT68" s="539">
        <f t="shared" ref="AT68" si="127">AS68/AS$64</f>
        <v>0.25340914516070812</v>
      </c>
      <c r="AU68" s="545">
        <f t="shared" si="115"/>
        <v>222665.93999999997</v>
      </c>
      <c r="AV68" s="471">
        <f t="shared" si="116"/>
        <v>0.18663735333064102</v>
      </c>
      <c r="AW68" s="542">
        <v>3034.68</v>
      </c>
      <c r="AX68" s="539">
        <f t="shared" ref="AX68" si="128">AW68/AW$64</f>
        <v>6.084949396957029E-3</v>
      </c>
      <c r="AY68" s="545">
        <v>197549.46</v>
      </c>
      <c r="AZ68" s="539">
        <f t="shared" ref="AZ68" si="129">AY68/AY$64</f>
        <v>0.26727096723131277</v>
      </c>
      <c r="BA68" s="545">
        <v>207.48</v>
      </c>
      <c r="BB68" s="539">
        <f t="shared" ref="BB68" si="130">BA68/BA$64</f>
        <v>1.0880224190931466E-2</v>
      </c>
      <c r="BC68" s="545">
        <f t="shared" si="120"/>
        <v>200791.62</v>
      </c>
      <c r="BD68" s="548">
        <f t="shared" si="121"/>
        <v>0.15974842010731627</v>
      </c>
      <c r="BE68" s="338"/>
      <c r="BF68" s="338"/>
      <c r="BG68" s="66"/>
    </row>
    <row r="69" spans="1:65" ht="11.25" customHeight="1" x14ac:dyDescent="0.25">
      <c r="A69" s="455">
        <v>15000</v>
      </c>
      <c r="B69" s="456" t="s">
        <v>84</v>
      </c>
      <c r="C69" s="346">
        <v>99206.905999999988</v>
      </c>
      <c r="D69" s="487">
        <f t="shared" si="105"/>
        <v>6.5087195553029109E-2</v>
      </c>
      <c r="E69" s="470"/>
      <c r="F69" s="481">
        <f t="shared" si="99"/>
        <v>0</v>
      </c>
      <c r="G69" s="470">
        <v>278687.91000000003</v>
      </c>
      <c r="H69" s="481">
        <f t="shared" si="106"/>
        <v>6.1396159669941788E-2</v>
      </c>
      <c r="I69" s="346">
        <v>190474.55</v>
      </c>
      <c r="J69" s="484">
        <f t="shared" si="107"/>
        <v>4.219418456676427E-2</v>
      </c>
      <c r="K69" s="29"/>
      <c r="L69" s="507">
        <v>129.465</v>
      </c>
      <c r="M69" s="505">
        <v>219.00299999999999</v>
      </c>
      <c r="N69" s="506">
        <f t="shared" si="108"/>
        <v>652.16700000000003</v>
      </c>
      <c r="O69" s="481">
        <f t="shared" si="100"/>
        <v>6.4594643890141343E-2</v>
      </c>
      <c r="P69" s="542"/>
      <c r="Q69" s="539"/>
      <c r="R69" s="545"/>
      <c r="S69" s="539"/>
      <c r="T69" s="545"/>
      <c r="U69" s="539"/>
      <c r="V69" s="550"/>
      <c r="W69" s="548"/>
      <c r="Y69" s="558">
        <v>379</v>
      </c>
      <c r="Z69" s="539">
        <f t="shared" si="101"/>
        <v>2.7378458426641623E-2</v>
      </c>
      <c r="AA69" s="545">
        <v>600</v>
      </c>
      <c r="AB69" s="539">
        <f t="shared" si="102"/>
        <v>6.257169673584316E-2</v>
      </c>
      <c r="AC69" s="545">
        <v>171</v>
      </c>
      <c r="AD69" s="539">
        <f t="shared" si="109"/>
        <v>5.8262350936967633E-2</v>
      </c>
      <c r="AE69" s="545">
        <f t="shared" si="110"/>
        <v>1150</v>
      </c>
      <c r="AF69" s="32">
        <f t="shared" si="103"/>
        <v>4.3615124966814578E-2</v>
      </c>
      <c r="AG69" s="542"/>
      <c r="AH69" s="539">
        <f t="shared" si="104"/>
        <v>0</v>
      </c>
      <c r="AI69" s="545">
        <v>238</v>
      </c>
      <c r="AJ69" s="539">
        <f t="shared" si="126"/>
        <v>7.9572049481778664E-2</v>
      </c>
      <c r="AK69" s="545">
        <v>7</v>
      </c>
      <c r="AL69" s="539">
        <f t="shared" ref="AL69:AL90" si="131">AK69/AK$64</f>
        <v>3.783783783783784E-2</v>
      </c>
      <c r="AM69" s="545">
        <f t="shared" si="111"/>
        <v>245</v>
      </c>
      <c r="AN69" s="471">
        <f t="shared" si="112"/>
        <v>7.159555815312682E-2</v>
      </c>
      <c r="AO69" s="542">
        <v>39318.959999999999</v>
      </c>
      <c r="AP69" s="539">
        <f t="shared" si="113"/>
        <v>0.11938010574466677</v>
      </c>
      <c r="AQ69" s="545">
        <v>59170.200000000004</v>
      </c>
      <c r="AR69" s="539">
        <f t="shared" si="113"/>
        <v>7.4430006696036347E-2</v>
      </c>
      <c r="AS69" s="545">
        <v>4280.9400000000005</v>
      </c>
      <c r="AT69" s="539">
        <f t="shared" ref="AT69" si="132">AS69/AS$64</f>
        <v>6.2310417062085996E-2</v>
      </c>
      <c r="AU69" s="545">
        <f t="shared" si="115"/>
        <v>102770.1</v>
      </c>
      <c r="AV69" s="471">
        <f t="shared" si="116"/>
        <v>8.6141326623754469E-2</v>
      </c>
      <c r="AW69" s="542">
        <v>25201.14</v>
      </c>
      <c r="AX69" s="539">
        <f t="shared" ref="AX69" si="133">AW69/AW$64</f>
        <v>5.0531740297372264E-2</v>
      </c>
      <c r="AY69" s="545">
        <v>21094.62</v>
      </c>
      <c r="AZ69" s="539">
        <f t="shared" ref="AZ69" si="134">AY69/AY$64</f>
        <v>2.8539584419906769E-2</v>
      </c>
      <c r="BA69" s="545">
        <v>624.24</v>
      </c>
      <c r="BB69" s="539">
        <f t="shared" ref="BB69" si="135">BA69/BA$64</f>
        <v>3.2735064338476283E-2</v>
      </c>
      <c r="BC69" s="545">
        <f t="shared" si="120"/>
        <v>46919.999999999993</v>
      </c>
      <c r="BD69" s="548">
        <f t="shared" si="121"/>
        <v>3.7329226545586305E-2</v>
      </c>
      <c r="BE69" s="338"/>
      <c r="BF69" s="338"/>
      <c r="BG69" s="66"/>
    </row>
    <row r="70" spans="1:65" ht="11.25" customHeight="1" x14ac:dyDescent="0.25">
      <c r="A70" s="455">
        <v>16000</v>
      </c>
      <c r="B70" s="456" t="s">
        <v>85</v>
      </c>
      <c r="C70" s="346">
        <v>16818.801999999996</v>
      </c>
      <c r="D70" s="487">
        <f t="shared" si="105"/>
        <v>1.1034399709448422E-2</v>
      </c>
      <c r="E70" s="470"/>
      <c r="F70" s="481">
        <f t="shared" si="99"/>
        <v>0</v>
      </c>
      <c r="G70" s="470">
        <v>41319.54</v>
      </c>
      <c r="H70" s="481">
        <f t="shared" si="106"/>
        <v>9.1028745212827725E-3</v>
      </c>
      <c r="I70" s="346">
        <v>81571</v>
      </c>
      <c r="J70" s="484">
        <f t="shared" si="107"/>
        <v>1.8069720229266999E-2</v>
      </c>
      <c r="K70" s="29"/>
      <c r="L70" s="507">
        <v>33.950000000000003</v>
      </c>
      <c r="M70" s="505">
        <v>39.539000000000001</v>
      </c>
      <c r="N70" s="506">
        <f t="shared" si="108"/>
        <v>144.18350000000001</v>
      </c>
      <c r="O70" s="481">
        <f t="shared" si="100"/>
        <v>1.4280823527308488E-2</v>
      </c>
      <c r="P70" s="542"/>
      <c r="Q70" s="539"/>
      <c r="R70" s="545"/>
      <c r="S70" s="539"/>
      <c r="T70" s="545"/>
      <c r="U70" s="539"/>
      <c r="V70" s="550"/>
      <c r="W70" s="548"/>
      <c r="Y70" s="558">
        <v>6</v>
      </c>
      <c r="Z70" s="539">
        <f t="shared" si="101"/>
        <v>4.3343205952466952E-4</v>
      </c>
      <c r="AA70" s="545">
        <v>356</v>
      </c>
      <c r="AB70" s="539">
        <f t="shared" si="102"/>
        <v>3.712587339660027E-2</v>
      </c>
      <c r="AC70" s="545">
        <v>37</v>
      </c>
      <c r="AD70" s="539">
        <f t="shared" si="109"/>
        <v>1.2606473594548553E-2</v>
      </c>
      <c r="AE70" s="545">
        <f t="shared" si="110"/>
        <v>399</v>
      </c>
      <c r="AF70" s="32">
        <f t="shared" si="103"/>
        <v>1.5132552053703494E-2</v>
      </c>
      <c r="AG70" s="542"/>
      <c r="AH70" s="539">
        <f t="shared" si="104"/>
        <v>0</v>
      </c>
      <c r="AI70" s="545">
        <v>143</v>
      </c>
      <c r="AJ70" s="539">
        <f t="shared" si="126"/>
        <v>4.7810096957539287E-2</v>
      </c>
      <c r="AK70" s="545"/>
      <c r="AL70" s="539">
        <f t="shared" si="131"/>
        <v>0</v>
      </c>
      <c r="AM70" s="545">
        <f t="shared" si="111"/>
        <v>143</v>
      </c>
      <c r="AN70" s="471">
        <f t="shared" si="112"/>
        <v>4.1788427819988309E-2</v>
      </c>
      <c r="AO70" s="542">
        <v>0</v>
      </c>
      <c r="AP70" s="539">
        <f t="shared" si="113"/>
        <v>0</v>
      </c>
      <c r="AQ70" s="545">
        <v>6159.78</v>
      </c>
      <c r="AR70" s="539">
        <f t="shared" si="113"/>
        <v>7.7483677027644108E-3</v>
      </c>
      <c r="AS70" s="545">
        <v>401.88</v>
      </c>
      <c r="AT70" s="539">
        <f t="shared" ref="AT70" si="136">AS70/AS$64</f>
        <v>5.849488759223702E-3</v>
      </c>
      <c r="AU70" s="545">
        <f t="shared" si="115"/>
        <v>6561.66</v>
      </c>
      <c r="AV70" s="471">
        <f t="shared" si="116"/>
        <v>5.4999469422918204E-3</v>
      </c>
      <c r="AW70" s="542">
        <v>0</v>
      </c>
      <c r="AX70" s="539">
        <f t="shared" ref="AX70" si="137">AW70/AW$64</f>
        <v>0</v>
      </c>
      <c r="AY70" s="545">
        <v>2767.26</v>
      </c>
      <c r="AZ70" s="539">
        <f t="shared" ref="AZ70" si="138">AY70/AY$64</f>
        <v>3.7439143431752366E-3</v>
      </c>
      <c r="BA70" s="545">
        <v>0</v>
      </c>
      <c r="BB70" s="539">
        <f t="shared" ref="BB70" si="139">BA70/BA$64</f>
        <v>0</v>
      </c>
      <c r="BC70" s="545">
        <f t="shared" si="120"/>
        <v>2767.26</v>
      </c>
      <c r="BD70" s="548">
        <f t="shared" si="121"/>
        <v>2.2016128612646888E-3</v>
      </c>
      <c r="BE70" s="338"/>
      <c r="BF70" s="338"/>
      <c r="BG70" s="66"/>
    </row>
    <row r="71" spans="1:65" ht="11.25" customHeight="1" x14ac:dyDescent="0.25">
      <c r="A71" s="455">
        <v>17000</v>
      </c>
      <c r="B71" s="456" t="s">
        <v>86</v>
      </c>
      <c r="C71" s="346">
        <v>16598.388999999999</v>
      </c>
      <c r="D71" s="487">
        <f t="shared" si="105"/>
        <v>1.0889792195598231E-2</v>
      </c>
      <c r="E71" s="470">
        <v>17575</v>
      </c>
      <c r="F71" s="481">
        <f t="shared" si="99"/>
        <v>6.7843259873462181E-2</v>
      </c>
      <c r="G71" s="470">
        <v>51377.24</v>
      </c>
      <c r="H71" s="481">
        <f t="shared" si="106"/>
        <v>1.1318629611312954E-2</v>
      </c>
      <c r="I71" s="346">
        <v>53946.81</v>
      </c>
      <c r="J71" s="484">
        <f t="shared" si="107"/>
        <v>1.1950371626698498E-2</v>
      </c>
      <c r="K71" s="29"/>
      <c r="L71" s="507">
        <v>33.241999999999997</v>
      </c>
      <c r="M71" s="505">
        <v>92.578000000000003</v>
      </c>
      <c r="N71" s="506">
        <f t="shared" si="108"/>
        <v>221.97200000000001</v>
      </c>
      <c r="O71" s="481">
        <f t="shared" si="100"/>
        <v>2.1985476562877998E-2</v>
      </c>
      <c r="P71" s="542"/>
      <c r="Q71" s="539"/>
      <c r="R71" s="545"/>
      <c r="S71" s="539"/>
      <c r="T71" s="545"/>
      <c r="U71" s="539"/>
      <c r="V71" s="550"/>
      <c r="W71" s="548"/>
      <c r="Y71" s="558">
        <v>164</v>
      </c>
      <c r="Z71" s="539">
        <f t="shared" si="101"/>
        <v>1.1847142960340966E-2</v>
      </c>
      <c r="AA71" s="545">
        <v>92</v>
      </c>
      <c r="AB71" s="539">
        <f t="shared" si="102"/>
        <v>9.5943268328292832E-3</v>
      </c>
      <c r="AC71" s="545">
        <v>30</v>
      </c>
      <c r="AD71" s="539">
        <f t="shared" si="109"/>
        <v>1.0221465076660987E-2</v>
      </c>
      <c r="AE71" s="545">
        <f t="shared" si="110"/>
        <v>286</v>
      </c>
      <c r="AF71" s="32">
        <f t="shared" si="103"/>
        <v>1.0846891948268669E-2</v>
      </c>
      <c r="AG71" s="542">
        <v>47</v>
      </c>
      <c r="AH71" s="539">
        <f t="shared" si="104"/>
        <v>0.1910569105691057</v>
      </c>
      <c r="AI71" s="545">
        <v>0</v>
      </c>
      <c r="AJ71" s="539">
        <f t="shared" si="126"/>
        <v>0</v>
      </c>
      <c r="AK71" s="545">
        <v>1</v>
      </c>
      <c r="AL71" s="539">
        <f t="shared" si="131"/>
        <v>5.4054054054054057E-3</v>
      </c>
      <c r="AM71" s="545">
        <f t="shared" si="111"/>
        <v>48</v>
      </c>
      <c r="AN71" s="471">
        <f t="shared" si="112"/>
        <v>1.4026884862653419E-2</v>
      </c>
      <c r="AO71" s="542">
        <v>18193.740000000002</v>
      </c>
      <c r="AP71" s="539">
        <f t="shared" si="113"/>
        <v>5.5239777580357516E-2</v>
      </c>
      <c r="AQ71" s="545">
        <v>18687.420000000002</v>
      </c>
      <c r="AR71" s="539">
        <f t="shared" si="113"/>
        <v>2.35068462795739E-2</v>
      </c>
      <c r="AS71" s="545">
        <v>841.5</v>
      </c>
      <c r="AT71" s="539">
        <f t="shared" ref="AT71" si="140">AS71/AS$64</f>
        <v>1.224829499076029E-2</v>
      </c>
      <c r="AU71" s="545">
        <f t="shared" si="115"/>
        <v>37722.660000000003</v>
      </c>
      <c r="AV71" s="471">
        <f t="shared" si="116"/>
        <v>3.1618923949444808E-2</v>
      </c>
      <c r="AW71" s="542">
        <v>15711.06</v>
      </c>
      <c r="AX71" s="539">
        <f t="shared" ref="AX71" si="141">AW71/AW$64</f>
        <v>3.1502828987753473E-2</v>
      </c>
      <c r="AY71" s="545">
        <v>2261.34</v>
      </c>
      <c r="AZ71" s="539">
        <f t="shared" ref="AZ71" si="142">AY71/AY$64</f>
        <v>3.0594390338442683E-3</v>
      </c>
      <c r="BA71" s="545">
        <v>0</v>
      </c>
      <c r="BB71" s="539">
        <f t="shared" ref="BB71" si="143">BA71/BA$64</f>
        <v>0</v>
      </c>
      <c r="BC71" s="545">
        <f t="shared" si="120"/>
        <v>17972.400000000001</v>
      </c>
      <c r="BD71" s="548">
        <f t="shared" si="121"/>
        <v>1.4298716776809368E-2</v>
      </c>
      <c r="BE71" s="338"/>
      <c r="BF71" s="338"/>
      <c r="BG71" s="66"/>
    </row>
    <row r="72" spans="1:65" ht="11.25" customHeight="1" x14ac:dyDescent="0.25">
      <c r="A72" s="455">
        <v>18000</v>
      </c>
      <c r="B72" s="456" t="s">
        <v>87</v>
      </c>
      <c r="C72" s="346">
        <v>6472.93</v>
      </c>
      <c r="D72" s="487">
        <f t="shared" si="105"/>
        <v>4.2467291612850898E-3</v>
      </c>
      <c r="E72" s="470"/>
      <c r="F72" s="481">
        <f t="shared" si="99"/>
        <v>0</v>
      </c>
      <c r="G72" s="470">
        <v>14750.31</v>
      </c>
      <c r="H72" s="481">
        <f t="shared" si="106"/>
        <v>3.2495574994305955E-3</v>
      </c>
      <c r="I72" s="346">
        <v>43307.789999999994</v>
      </c>
      <c r="J72" s="484">
        <f t="shared" si="107"/>
        <v>9.5936012681939291E-3</v>
      </c>
      <c r="K72" s="29"/>
      <c r="L72" s="507">
        <v>32.213999999999999</v>
      </c>
      <c r="M72" s="505">
        <v>66.650999999999996</v>
      </c>
      <c r="N72" s="506">
        <f t="shared" si="108"/>
        <v>180.51149999999998</v>
      </c>
      <c r="O72" s="481">
        <f t="shared" si="100"/>
        <v>1.7878972809993832E-2</v>
      </c>
      <c r="P72" s="542"/>
      <c r="Q72" s="539"/>
      <c r="R72" s="545"/>
      <c r="S72" s="539"/>
      <c r="T72" s="545"/>
      <c r="U72" s="539"/>
      <c r="V72" s="550"/>
      <c r="W72" s="548"/>
      <c r="Y72" s="558">
        <v>61</v>
      </c>
      <c r="Z72" s="539">
        <f>Y72/Y$64</f>
        <v>4.4065592718341403E-3</v>
      </c>
      <c r="AA72" s="545">
        <v>15</v>
      </c>
      <c r="AB72" s="539">
        <f t="shared" si="102"/>
        <v>1.5642924183960787E-3</v>
      </c>
      <c r="AC72" s="545">
        <v>10</v>
      </c>
      <c r="AD72" s="539">
        <f t="shared" si="109"/>
        <v>3.4071550255536627E-3</v>
      </c>
      <c r="AE72" s="545">
        <f t="shared" si="110"/>
        <v>86</v>
      </c>
      <c r="AF72" s="32">
        <f t="shared" si="103"/>
        <v>3.2616528236052642E-3</v>
      </c>
      <c r="AG72" s="542">
        <v>22</v>
      </c>
      <c r="AH72" s="539">
        <f t="shared" si="104"/>
        <v>8.943089430894309E-2</v>
      </c>
      <c r="AI72" s="545">
        <v>2</v>
      </c>
      <c r="AJ72" s="539">
        <f t="shared" si="126"/>
        <v>6.6867268472082912E-4</v>
      </c>
      <c r="AK72" s="545">
        <v>3</v>
      </c>
      <c r="AL72" s="539">
        <f t="shared" si="131"/>
        <v>1.6216216216216217E-2</v>
      </c>
      <c r="AM72" s="545">
        <f t="shared" si="111"/>
        <v>27</v>
      </c>
      <c r="AN72" s="471">
        <f t="shared" si="112"/>
        <v>7.8901227352425485E-3</v>
      </c>
      <c r="AO72" s="542">
        <v>18012.18</v>
      </c>
      <c r="AP72" s="539">
        <f t="shared" si="113"/>
        <v>5.4688525665276294E-2</v>
      </c>
      <c r="AQ72" s="545">
        <v>9592.08</v>
      </c>
      <c r="AR72" s="539">
        <f t="shared" si="113"/>
        <v>1.2065846974134214E-2</v>
      </c>
      <c r="AS72" s="545">
        <v>138.72</v>
      </c>
      <c r="AT72" s="539">
        <f t="shared" ref="AT72" si="144">AS72/AS$64</f>
        <v>2.0191128712041206E-3</v>
      </c>
      <c r="AU72" s="545">
        <f t="shared" si="115"/>
        <v>27742.980000000003</v>
      </c>
      <c r="AV72" s="471">
        <f t="shared" si="116"/>
        <v>2.3254011640509133E-2</v>
      </c>
      <c r="AW72" s="542">
        <v>872.1</v>
      </c>
      <c r="AX72" s="539">
        <f t="shared" ref="AX72" si="145">AW72/AW$64</f>
        <v>1.7486800483366368E-3</v>
      </c>
      <c r="AY72" s="545">
        <v>12658.2</v>
      </c>
      <c r="AZ72" s="539">
        <f t="shared" ref="AZ72" si="146">AY72/AY$64</f>
        <v>1.712568263870427E-2</v>
      </c>
      <c r="BA72" s="545">
        <v>0</v>
      </c>
      <c r="BB72" s="539">
        <f t="shared" ref="BB72" si="147">BA72/BA$64</f>
        <v>0</v>
      </c>
      <c r="BC72" s="545">
        <f t="shared" si="120"/>
        <v>13530.300000000001</v>
      </c>
      <c r="BD72" s="548">
        <f t="shared" si="121"/>
        <v>1.0764612828852228E-2</v>
      </c>
      <c r="BE72" s="338"/>
      <c r="BF72" s="338"/>
      <c r="BG72" s="66"/>
    </row>
    <row r="73" spans="1:65" ht="11.25" customHeight="1" x14ac:dyDescent="0.25">
      <c r="A73" s="455">
        <v>19000</v>
      </c>
      <c r="B73" s="456" t="s">
        <v>88</v>
      </c>
      <c r="C73" s="346">
        <v>10078.088999999998</v>
      </c>
      <c r="D73" s="487">
        <f t="shared" si="105"/>
        <v>6.6119847497696531E-3</v>
      </c>
      <c r="E73" s="470"/>
      <c r="F73" s="481">
        <f t="shared" si="99"/>
        <v>0</v>
      </c>
      <c r="G73" s="470">
        <v>16744</v>
      </c>
      <c r="H73" s="481">
        <f t="shared" si="106"/>
        <v>3.6887760847376019E-3</v>
      </c>
      <c r="I73" s="346">
        <v>55881.929999999993</v>
      </c>
      <c r="J73" s="484">
        <f t="shared" si="107"/>
        <v>1.2379042073426614E-2</v>
      </c>
      <c r="K73" s="29"/>
      <c r="L73" s="507">
        <v>18.369</v>
      </c>
      <c r="M73" s="505">
        <v>45.856999999999999</v>
      </c>
      <c r="N73" s="506">
        <f t="shared" si="108"/>
        <v>114.708</v>
      </c>
      <c r="O73" s="481">
        <f t="shared" si="100"/>
        <v>1.1361388128118002E-2</v>
      </c>
      <c r="P73" s="542"/>
      <c r="Q73" s="539"/>
      <c r="R73" s="545"/>
      <c r="S73" s="539"/>
      <c r="T73" s="545"/>
      <c r="U73" s="539"/>
      <c r="V73" s="550"/>
      <c r="W73" s="548"/>
      <c r="Y73" s="558">
        <v>363</v>
      </c>
      <c r="Z73" s="539">
        <f t="shared" si="101"/>
        <v>2.6222639601242506E-2</v>
      </c>
      <c r="AA73" s="545">
        <v>106</v>
      </c>
      <c r="AB73" s="539">
        <f t="shared" si="102"/>
        <v>1.1054333089998957E-2</v>
      </c>
      <c r="AC73" s="545">
        <v>28</v>
      </c>
      <c r="AD73" s="539">
        <f t="shared" si="109"/>
        <v>9.5400340715502564E-3</v>
      </c>
      <c r="AE73" s="545">
        <f t="shared" si="110"/>
        <v>497</v>
      </c>
      <c r="AF73" s="32">
        <f t="shared" si="103"/>
        <v>1.8849319224788563E-2</v>
      </c>
      <c r="AG73" s="542"/>
      <c r="AH73" s="539">
        <f t="shared" si="104"/>
        <v>0</v>
      </c>
      <c r="AI73" s="545">
        <v>0</v>
      </c>
      <c r="AJ73" s="539">
        <f t="shared" si="126"/>
        <v>0</v>
      </c>
      <c r="AK73" s="545"/>
      <c r="AL73" s="539">
        <f t="shared" si="131"/>
        <v>0</v>
      </c>
      <c r="AM73" s="545">
        <f t="shared" si="111"/>
        <v>0</v>
      </c>
      <c r="AN73" s="471">
        <f t="shared" si="112"/>
        <v>0</v>
      </c>
      <c r="AO73" s="542">
        <v>6927.84</v>
      </c>
      <c r="AP73" s="539">
        <f t="shared" si="113"/>
        <v>2.1034286557480981E-2</v>
      </c>
      <c r="AQ73" s="545">
        <v>10337.700000000001</v>
      </c>
      <c r="AR73" s="539">
        <f t="shared" si="113"/>
        <v>1.3003760004556601E-2</v>
      </c>
      <c r="AS73" s="545">
        <v>216.24</v>
      </c>
      <c r="AT73" s="539">
        <f t="shared" ref="AT73" si="148">AS73/AS$64</f>
        <v>3.1474406521711292E-3</v>
      </c>
      <c r="AU73" s="545">
        <f t="shared" si="115"/>
        <v>17481.780000000002</v>
      </c>
      <c r="AV73" s="471">
        <f t="shared" si="116"/>
        <v>1.4653130832261703E-2</v>
      </c>
      <c r="AW73" s="542">
        <v>3995.34</v>
      </c>
      <c r="AX73" s="539">
        <f t="shared" ref="AX73" si="149">AW73/AW$64</f>
        <v>8.0112043851866752E-3</v>
      </c>
      <c r="AY73" s="545">
        <v>246.84</v>
      </c>
      <c r="AZ73" s="539">
        <f t="shared" ref="AZ73" si="150">AY73/AY$64</f>
        <v>3.3395771140744832E-4</v>
      </c>
      <c r="BA73" s="545">
        <v>433.5</v>
      </c>
      <c r="BB73" s="539">
        <f t="shared" ref="BB73" si="151">BA73/BA$64</f>
        <v>2.2732683568386307E-2</v>
      </c>
      <c r="BC73" s="545">
        <f t="shared" si="120"/>
        <v>4675.68</v>
      </c>
      <c r="BD73" s="548">
        <f t="shared" si="121"/>
        <v>3.7199385757601669E-3</v>
      </c>
      <c r="BE73" s="338"/>
      <c r="BF73" s="338"/>
      <c r="BG73" s="66"/>
    </row>
    <row r="74" spans="1:65" ht="11.25" customHeight="1" x14ac:dyDescent="0.25">
      <c r="A74" s="455">
        <v>21000</v>
      </c>
      <c r="B74" s="456" t="s">
        <v>89</v>
      </c>
      <c r="C74" s="346">
        <v>203283.91999999998</v>
      </c>
      <c r="D74" s="487">
        <f t="shared" si="105"/>
        <v>0.13336954842464621</v>
      </c>
      <c r="E74" s="470">
        <v>5738</v>
      </c>
      <c r="F74" s="481">
        <f t="shared" si="99"/>
        <v>2.2149907547876303E-2</v>
      </c>
      <c r="G74" s="470">
        <v>680280</v>
      </c>
      <c r="H74" s="481">
        <f t="shared" si="106"/>
        <v>0.14986864518187384</v>
      </c>
      <c r="I74" s="346">
        <v>552867.49</v>
      </c>
      <c r="J74" s="484">
        <f t="shared" si="107"/>
        <v>0.12247196758844528</v>
      </c>
      <c r="K74" s="29"/>
      <c r="L74" s="507">
        <v>189.077</v>
      </c>
      <c r="M74" s="505">
        <v>316.66500000000002</v>
      </c>
      <c r="N74" s="506">
        <f t="shared" si="108"/>
        <v>947.69</v>
      </c>
      <c r="O74" s="481">
        <f t="shared" si="100"/>
        <v>9.3865065341006304E-2</v>
      </c>
      <c r="P74" s="542"/>
      <c r="Q74" s="539"/>
      <c r="R74" s="545"/>
      <c r="S74" s="539"/>
      <c r="T74" s="545"/>
      <c r="U74" s="539"/>
      <c r="V74" s="550"/>
      <c r="W74" s="548"/>
      <c r="Y74" s="558">
        <v>1327</v>
      </c>
      <c r="Z74" s="539">
        <f t="shared" si="101"/>
        <v>9.5860723831539402E-2</v>
      </c>
      <c r="AA74" s="545">
        <v>465</v>
      </c>
      <c r="AB74" s="539">
        <f t="shared" si="102"/>
        <v>4.8493064970278443E-2</v>
      </c>
      <c r="AC74" s="545">
        <v>218</v>
      </c>
      <c r="AD74" s="539">
        <f>AC74/AC$64</f>
        <v>7.4275979557069841E-2</v>
      </c>
      <c r="AE74" s="545">
        <f t="shared" si="110"/>
        <v>2010</v>
      </c>
      <c r="AF74" s="32">
        <f t="shared" si="103"/>
        <v>7.6231653202867219E-2</v>
      </c>
      <c r="AG74" s="542">
        <v>59</v>
      </c>
      <c r="AH74" s="539">
        <f t="shared" si="104"/>
        <v>0.23983739837398374</v>
      </c>
      <c r="AI74" s="545">
        <v>41</v>
      </c>
      <c r="AJ74" s="539">
        <f t="shared" si="126"/>
        <v>1.3707790036776997E-2</v>
      </c>
      <c r="AK74" s="545">
        <v>5</v>
      </c>
      <c r="AL74" s="539">
        <f t="shared" si="131"/>
        <v>2.7027027027027029E-2</v>
      </c>
      <c r="AM74" s="545">
        <f t="shared" si="111"/>
        <v>105</v>
      </c>
      <c r="AN74" s="471">
        <f t="shared" si="112"/>
        <v>3.0683810637054353E-2</v>
      </c>
      <c r="AO74" s="542">
        <v>16232.28</v>
      </c>
      <c r="AP74" s="539">
        <f t="shared" si="113"/>
        <v>4.9284398744957644E-2</v>
      </c>
      <c r="AQ74" s="545">
        <v>73029.960000000006</v>
      </c>
      <c r="AR74" s="539">
        <f t="shared" si="113"/>
        <v>9.1864154790946576E-2</v>
      </c>
      <c r="AS74" s="545">
        <v>5125.5</v>
      </c>
      <c r="AT74" s="539">
        <f t="shared" ref="AT74" si="152">AS74/AS$64</f>
        <v>7.4603251307358134E-2</v>
      </c>
      <c r="AU74" s="545">
        <f t="shared" si="115"/>
        <v>94387.74</v>
      </c>
      <c r="AV74" s="471">
        <f t="shared" si="116"/>
        <v>7.9115279060913771E-2</v>
      </c>
      <c r="AW74" s="542">
        <v>46255.98</v>
      </c>
      <c r="AX74" s="539">
        <f t="shared" ref="AX74" si="153">AW74/AW$64</f>
        <v>9.2749580715810701E-2</v>
      </c>
      <c r="AY74" s="545">
        <v>114355.26</v>
      </c>
      <c r="AZ74" s="539">
        <f t="shared" ref="AZ74" si="154">AY74/AY$64</f>
        <v>0.15471487974802994</v>
      </c>
      <c r="BA74" s="545">
        <v>1008.78</v>
      </c>
      <c r="BB74" s="539">
        <f t="shared" ref="BB74" si="155">BA74/BA$64</f>
        <v>5.2900291880315427E-2</v>
      </c>
      <c r="BC74" s="545">
        <f t="shared" si="120"/>
        <v>161620.01999999999</v>
      </c>
      <c r="BD74" s="548">
        <f t="shared" si="121"/>
        <v>0.12858376685597167</v>
      </c>
      <c r="BE74" s="338"/>
      <c r="BF74" s="338"/>
      <c r="BG74" s="66"/>
    </row>
    <row r="75" spans="1:65" ht="11.25" customHeight="1" x14ac:dyDescent="0.25">
      <c r="A75" s="455">
        <v>22000</v>
      </c>
      <c r="B75" s="456" t="s">
        <v>90</v>
      </c>
      <c r="C75" s="346">
        <v>65034.167000000001</v>
      </c>
      <c r="D75" s="487">
        <f t="shared" si="105"/>
        <v>4.2667307305777211E-2</v>
      </c>
      <c r="E75" s="470"/>
      <c r="F75" s="481">
        <f t="shared" si="99"/>
        <v>0</v>
      </c>
      <c r="G75" s="470">
        <v>209485.07</v>
      </c>
      <c r="H75" s="481">
        <f t="shared" si="106"/>
        <v>4.6150472785808798E-2</v>
      </c>
      <c r="I75" s="346">
        <v>122027.03999999998</v>
      </c>
      <c r="J75" s="484">
        <f t="shared" si="107"/>
        <v>2.7031597911090621E-2</v>
      </c>
      <c r="K75" s="29"/>
      <c r="L75" s="507">
        <v>60.22</v>
      </c>
      <c r="M75" s="505">
        <v>99.28</v>
      </c>
      <c r="N75" s="506">
        <f t="shared" si="108"/>
        <v>299.47000000000003</v>
      </c>
      <c r="O75" s="481">
        <f t="shared" si="100"/>
        <v>2.9661356685911171E-2</v>
      </c>
      <c r="P75" s="542"/>
      <c r="Q75" s="539"/>
      <c r="R75" s="545"/>
      <c r="S75" s="539"/>
      <c r="T75" s="545"/>
      <c r="U75" s="539"/>
      <c r="V75" s="550"/>
      <c r="W75" s="548"/>
      <c r="Y75" s="558">
        <v>214</v>
      </c>
      <c r="Z75" s="539">
        <f t="shared" si="101"/>
        <v>1.5459076789713212E-2</v>
      </c>
      <c r="AA75" s="545">
        <v>51</v>
      </c>
      <c r="AB75" s="539">
        <f t="shared" si="102"/>
        <v>5.318594222546668E-3</v>
      </c>
      <c r="AC75" s="545">
        <v>72</v>
      </c>
      <c r="AD75" s="539">
        <f t="shared" si="109"/>
        <v>2.4531516183986371E-2</v>
      </c>
      <c r="AE75" s="545">
        <f t="shared" si="110"/>
        <v>337</v>
      </c>
      <c r="AF75" s="32">
        <f t="shared" si="103"/>
        <v>1.2781127925057837E-2</v>
      </c>
      <c r="AG75" s="542">
        <v>6</v>
      </c>
      <c r="AH75" s="539">
        <f t="shared" si="104"/>
        <v>2.4390243902439025E-2</v>
      </c>
      <c r="AI75" s="545">
        <v>3</v>
      </c>
      <c r="AJ75" s="539">
        <f t="shared" si="126"/>
        <v>1.0030090270812437E-3</v>
      </c>
      <c r="AK75" s="545">
        <v>5</v>
      </c>
      <c r="AL75" s="539">
        <f t="shared" si="131"/>
        <v>2.7027027027027029E-2</v>
      </c>
      <c r="AM75" s="545">
        <f t="shared" si="111"/>
        <v>14</v>
      </c>
      <c r="AN75" s="471">
        <f t="shared" si="112"/>
        <v>4.0911747516072473E-3</v>
      </c>
      <c r="AO75" s="542">
        <v>1401.48</v>
      </c>
      <c r="AP75" s="539">
        <f t="shared" si="113"/>
        <v>4.2551692770875834E-3</v>
      </c>
      <c r="AQ75" s="545">
        <v>12563.34</v>
      </c>
      <c r="AR75" s="539">
        <f t="shared" si="113"/>
        <v>1.580338549345078E-2</v>
      </c>
      <c r="AS75" s="545">
        <v>1689.1200000000001</v>
      </c>
      <c r="AT75" s="539">
        <f t="shared" ref="AT75" si="156">AS75/AS$64</f>
        <v>2.4585668490544294E-2</v>
      </c>
      <c r="AU75" s="545">
        <f t="shared" si="115"/>
        <v>15653.94</v>
      </c>
      <c r="AV75" s="471">
        <f t="shared" si="116"/>
        <v>1.312104550339695E-2</v>
      </c>
      <c r="AW75" s="542">
        <v>5573.28</v>
      </c>
      <c r="AX75" s="539">
        <f t="shared" ref="AX75" si="157">AW75/AW$64</f>
        <v>1.1175190390773549E-2</v>
      </c>
      <c r="AY75" s="545">
        <v>13520.1</v>
      </c>
      <c r="AZ75" s="539">
        <f t="shared" ref="AZ75" si="158">AY75/AY$64</f>
        <v>1.8291774647544327E-2</v>
      </c>
      <c r="BA75" s="545">
        <v>788.46</v>
      </c>
      <c r="BB75" s="539">
        <f t="shared" ref="BB75" si="159">BA75/BA$64</f>
        <v>4.1346739760853214E-2</v>
      </c>
      <c r="BC75" s="545">
        <f t="shared" si="120"/>
        <v>19881.84</v>
      </c>
      <c r="BD75" s="548">
        <f t="shared" si="121"/>
        <v>1.5817853996229748E-2</v>
      </c>
      <c r="BE75" s="338"/>
      <c r="BF75" s="338"/>
      <c r="BG75" s="66"/>
    </row>
    <row r="76" spans="1:65" ht="11.25" customHeight="1" x14ac:dyDescent="0.25">
      <c r="A76" s="455">
        <v>23000</v>
      </c>
      <c r="B76" s="456" t="s">
        <v>91</v>
      </c>
      <c r="C76" s="346">
        <v>50854.883000000009</v>
      </c>
      <c r="D76" s="487">
        <f t="shared" si="105"/>
        <v>3.3364630025327233E-2</v>
      </c>
      <c r="E76" s="470">
        <v>16104</v>
      </c>
      <c r="F76" s="481">
        <f t="shared" si="99"/>
        <v>6.2164885177936564E-2</v>
      </c>
      <c r="G76" s="470">
        <v>177503.91</v>
      </c>
      <c r="H76" s="481">
        <f t="shared" si="106"/>
        <v>3.9104884027437628E-2</v>
      </c>
      <c r="I76" s="346">
        <v>108735.63</v>
      </c>
      <c r="J76" s="484">
        <f t="shared" si="107"/>
        <v>2.4087266467900253E-2</v>
      </c>
      <c r="K76" s="29"/>
      <c r="L76" s="507">
        <v>68.896000000000001</v>
      </c>
      <c r="M76" s="505">
        <v>136.49299999999999</v>
      </c>
      <c r="N76" s="506">
        <f t="shared" si="108"/>
        <v>376.97950000000003</v>
      </c>
      <c r="O76" s="481">
        <f t="shared" si="100"/>
        <v>3.7338375839905333E-2</v>
      </c>
      <c r="P76" s="542"/>
      <c r="Q76" s="539"/>
      <c r="R76" s="545"/>
      <c r="S76" s="539"/>
      <c r="T76" s="545"/>
      <c r="U76" s="539"/>
      <c r="V76" s="550"/>
      <c r="W76" s="548"/>
      <c r="Y76" s="558">
        <v>274</v>
      </c>
      <c r="Z76" s="539">
        <f t="shared" si="101"/>
        <v>1.9793397384959908E-2</v>
      </c>
      <c r="AA76" s="545">
        <v>95</v>
      </c>
      <c r="AB76" s="539">
        <f>AA76/AA$64</f>
        <v>9.9071853165084989E-3</v>
      </c>
      <c r="AC76" s="545">
        <v>27</v>
      </c>
      <c r="AD76" s="539">
        <f t="shared" si="109"/>
        <v>9.1993185689948891E-3</v>
      </c>
      <c r="AE76" s="545">
        <f t="shared" si="110"/>
        <v>396</v>
      </c>
      <c r="AF76" s="32">
        <f t="shared" si="103"/>
        <v>1.5018773466833541E-2</v>
      </c>
      <c r="AG76" s="542"/>
      <c r="AH76" s="539">
        <f t="shared" si="104"/>
        <v>0</v>
      </c>
      <c r="AI76" s="545">
        <v>0</v>
      </c>
      <c r="AJ76" s="539">
        <f t="shared" si="126"/>
        <v>0</v>
      </c>
      <c r="AK76" s="545"/>
      <c r="AL76" s="539">
        <f t="shared" si="131"/>
        <v>0</v>
      </c>
      <c r="AM76" s="545">
        <f t="shared" si="111"/>
        <v>0</v>
      </c>
      <c r="AN76" s="471">
        <f t="shared" si="112"/>
        <v>0</v>
      </c>
      <c r="AO76" s="542">
        <v>11872.800000000001</v>
      </c>
      <c r="AP76" s="539">
        <f t="shared" si="113"/>
        <v>3.6048158941265993E-2</v>
      </c>
      <c r="AQ76" s="545">
        <v>23355.96</v>
      </c>
      <c r="AR76" s="539">
        <f t="shared" si="113"/>
        <v>2.9379387921493538E-2</v>
      </c>
      <c r="AS76" s="545">
        <v>3725.04</v>
      </c>
      <c r="AT76" s="539">
        <f t="shared" ref="AT76" si="160">AS76/AS$64</f>
        <v>5.4219119159098883E-2</v>
      </c>
      <c r="AU76" s="545">
        <f t="shared" si="115"/>
        <v>38953.800000000003</v>
      </c>
      <c r="AV76" s="471">
        <f t="shared" si="116"/>
        <v>3.2650858654768328E-2</v>
      </c>
      <c r="AW76" s="542">
        <v>14686.98</v>
      </c>
      <c r="AX76" s="539">
        <f t="shared" ref="AX76" si="161">AW76/AW$64</f>
        <v>2.9449408205847058E-2</v>
      </c>
      <c r="AY76" s="545">
        <v>7207.32</v>
      </c>
      <c r="AZ76" s="539">
        <f t="shared" ref="AZ76" si="162">AY76/AY$64</f>
        <v>9.7510131768802875E-3</v>
      </c>
      <c r="BA76" s="545">
        <v>277.44</v>
      </c>
      <c r="BB76" s="539">
        <f t="shared" ref="BB76" si="163">BA76/BA$64</f>
        <v>1.4548917483767236E-2</v>
      </c>
      <c r="BC76" s="545">
        <f t="shared" si="120"/>
        <v>22171.739999999998</v>
      </c>
      <c r="BD76" s="548">
        <f t="shared" si="121"/>
        <v>1.7639682552639341E-2</v>
      </c>
      <c r="BE76" s="338"/>
      <c r="BF76" s="338"/>
      <c r="BG76" s="66"/>
    </row>
    <row r="77" spans="1:65" ht="11.25" customHeight="1" x14ac:dyDescent="0.25">
      <c r="A77" s="455">
        <v>24000</v>
      </c>
      <c r="B77" s="456" t="s">
        <v>92</v>
      </c>
      <c r="C77" s="346">
        <v>22278.981000000003</v>
      </c>
      <c r="D77" s="487">
        <f t="shared" si="105"/>
        <v>1.4616688006268639E-2</v>
      </c>
      <c r="E77" s="470">
        <v>7015</v>
      </c>
      <c r="F77" s="481">
        <f t="shared" si="99"/>
        <v>2.7079400740389031E-2</v>
      </c>
      <c r="G77" s="470">
        <v>141839.61000000002</v>
      </c>
      <c r="H77" s="481">
        <f t="shared" si="106"/>
        <v>3.1247883494774753E-2</v>
      </c>
      <c r="I77" s="346">
        <v>134936.34</v>
      </c>
      <c r="J77" s="484">
        <f t="shared" si="107"/>
        <v>2.9891283820981104E-2</v>
      </c>
      <c r="K77" s="29"/>
      <c r="L77" s="507">
        <v>50.4</v>
      </c>
      <c r="M77" s="505">
        <v>97.619</v>
      </c>
      <c r="N77" s="506">
        <f t="shared" si="108"/>
        <v>272.42849999999999</v>
      </c>
      <c r="O77" s="481">
        <f t="shared" si="100"/>
        <v>2.6982999665768691E-2</v>
      </c>
      <c r="P77" s="542"/>
      <c r="Q77" s="539"/>
      <c r="R77" s="545"/>
      <c r="S77" s="539"/>
      <c r="T77" s="545"/>
      <c r="U77" s="539"/>
      <c r="V77" s="550"/>
      <c r="W77" s="548"/>
      <c r="Y77" s="558">
        <v>343</v>
      </c>
      <c r="Z77" s="539">
        <f t="shared" si="101"/>
        <v>2.4777866069493608E-2</v>
      </c>
      <c r="AA77" s="545">
        <v>131</v>
      </c>
      <c r="AB77" s="539">
        <f t="shared" si="102"/>
        <v>1.3661487120659089E-2</v>
      </c>
      <c r="AC77" s="545">
        <v>50</v>
      </c>
      <c r="AD77" s="539">
        <f t="shared" si="109"/>
        <v>1.7035775127768313E-2</v>
      </c>
      <c r="AE77" s="545">
        <f t="shared" si="110"/>
        <v>524</v>
      </c>
      <c r="AF77" s="32">
        <f t="shared" si="103"/>
        <v>1.9873326506618123E-2</v>
      </c>
      <c r="AG77" s="542">
        <v>6</v>
      </c>
      <c r="AH77" s="539">
        <f t="shared" si="104"/>
        <v>2.4390243902439025E-2</v>
      </c>
      <c r="AI77" s="545">
        <v>2</v>
      </c>
      <c r="AJ77" s="539">
        <f t="shared" si="126"/>
        <v>6.6867268472082912E-4</v>
      </c>
      <c r="AK77" s="545">
        <v>1</v>
      </c>
      <c r="AL77" s="539">
        <f t="shared" si="131"/>
        <v>5.4054054054054057E-3</v>
      </c>
      <c r="AM77" s="545">
        <f t="shared" si="111"/>
        <v>9</v>
      </c>
      <c r="AN77" s="471">
        <f t="shared" si="112"/>
        <v>2.6300409117475162E-3</v>
      </c>
      <c r="AO77" s="542">
        <v>13640.099999999999</v>
      </c>
      <c r="AP77" s="539">
        <f t="shared" si="113"/>
        <v>4.1414029780233994E-2</v>
      </c>
      <c r="AQ77" s="545">
        <v>14094.96</v>
      </c>
      <c r="AR77" s="539">
        <f t="shared" si="113"/>
        <v>1.773000542807637E-2</v>
      </c>
      <c r="AS77" s="545">
        <v>3254.7</v>
      </c>
      <c r="AT77" s="539">
        <f t="shared" ref="AT77" si="164">AS77/AS$64</f>
        <v>4.7373173745011897E-2</v>
      </c>
      <c r="AU77" s="545">
        <f t="shared" si="115"/>
        <v>30989.759999999998</v>
      </c>
      <c r="AV77" s="471">
        <f t="shared" si="116"/>
        <v>2.597544459090495E-2</v>
      </c>
      <c r="AW77" s="542">
        <v>11569.859999999999</v>
      </c>
      <c r="AX77" s="539">
        <f t="shared" ref="AX77" si="165">AW77/AW$64</f>
        <v>2.3199155307932713E-2</v>
      </c>
      <c r="AY77" s="545">
        <v>4306.92</v>
      </c>
      <c r="AZ77" s="539">
        <f t="shared" ref="AZ77" si="166">AY77/AY$64</f>
        <v>5.826969479885623E-3</v>
      </c>
      <c r="BA77" s="545">
        <v>1551.54</v>
      </c>
      <c r="BB77" s="539">
        <f t="shared" ref="BB77" si="167">BA77/BA$64</f>
        <v>8.1362555625591901E-2</v>
      </c>
      <c r="BC77" s="545">
        <f t="shared" si="120"/>
        <v>17428.32</v>
      </c>
      <c r="BD77" s="548">
        <f t="shared" si="121"/>
        <v>1.3865850502748783E-2</v>
      </c>
      <c r="BE77" s="338"/>
      <c r="BF77" s="338"/>
      <c r="BG77" s="66"/>
    </row>
    <row r="78" spans="1:65" ht="11.25" customHeight="1" x14ac:dyDescent="0.25">
      <c r="A78" s="455">
        <v>25000</v>
      </c>
      <c r="B78" s="456" t="s">
        <v>93</v>
      </c>
      <c r="C78" s="346">
        <v>46803.109999999913</v>
      </c>
      <c r="D78" s="487">
        <f t="shared" si="105"/>
        <v>3.0706362045601208E-2</v>
      </c>
      <c r="E78" s="470"/>
      <c r="F78" s="481">
        <f t="shared" si="99"/>
        <v>0</v>
      </c>
      <c r="G78" s="470">
        <v>79687.540000000008</v>
      </c>
      <c r="H78" s="481">
        <f t="shared" si="106"/>
        <v>1.7555511932845859E-2</v>
      </c>
      <c r="I78" s="346">
        <v>69696.929999999993</v>
      </c>
      <c r="J78" s="484">
        <f t="shared" si="107"/>
        <v>1.5439359894310549E-2</v>
      </c>
      <c r="K78" s="29"/>
      <c r="L78" s="507">
        <v>55.039000000000001</v>
      </c>
      <c r="M78" s="505">
        <v>100.271</v>
      </c>
      <c r="N78" s="506">
        <f t="shared" si="108"/>
        <v>288.00400000000002</v>
      </c>
      <c r="O78" s="481">
        <f t="shared" si="100"/>
        <v>2.8525693294717869E-2</v>
      </c>
      <c r="P78" s="542"/>
      <c r="Q78" s="539"/>
      <c r="R78" s="545"/>
      <c r="S78" s="539"/>
      <c r="T78" s="545"/>
      <c r="U78" s="539"/>
      <c r="V78" s="550"/>
      <c r="W78" s="548"/>
      <c r="Y78" s="558">
        <v>136</v>
      </c>
      <c r="Z78" s="539">
        <f t="shared" si="101"/>
        <v>9.8244600158925097E-3</v>
      </c>
      <c r="AA78" s="545">
        <v>46</v>
      </c>
      <c r="AB78" s="539">
        <f t="shared" si="102"/>
        <v>4.7971634164146416E-3</v>
      </c>
      <c r="AC78" s="545">
        <v>35</v>
      </c>
      <c r="AD78" s="539">
        <f t="shared" si="109"/>
        <v>1.192504258943782E-2</v>
      </c>
      <c r="AE78" s="545">
        <f t="shared" si="110"/>
        <v>217</v>
      </c>
      <c r="AF78" s="32">
        <f t="shared" si="103"/>
        <v>8.2299844502597939E-3</v>
      </c>
      <c r="AG78" s="542"/>
      <c r="AH78" s="539">
        <f t="shared" si="104"/>
        <v>0</v>
      </c>
      <c r="AI78" s="545">
        <v>0</v>
      </c>
      <c r="AJ78" s="539">
        <f t="shared" si="126"/>
        <v>0</v>
      </c>
      <c r="AK78" s="545"/>
      <c r="AL78" s="539">
        <f t="shared" si="131"/>
        <v>0</v>
      </c>
      <c r="AM78" s="545">
        <f t="shared" si="111"/>
        <v>0</v>
      </c>
      <c r="AN78" s="471">
        <f t="shared" si="112"/>
        <v>0</v>
      </c>
      <c r="AO78" s="542">
        <v>17652.12</v>
      </c>
      <c r="AP78" s="539">
        <f t="shared" si="113"/>
        <v>5.3595312597727589E-2</v>
      </c>
      <c r="AQ78" s="545">
        <v>7491.9000000000005</v>
      </c>
      <c r="AR78" s="539">
        <f t="shared" si="113"/>
        <v>9.4240372208651436E-3</v>
      </c>
      <c r="AS78" s="545">
        <v>982.26</v>
      </c>
      <c r="AT78" s="539">
        <f t="shared" ref="AT78" si="168">AS78/AS$64</f>
        <v>1.4297100698305648E-2</v>
      </c>
      <c r="AU78" s="545">
        <f t="shared" si="115"/>
        <v>26126.28</v>
      </c>
      <c r="AV78" s="471">
        <f t="shared" si="116"/>
        <v>2.1898902686128197E-2</v>
      </c>
      <c r="AW78" s="542">
        <v>17746.98</v>
      </c>
      <c r="AX78" s="539">
        <f t="shared" ref="AX78" si="169">AW78/AW$64</f>
        <v>3.5585127673694907E-2</v>
      </c>
      <c r="AY78" s="545">
        <v>5895.6</v>
      </c>
      <c r="AZ78" s="539">
        <f t="shared" ref="AZ78" si="170">AY78/AY$64</f>
        <v>7.9763453385745912E-3</v>
      </c>
      <c r="BA78" s="545">
        <v>532.44000000000005</v>
      </c>
      <c r="BB78" s="539">
        <f t="shared" ref="BB78" si="171">BA78/BA$64</f>
        <v>2.7921084288700361E-2</v>
      </c>
      <c r="BC78" s="545">
        <f t="shared" si="120"/>
        <v>24175.02</v>
      </c>
      <c r="BD78" s="548">
        <f t="shared" si="121"/>
        <v>1.9233478225150896E-2</v>
      </c>
      <c r="BE78" s="338"/>
      <c r="BF78" s="338"/>
      <c r="BG78" s="66"/>
    </row>
    <row r="79" spans="1:65" ht="11.25" customHeight="1" x14ac:dyDescent="0.25">
      <c r="A79" s="455">
        <v>26000</v>
      </c>
      <c r="B79" s="456" t="s">
        <v>94</v>
      </c>
      <c r="C79" s="346">
        <v>124761.10900000001</v>
      </c>
      <c r="D79" s="487">
        <f t="shared" si="105"/>
        <v>8.1852675648364459E-2</v>
      </c>
      <c r="E79" s="470">
        <v>18704</v>
      </c>
      <c r="F79" s="481">
        <f t="shared" si="99"/>
        <v>7.2201441403882599E-2</v>
      </c>
      <c r="G79" s="470">
        <v>385002.17</v>
      </c>
      <c r="H79" s="481">
        <f t="shared" si="106"/>
        <v>8.4817653921887268E-2</v>
      </c>
      <c r="I79" s="346">
        <v>386125.49</v>
      </c>
      <c r="J79" s="484">
        <f t="shared" si="107"/>
        <v>8.5535050173329144E-2</v>
      </c>
      <c r="K79" s="29"/>
      <c r="L79" s="507">
        <v>120.14700000000001</v>
      </c>
      <c r="M79" s="505">
        <v>247.97399999999999</v>
      </c>
      <c r="N79" s="506">
        <f t="shared" si="108"/>
        <v>672.32850000000008</v>
      </c>
      <c r="O79" s="481">
        <f t="shared" si="100"/>
        <v>6.659156325709964E-2</v>
      </c>
      <c r="P79" s="542"/>
      <c r="Q79" s="539"/>
      <c r="R79" s="545"/>
      <c r="S79" s="539"/>
      <c r="T79" s="545"/>
      <c r="U79" s="539"/>
      <c r="V79" s="550"/>
      <c r="W79" s="548"/>
      <c r="Y79" s="558">
        <v>1635</v>
      </c>
      <c r="Z79" s="539">
        <f t="shared" si="101"/>
        <v>0.11811023622047244</v>
      </c>
      <c r="AA79" s="545">
        <v>712</v>
      </c>
      <c r="AB79" s="539">
        <f t="shared" si="102"/>
        <v>7.425174679320054E-2</v>
      </c>
      <c r="AC79" s="545">
        <v>176</v>
      </c>
      <c r="AD79" s="539">
        <f t="shared" si="109"/>
        <v>5.9965928449744466E-2</v>
      </c>
      <c r="AE79" s="545">
        <f t="shared" si="110"/>
        <v>2523</v>
      </c>
      <c r="AF79" s="32">
        <f t="shared" si="103"/>
        <v>9.5687791557628854E-2</v>
      </c>
      <c r="AG79" s="542">
        <v>2</v>
      </c>
      <c r="AH79" s="539">
        <f t="shared" si="104"/>
        <v>8.130081300813009E-3</v>
      </c>
      <c r="AI79" s="545">
        <v>3</v>
      </c>
      <c r="AJ79" s="539">
        <f t="shared" si="126"/>
        <v>1.0030090270812437E-3</v>
      </c>
      <c r="AK79" s="545">
        <v>8</v>
      </c>
      <c r="AL79" s="539">
        <f t="shared" si="131"/>
        <v>4.3243243243243246E-2</v>
      </c>
      <c r="AM79" s="545">
        <f t="shared" si="111"/>
        <v>13</v>
      </c>
      <c r="AN79" s="471">
        <f t="shared" si="112"/>
        <v>3.7989479836353008E-3</v>
      </c>
      <c r="AO79" s="542">
        <v>20622.599999999999</v>
      </c>
      <c r="AP79" s="539">
        <f t="shared" si="113"/>
        <v>6.2614274862050401E-2</v>
      </c>
      <c r="AQ79" s="545">
        <v>55255.799999999996</v>
      </c>
      <c r="AR79" s="539">
        <f t="shared" si="113"/>
        <v>6.950609536548541E-2</v>
      </c>
      <c r="AS79" s="545">
        <v>12333.659999999998</v>
      </c>
      <c r="AT79" s="539">
        <f t="shared" ref="AT79" si="172">AS79/AS$64</f>
        <v>0.17952026856297151</v>
      </c>
      <c r="AU79" s="545">
        <f t="shared" si="115"/>
        <v>88212.06</v>
      </c>
      <c r="AV79" s="471">
        <f t="shared" si="116"/>
        <v>7.3938858409344985E-2</v>
      </c>
      <c r="AW79" s="542">
        <v>33729.18</v>
      </c>
      <c r="AX79" s="539">
        <f t="shared" ref="AX79" si="173">AW79/AW$64</f>
        <v>6.7631629529589635E-2</v>
      </c>
      <c r="AY79" s="545">
        <v>52779.719999999994</v>
      </c>
      <c r="AZ79" s="539">
        <f t="shared" ref="AZ79" si="174">AY79/AY$64</f>
        <v>7.1407367120101789E-2</v>
      </c>
      <c r="BA79" s="545">
        <v>2162.58</v>
      </c>
      <c r="BB79" s="539">
        <f t="shared" ref="BB79" si="175">BA79/BA$64</f>
        <v>0.11340541368240105</v>
      </c>
      <c r="BC79" s="545">
        <f t="shared" si="120"/>
        <v>88671.48</v>
      </c>
      <c r="BD79" s="548">
        <f t="shared" si="121"/>
        <v>7.0546414429932341E-2</v>
      </c>
      <c r="BE79" s="338"/>
      <c r="BF79" s="338"/>
      <c r="BG79" s="66"/>
    </row>
    <row r="80" spans="1:65" ht="11.25" customHeight="1" x14ac:dyDescent="0.25">
      <c r="A80" s="455">
        <v>27000</v>
      </c>
      <c r="B80" s="456" t="s">
        <v>95</v>
      </c>
      <c r="C80" s="346">
        <v>34915.775000000009</v>
      </c>
      <c r="D80" s="487">
        <f t="shared" si="105"/>
        <v>2.2907375775942106E-2</v>
      </c>
      <c r="E80" s="470"/>
      <c r="F80" s="481">
        <f t="shared" si="99"/>
        <v>0</v>
      </c>
      <c r="G80" s="470">
        <v>216669.6</v>
      </c>
      <c r="H80" s="481">
        <f t="shared" si="106"/>
        <v>4.7733256018255038E-2</v>
      </c>
      <c r="I80" s="346">
        <v>210674.5</v>
      </c>
      <c r="J80" s="484">
        <f t="shared" si="107"/>
        <v>4.6668905302628509E-2</v>
      </c>
      <c r="K80" s="29"/>
      <c r="L80" s="507">
        <v>114.925</v>
      </c>
      <c r="M80" s="505">
        <v>190.14400000000001</v>
      </c>
      <c r="N80" s="506">
        <f t="shared" si="108"/>
        <v>572.52850000000001</v>
      </c>
      <c r="O80" s="481">
        <f t="shared" si="100"/>
        <v>5.6706755439108067E-2</v>
      </c>
      <c r="P80" s="542"/>
      <c r="Q80" s="539"/>
      <c r="R80" s="545"/>
      <c r="S80" s="539"/>
      <c r="T80" s="545"/>
      <c r="U80" s="539"/>
      <c r="V80" s="550"/>
      <c r="W80" s="548"/>
      <c r="Y80" s="558">
        <v>683</v>
      </c>
      <c r="Z80" s="539">
        <f t="shared" si="101"/>
        <v>4.9339016109224879E-2</v>
      </c>
      <c r="AA80" s="545">
        <v>372</v>
      </c>
      <c r="AB80" s="539">
        <f t="shared" si="102"/>
        <v>3.8794451976222756E-2</v>
      </c>
      <c r="AC80" s="545">
        <v>118</v>
      </c>
      <c r="AD80" s="539">
        <f t="shared" si="109"/>
        <v>4.0204429301533222E-2</v>
      </c>
      <c r="AE80" s="545">
        <f t="shared" si="110"/>
        <v>1173</v>
      </c>
      <c r="AF80" s="32">
        <f t="shared" si="103"/>
        <v>4.4487427466150871E-2</v>
      </c>
      <c r="AG80" s="542"/>
      <c r="AH80" s="539">
        <f t="shared" si="104"/>
        <v>0</v>
      </c>
      <c r="AI80" s="545">
        <v>4</v>
      </c>
      <c r="AJ80" s="539">
        <f t="shared" si="126"/>
        <v>1.3373453694416582E-3</v>
      </c>
      <c r="AK80" s="545">
        <v>22</v>
      </c>
      <c r="AL80" s="539">
        <f t="shared" si="131"/>
        <v>0.11891891891891893</v>
      </c>
      <c r="AM80" s="545">
        <f t="shared" si="111"/>
        <v>26</v>
      </c>
      <c r="AN80" s="471">
        <f t="shared" si="112"/>
        <v>7.5978959672706016E-3</v>
      </c>
      <c r="AO80" s="542">
        <v>9416.4</v>
      </c>
      <c r="AP80" s="539">
        <f t="shared" si="113"/>
        <v>2.8590044796049544E-2</v>
      </c>
      <c r="AQ80" s="545">
        <v>26128.799999999999</v>
      </c>
      <c r="AR80" s="539">
        <f t="shared" si="113"/>
        <v>3.2867334552855905E-2</v>
      </c>
      <c r="AS80" s="545">
        <v>3801.8999999999996</v>
      </c>
      <c r="AT80" s="539">
        <f t="shared" ref="AT80" si="176">AS80/AS$64</f>
        <v>5.533784043419078E-2</v>
      </c>
      <c r="AU80" s="545">
        <f t="shared" si="115"/>
        <v>39347.1</v>
      </c>
      <c r="AV80" s="471">
        <f t="shared" si="116"/>
        <v>3.298052052880681E-2</v>
      </c>
      <c r="AW80" s="542">
        <v>36998.699999999997</v>
      </c>
      <c r="AX80" s="539">
        <f t="shared" ref="AX80" si="177">AW80/AW$64</f>
        <v>7.4187465318647769E-2</v>
      </c>
      <c r="AY80" s="545">
        <v>9284.16</v>
      </c>
      <c r="AZ80" s="539">
        <f t="shared" ref="AZ80" si="178">AY80/AY$64</f>
        <v>1.2560836274269061E-2</v>
      </c>
      <c r="BA80" s="545">
        <v>679.43999999999994</v>
      </c>
      <c r="BB80" s="539">
        <f t="shared" ref="BB80" si="179">BA80/BA$64</f>
        <v>3.5629745152720625E-2</v>
      </c>
      <c r="BC80" s="545">
        <f t="shared" si="120"/>
        <v>46962.3</v>
      </c>
      <c r="BD80" s="548">
        <f t="shared" si="121"/>
        <v>3.7362880132177922E-2</v>
      </c>
      <c r="BE80" s="338"/>
      <c r="BF80" s="338"/>
      <c r="BG80" s="66"/>
    </row>
    <row r="81" spans="1:59" ht="11.25" customHeight="1" x14ac:dyDescent="0.25">
      <c r="A81" s="455">
        <v>28000</v>
      </c>
      <c r="B81" s="456" t="s">
        <v>96</v>
      </c>
      <c r="C81" s="346">
        <v>16255.666000000003</v>
      </c>
      <c r="D81" s="487">
        <f t="shared" si="105"/>
        <v>1.0664940118047092E-2</v>
      </c>
      <c r="E81" s="470">
        <v>10866</v>
      </c>
      <c r="F81" s="481">
        <f t="shared" si="99"/>
        <v>4.1945084596588342E-2</v>
      </c>
      <c r="G81" s="470">
        <v>34504.630000000005</v>
      </c>
      <c r="H81" s="481">
        <f t="shared" si="106"/>
        <v>7.6015201837505743E-3</v>
      </c>
      <c r="I81" s="346">
        <v>47742.47</v>
      </c>
      <c r="J81" s="484">
        <f t="shared" si="107"/>
        <v>1.0575977687587168E-2</v>
      </c>
      <c r="K81" s="29"/>
      <c r="L81" s="507">
        <v>41.692</v>
      </c>
      <c r="M81" s="505">
        <v>80.147000000000006</v>
      </c>
      <c r="N81" s="506">
        <f t="shared" si="108"/>
        <v>224.45050000000003</v>
      </c>
      <c r="O81" s="481">
        <f t="shared" si="100"/>
        <v>2.2230962496514194E-2</v>
      </c>
      <c r="P81" s="542"/>
      <c r="Q81" s="539"/>
      <c r="R81" s="545"/>
      <c r="S81" s="539"/>
      <c r="T81" s="545"/>
      <c r="U81" s="539"/>
      <c r="V81" s="550"/>
      <c r="W81" s="548"/>
      <c r="Y81" s="558">
        <v>405</v>
      </c>
      <c r="Z81" s="539">
        <f t="shared" si="101"/>
        <v>2.9256664017915192E-2</v>
      </c>
      <c r="AA81" s="545">
        <v>230</v>
      </c>
      <c r="AB81" s="539">
        <f t="shared" si="102"/>
        <v>2.3985817082073209E-2</v>
      </c>
      <c r="AC81" s="545">
        <v>86</v>
      </c>
      <c r="AD81" s="539">
        <f t="shared" si="109"/>
        <v>2.9301533219761498E-2</v>
      </c>
      <c r="AE81" s="545">
        <f t="shared" si="110"/>
        <v>721</v>
      </c>
      <c r="AF81" s="32">
        <f t="shared" si="103"/>
        <v>2.7344787044411574E-2</v>
      </c>
      <c r="AG81" s="542">
        <v>11</v>
      </c>
      <c r="AH81" s="539">
        <f t="shared" si="104"/>
        <v>4.4715447154471545E-2</v>
      </c>
      <c r="AI81" s="545">
        <v>18</v>
      </c>
      <c r="AJ81" s="539">
        <f t="shared" si="126"/>
        <v>6.018054162487462E-3</v>
      </c>
      <c r="AK81" s="545">
        <v>25</v>
      </c>
      <c r="AL81" s="539">
        <f t="shared" si="131"/>
        <v>0.13513513513513514</v>
      </c>
      <c r="AM81" s="545">
        <f t="shared" si="111"/>
        <v>54</v>
      </c>
      <c r="AN81" s="471">
        <f t="shared" si="112"/>
        <v>1.5780245470485097E-2</v>
      </c>
      <c r="AO81" s="542">
        <v>12274.68</v>
      </c>
      <c r="AP81" s="539">
        <f t="shared" si="113"/>
        <v>3.7268345764535644E-2</v>
      </c>
      <c r="AQ81" s="545">
        <v>15611.1</v>
      </c>
      <c r="AR81" s="539">
        <f t="shared" si="113"/>
        <v>1.9637153119855824E-2</v>
      </c>
      <c r="AS81" s="545">
        <v>1873.74</v>
      </c>
      <c r="AT81" s="539">
        <f t="shared" ref="AT81" si="180">AS81/AS$64</f>
        <v>2.7272870179426246E-2</v>
      </c>
      <c r="AU81" s="545">
        <f t="shared" si="115"/>
        <v>29759.52</v>
      </c>
      <c r="AV81" s="471">
        <f t="shared" si="116"/>
        <v>2.4944264260579229E-2</v>
      </c>
      <c r="AW81" s="542">
        <v>11698.380000000001</v>
      </c>
      <c r="AX81" s="539">
        <f t="shared" ref="AX81" si="181">AW81/AW$64</f>
        <v>2.3456855525582326E-2</v>
      </c>
      <c r="AY81" s="545">
        <v>460.02</v>
      </c>
      <c r="AZ81" s="539">
        <f t="shared" ref="AZ81" si="182">AY81/AY$64</f>
        <v>6.2237573489569908E-4</v>
      </c>
      <c r="BA81" s="545">
        <v>0</v>
      </c>
      <c r="BB81" s="539">
        <f t="shared" ref="BB81" si="183">BA81/BA$64</f>
        <v>0</v>
      </c>
      <c r="BC81" s="545">
        <f t="shared" si="120"/>
        <v>12158.400000000001</v>
      </c>
      <c r="BD81" s="548">
        <f t="shared" si="121"/>
        <v>9.6731387048562805E-3</v>
      </c>
      <c r="BE81" s="338"/>
      <c r="BF81" s="338"/>
      <c r="BG81" s="66"/>
    </row>
    <row r="82" spans="1:59" ht="11.25" customHeight="1" x14ac:dyDescent="0.25">
      <c r="A82" s="455">
        <v>31000</v>
      </c>
      <c r="B82" s="456" t="s">
        <v>97</v>
      </c>
      <c r="C82" s="346">
        <v>20240.926000000003</v>
      </c>
      <c r="D82" s="487">
        <f t="shared" si="105"/>
        <v>1.3279570564738625E-2</v>
      </c>
      <c r="E82" s="470"/>
      <c r="F82" s="481">
        <f t="shared" si="99"/>
        <v>0</v>
      </c>
      <c r="G82" s="470">
        <v>71408.799999999988</v>
      </c>
      <c r="H82" s="481">
        <f t="shared" si="106"/>
        <v>1.5731669474427282E-2</v>
      </c>
      <c r="I82" s="346">
        <v>197885.11</v>
      </c>
      <c r="J82" s="484">
        <f t="shared" si="107"/>
        <v>4.3835782021033519E-2</v>
      </c>
      <c r="K82" s="29"/>
      <c r="L82" s="507">
        <v>76.099000000000004</v>
      </c>
      <c r="M82" s="505">
        <v>134.36600000000001</v>
      </c>
      <c r="N82" s="506">
        <f t="shared" si="108"/>
        <v>391.79650000000004</v>
      </c>
      <c r="O82" s="481">
        <f t="shared" si="100"/>
        <v>3.880594294851436E-2</v>
      </c>
      <c r="P82" s="542"/>
      <c r="Q82" s="539"/>
      <c r="R82" s="545"/>
      <c r="S82" s="539"/>
      <c r="T82" s="545"/>
      <c r="U82" s="539"/>
      <c r="V82" s="550"/>
      <c r="W82" s="548"/>
      <c r="Y82" s="558">
        <v>1992</v>
      </c>
      <c r="Z82" s="539">
        <f t="shared" si="101"/>
        <v>0.14389944376219027</v>
      </c>
      <c r="AA82" s="545">
        <v>1084</v>
      </c>
      <c r="AB82" s="539">
        <f t="shared" si="102"/>
        <v>0.1130461987694233</v>
      </c>
      <c r="AC82" s="545">
        <v>92</v>
      </c>
      <c r="AD82" s="539">
        <f t="shared" si="109"/>
        <v>3.1345826235093695E-2</v>
      </c>
      <c r="AE82" s="545">
        <f t="shared" si="110"/>
        <v>3168</v>
      </c>
      <c r="AF82" s="32">
        <f t="shared" si="103"/>
        <v>0.12015018773466833</v>
      </c>
      <c r="AG82" s="542"/>
      <c r="AH82" s="539">
        <f t="shared" si="104"/>
        <v>0</v>
      </c>
      <c r="AI82" s="545">
        <v>0</v>
      </c>
      <c r="AJ82" s="539">
        <f t="shared" si="126"/>
        <v>0</v>
      </c>
      <c r="AK82" s="545">
        <v>16</v>
      </c>
      <c r="AL82" s="539">
        <f t="shared" si="131"/>
        <v>8.6486486486486491E-2</v>
      </c>
      <c r="AM82" s="545">
        <f t="shared" si="111"/>
        <v>16</v>
      </c>
      <c r="AN82" s="471">
        <f t="shared" si="112"/>
        <v>4.6756282875511394E-3</v>
      </c>
      <c r="AO82" s="542">
        <v>2416.7999999999997</v>
      </c>
      <c r="AP82" s="539">
        <f t="shared" si="113"/>
        <v>7.3378807466858388E-3</v>
      </c>
      <c r="AQ82" s="545">
        <v>66881.51999999999</v>
      </c>
      <c r="AR82" s="539">
        <f t="shared" si="113"/>
        <v>8.413005163817408E-2</v>
      </c>
      <c r="AS82" s="545">
        <v>1885.56</v>
      </c>
      <c r="AT82" s="539">
        <f t="shared" ref="AT82" si="184">AS82/AS$64</f>
        <v>2.7444913966462238E-2</v>
      </c>
      <c r="AU82" s="545">
        <f t="shared" si="115"/>
        <v>71183.87999999999</v>
      </c>
      <c r="AV82" s="471">
        <f t="shared" si="116"/>
        <v>5.9665932575974349E-2</v>
      </c>
      <c r="AW82" s="542">
        <v>23791.8</v>
      </c>
      <c r="AX82" s="539">
        <f t="shared" ref="AX82" si="185">AW82/AW$64</f>
        <v>4.7705820403641318E-2</v>
      </c>
      <c r="AY82" s="545">
        <v>39787.14</v>
      </c>
      <c r="AZ82" s="539">
        <f t="shared" ref="AZ82" si="186">AY82/AY$64</f>
        <v>5.3829291111034447E-2</v>
      </c>
      <c r="BA82" s="545">
        <v>209.76</v>
      </c>
      <c r="BB82" s="539">
        <f t="shared" ref="BB82" si="187">BA82/BA$64</f>
        <v>1.0999787094128516E-2</v>
      </c>
      <c r="BC82" s="545">
        <f t="shared" si="120"/>
        <v>63788.700000000004</v>
      </c>
      <c r="BD82" s="548">
        <f t="shared" si="121"/>
        <v>5.0749847258065681E-2</v>
      </c>
      <c r="BE82" s="338"/>
      <c r="BF82" s="338"/>
      <c r="BG82" s="66"/>
    </row>
    <row r="83" spans="1:59" ht="11.25" customHeight="1" x14ac:dyDescent="0.25">
      <c r="A83" s="455">
        <v>41000</v>
      </c>
      <c r="B83" s="456" t="s">
        <v>98</v>
      </c>
      <c r="C83" s="346">
        <v>28675.963999999989</v>
      </c>
      <c r="D83" s="487">
        <f t="shared" si="105"/>
        <v>1.8813590220620551E-2</v>
      </c>
      <c r="E83" s="470"/>
      <c r="F83" s="481">
        <f t="shared" si="99"/>
        <v>0</v>
      </c>
      <c r="G83" s="470">
        <v>103221</v>
      </c>
      <c r="H83" s="481">
        <f t="shared" si="106"/>
        <v>2.2740035609334686E-2</v>
      </c>
      <c r="I83" s="346">
        <v>117598.16</v>
      </c>
      <c r="J83" s="484">
        <f t="shared" si="107"/>
        <v>2.6050506315682991E-2</v>
      </c>
      <c r="K83" s="29"/>
      <c r="L83" s="507">
        <v>59.439</v>
      </c>
      <c r="M83" s="505">
        <v>105.327</v>
      </c>
      <c r="N83" s="506">
        <f t="shared" si="108"/>
        <v>306.58799999999997</v>
      </c>
      <c r="O83" s="481">
        <f t="shared" si="100"/>
        <v>3.036636732767934E-2</v>
      </c>
      <c r="P83" s="542"/>
      <c r="Q83" s="539"/>
      <c r="R83" s="545"/>
      <c r="S83" s="539"/>
      <c r="T83" s="545"/>
      <c r="U83" s="539"/>
      <c r="V83" s="550"/>
      <c r="W83" s="548"/>
      <c r="Y83" s="558">
        <v>531</v>
      </c>
      <c r="Z83" s="539">
        <f t="shared" si="101"/>
        <v>3.8358737267933249E-2</v>
      </c>
      <c r="AA83" s="545">
        <v>189</v>
      </c>
      <c r="AB83" s="539">
        <f t="shared" si="102"/>
        <v>1.9710084471790592E-2</v>
      </c>
      <c r="AC83" s="545">
        <v>69</v>
      </c>
      <c r="AD83" s="539">
        <f t="shared" si="109"/>
        <v>2.3509369676320273E-2</v>
      </c>
      <c r="AE83" s="545">
        <f t="shared" si="110"/>
        <v>789</v>
      </c>
      <c r="AF83" s="32">
        <f t="shared" si="103"/>
        <v>2.9923768346797133E-2</v>
      </c>
      <c r="AG83" s="542">
        <v>4</v>
      </c>
      <c r="AH83" s="539">
        <f t="shared" si="104"/>
        <v>1.6260162601626018E-2</v>
      </c>
      <c r="AI83" s="545">
        <v>6</v>
      </c>
      <c r="AJ83" s="539">
        <f t="shared" si="126"/>
        <v>2.0060180541624875E-3</v>
      </c>
      <c r="AK83" s="545">
        <v>12</v>
      </c>
      <c r="AL83" s="539">
        <f t="shared" si="131"/>
        <v>6.4864864864864868E-2</v>
      </c>
      <c r="AM83" s="545">
        <f t="shared" si="111"/>
        <v>22</v>
      </c>
      <c r="AN83" s="471">
        <f t="shared" si="112"/>
        <v>6.4289888953828174E-3</v>
      </c>
      <c r="AO83" s="542">
        <v>10879</v>
      </c>
      <c r="AP83" s="539">
        <f t="shared" si="113"/>
        <v>3.3030786429657087E-2</v>
      </c>
      <c r="AQ83" s="545">
        <v>55481</v>
      </c>
      <c r="AR83" s="539">
        <f t="shared" si="113"/>
        <v>6.9789373730404697E-2</v>
      </c>
      <c r="AS83" s="545">
        <v>1135</v>
      </c>
      <c r="AT83" s="539">
        <f t="shared" ref="AT83" si="188">AS83/AS$64</f>
        <v>1.6520279042796113E-2</v>
      </c>
      <c r="AU83" s="545">
        <f t="shared" si="115"/>
        <v>67495</v>
      </c>
      <c r="AV83" s="471">
        <f t="shared" si="116"/>
        <v>5.6573933862770466E-2</v>
      </c>
      <c r="AW83" s="542">
        <v>1646</v>
      </c>
      <c r="AX83" s="539">
        <f t="shared" ref="AX83" si="189">AW83/AW$64</f>
        <v>3.3004556353194636E-3</v>
      </c>
      <c r="AY83" s="545">
        <v>64514</v>
      </c>
      <c r="AZ83" s="539">
        <f t="shared" ref="AZ83" si="190">AY83/AY$64</f>
        <v>8.7283048913223624E-2</v>
      </c>
      <c r="BA83" s="545">
        <v>3045</v>
      </c>
      <c r="BB83" s="539">
        <f t="shared" ref="BB83" si="191">BA83/BA$64</f>
        <v>0.15967940361184846</v>
      </c>
      <c r="BC83" s="545">
        <f t="shared" si="120"/>
        <v>69205</v>
      </c>
      <c r="BD83" s="548">
        <f t="shared" si="121"/>
        <v>5.5059017968612553E-2</v>
      </c>
      <c r="BE83" s="338"/>
      <c r="BF83" s="338"/>
      <c r="BG83" s="66"/>
    </row>
    <row r="84" spans="1:59" ht="11.25" customHeight="1" x14ac:dyDescent="0.25">
      <c r="A84" s="455">
        <v>43000</v>
      </c>
      <c r="B84" s="456" t="s">
        <v>99</v>
      </c>
      <c r="C84" s="346">
        <v>28457.112999999998</v>
      </c>
      <c r="D84" s="487">
        <f t="shared" si="105"/>
        <v>1.8670007496309246E-2</v>
      </c>
      <c r="E84" s="470"/>
      <c r="F84" s="481">
        <f t="shared" si="99"/>
        <v>0</v>
      </c>
      <c r="G84" s="470">
        <v>137065.43</v>
      </c>
      <c r="H84" s="481">
        <f t="shared" si="106"/>
        <v>3.0196110859309351E-2</v>
      </c>
      <c r="I84" s="346">
        <v>130241.20000000001</v>
      </c>
      <c r="J84" s="484">
        <f t="shared" si="107"/>
        <v>2.8851209943779151E-2</v>
      </c>
      <c r="K84" s="29"/>
      <c r="L84" s="507">
        <v>58.661999999999999</v>
      </c>
      <c r="M84" s="505">
        <v>111.01600000000001</v>
      </c>
      <c r="N84" s="506">
        <f t="shared" si="108"/>
        <v>313.17899999999997</v>
      </c>
      <c r="O84" s="481">
        <f t="shared" si="100"/>
        <v>3.1019180637582973E-2</v>
      </c>
      <c r="P84" s="542"/>
      <c r="Q84" s="539"/>
      <c r="R84" s="545"/>
      <c r="S84" s="539"/>
      <c r="T84" s="545"/>
      <c r="U84" s="539"/>
      <c r="V84" s="550"/>
      <c r="W84" s="548"/>
      <c r="Y84" s="558">
        <v>329</v>
      </c>
      <c r="Z84" s="539">
        <f t="shared" si="101"/>
        <v>2.3766524597269377E-2</v>
      </c>
      <c r="AA84" s="545">
        <v>93</v>
      </c>
      <c r="AB84" s="539">
        <f t="shared" si="102"/>
        <v>9.698612994055689E-3</v>
      </c>
      <c r="AC84" s="545">
        <v>34</v>
      </c>
      <c r="AD84" s="539">
        <f t="shared" si="109"/>
        <v>1.1584327086882453E-2</v>
      </c>
      <c r="AE84" s="545">
        <f t="shared" si="110"/>
        <v>456</v>
      </c>
      <c r="AF84" s="32">
        <f t="shared" si="103"/>
        <v>1.7294345204232564E-2</v>
      </c>
      <c r="AG84" s="542">
        <v>7</v>
      </c>
      <c r="AH84" s="539">
        <f t="shared" si="104"/>
        <v>2.8455284552845527E-2</v>
      </c>
      <c r="AI84" s="545">
        <v>1</v>
      </c>
      <c r="AJ84" s="539">
        <f t="shared" si="126"/>
        <v>3.3433634236041456E-4</v>
      </c>
      <c r="AK84" s="545">
        <v>28</v>
      </c>
      <c r="AL84" s="539">
        <f t="shared" si="131"/>
        <v>0.15135135135135136</v>
      </c>
      <c r="AM84" s="545">
        <f t="shared" si="111"/>
        <v>36</v>
      </c>
      <c r="AN84" s="471">
        <f t="shared" si="112"/>
        <v>1.0520163646990065E-2</v>
      </c>
      <c r="AO84" s="542">
        <v>6056</v>
      </c>
      <c r="AP84" s="539">
        <f t="shared" si="113"/>
        <v>1.8387208623770874E-2</v>
      </c>
      <c r="AQ84" s="545">
        <v>22126</v>
      </c>
      <c r="AR84" s="539">
        <f t="shared" si="113"/>
        <v>2.783222514300273E-2</v>
      </c>
      <c r="AS84" s="545">
        <v>1973</v>
      </c>
      <c r="AT84" s="539">
        <f t="shared" ref="AT84" si="192">AS84/AS$64</f>
        <v>2.8717630441794477E-2</v>
      </c>
      <c r="AU84" s="545">
        <f t="shared" si="115"/>
        <v>30155</v>
      </c>
      <c r="AV84" s="471">
        <f t="shared" si="116"/>
        <v>2.5275753398501272E-2</v>
      </c>
      <c r="AW84" s="542">
        <v>24308</v>
      </c>
      <c r="AX84" s="539">
        <f t="shared" ref="AX84" si="193">AW84/AW$64</f>
        <v>4.874087216485147E-2</v>
      </c>
      <c r="AY84" s="545">
        <v>1487</v>
      </c>
      <c r="AZ84" s="539">
        <f t="shared" ref="AZ84" si="194">AY84/AY$64</f>
        <v>2.0118097425979404E-3</v>
      </c>
      <c r="BA84" s="545">
        <v>199</v>
      </c>
      <c r="BB84" s="539">
        <f t="shared" ref="BB84" si="195">BA84/BA$64</f>
        <v>1.0435534094830161E-2</v>
      </c>
      <c r="BC84" s="545">
        <f t="shared" si="120"/>
        <v>25994</v>
      </c>
      <c r="BD84" s="548">
        <f t="shared" si="121"/>
        <v>2.068064609603518E-2</v>
      </c>
      <c r="BE84" s="338"/>
      <c r="BF84" s="338"/>
      <c r="BG84" s="66"/>
    </row>
    <row r="85" spans="1:59" ht="11.25" customHeight="1" x14ac:dyDescent="0.25">
      <c r="A85" s="455">
        <v>51000</v>
      </c>
      <c r="B85" s="456" t="s">
        <v>100</v>
      </c>
      <c r="C85" s="346">
        <v>4217.2809999999999</v>
      </c>
      <c r="D85" s="487">
        <f t="shared" si="105"/>
        <v>2.7668536820317142E-3</v>
      </c>
      <c r="E85" s="470">
        <v>61291</v>
      </c>
      <c r="F85" s="481">
        <f t="shared" si="99"/>
        <v>0.2365963721709457</v>
      </c>
      <c r="G85" s="470">
        <v>28767.600000000002</v>
      </c>
      <c r="H85" s="481">
        <f t="shared" si="106"/>
        <v>6.3376275021080654E-3</v>
      </c>
      <c r="I85" s="346">
        <v>12912.69</v>
      </c>
      <c r="J85" s="484">
        <f t="shared" si="107"/>
        <v>2.8604368673579299E-3</v>
      </c>
      <c r="K85" s="29"/>
      <c r="L85" s="507">
        <v>62.823</v>
      </c>
      <c r="M85" s="505">
        <v>59.542000000000002</v>
      </c>
      <c r="N85" s="506">
        <f t="shared" si="108"/>
        <v>246.37049999999999</v>
      </c>
      <c r="O85" s="481">
        <f t="shared" si="100"/>
        <v>2.4402054554333582E-2</v>
      </c>
      <c r="P85" s="542"/>
      <c r="Q85" s="539"/>
      <c r="R85" s="545"/>
      <c r="S85" s="539"/>
      <c r="T85" s="545"/>
      <c r="U85" s="539"/>
      <c r="V85" s="550"/>
      <c r="W85" s="548"/>
      <c r="Y85" s="558">
        <v>68</v>
      </c>
      <c r="Z85" s="539">
        <f t="shared" si="101"/>
        <v>4.9122300079462548E-3</v>
      </c>
      <c r="AA85" s="545">
        <v>84</v>
      </c>
      <c r="AB85" s="539">
        <f t="shared" si="102"/>
        <v>8.760037543018042E-3</v>
      </c>
      <c r="AC85" s="545">
        <v>24</v>
      </c>
      <c r="AD85" s="539">
        <f t="shared" si="109"/>
        <v>8.1771720613287909E-3</v>
      </c>
      <c r="AE85" s="545">
        <f t="shared" si="110"/>
        <v>176</v>
      </c>
      <c r="AF85" s="32">
        <f t="shared" si="103"/>
        <v>6.6750104297037963E-3</v>
      </c>
      <c r="AG85" s="542">
        <v>10</v>
      </c>
      <c r="AH85" s="539">
        <f t="shared" si="104"/>
        <v>4.065040650406504E-2</v>
      </c>
      <c r="AI85" s="545">
        <v>20</v>
      </c>
      <c r="AJ85" s="539">
        <f t="shared" si="126"/>
        <v>6.6867268472082918E-3</v>
      </c>
      <c r="AK85" s="545"/>
      <c r="AL85" s="539">
        <f t="shared" si="131"/>
        <v>0</v>
      </c>
      <c r="AM85" s="545">
        <f t="shared" si="111"/>
        <v>30</v>
      </c>
      <c r="AN85" s="471">
        <f t="shared" si="112"/>
        <v>8.7668030391583867E-3</v>
      </c>
      <c r="AO85" s="542">
        <v>6274.02</v>
      </c>
      <c r="AP85" s="539">
        <f t="shared" si="113"/>
        <v>1.9049160279014356E-2</v>
      </c>
      <c r="AQ85" s="545">
        <v>9756.2999999999993</v>
      </c>
      <c r="AR85" s="539">
        <f t="shared" si="113"/>
        <v>1.227241879068415E-2</v>
      </c>
      <c r="AS85" s="545">
        <v>581.4</v>
      </c>
      <c r="AT85" s="539">
        <f t="shared" ref="AT85" si="196">AS85/AS$64</f>
        <v>8.4624583572525634E-3</v>
      </c>
      <c r="AU85" s="545">
        <f t="shared" si="115"/>
        <v>16611.72</v>
      </c>
      <c r="AV85" s="471">
        <f t="shared" si="116"/>
        <v>1.3923851376055433E-2</v>
      </c>
      <c r="AW85" s="542">
        <v>10552.92</v>
      </c>
      <c r="AX85" s="539">
        <f t="shared" ref="AX85" si="197">AW85/AW$64</f>
        <v>2.1160051204784616E-2</v>
      </c>
      <c r="AY85" s="545">
        <v>14911.380000000001</v>
      </c>
      <c r="AZ85" s="539">
        <f t="shared" ref="AZ85" si="198">AY85/AY$64</f>
        <v>2.0174081748204491E-2</v>
      </c>
      <c r="BA85" s="545">
        <v>0</v>
      </c>
      <c r="BB85" s="539">
        <f t="shared" ref="BB85" si="199">BA85/BA$64</f>
        <v>0</v>
      </c>
      <c r="BC85" s="545">
        <f t="shared" si="120"/>
        <v>25464.300000000003</v>
      </c>
      <c r="BD85" s="548">
        <f t="shared" si="121"/>
        <v>2.0259220450229619E-2</v>
      </c>
      <c r="BE85" s="338"/>
      <c r="BF85" s="338"/>
      <c r="BG85" s="66"/>
    </row>
    <row r="86" spans="1:59" ht="11.25" customHeight="1" x14ac:dyDescent="0.25">
      <c r="A86" s="455">
        <v>52000</v>
      </c>
      <c r="B86" s="456" t="s">
        <v>101</v>
      </c>
      <c r="C86" s="346">
        <v>253.39599999999999</v>
      </c>
      <c r="D86" s="487">
        <f t="shared" si="105"/>
        <v>1.6624684378681626E-4</v>
      </c>
      <c r="E86" s="470">
        <v>28378</v>
      </c>
      <c r="F86" s="481">
        <f t="shared" si="99"/>
        <v>0.109545150992268</v>
      </c>
      <c r="G86" s="470">
        <v>5683</v>
      </c>
      <c r="H86" s="481">
        <f t="shared" si="106"/>
        <v>1.2519896374560315E-3</v>
      </c>
      <c r="I86" s="346">
        <v>2375.04</v>
      </c>
      <c r="J86" s="484">
        <f t="shared" si="107"/>
        <v>5.2612213082245277E-4</v>
      </c>
      <c r="K86" s="29"/>
      <c r="L86" s="507">
        <v>13.423</v>
      </c>
      <c r="M86" s="505">
        <v>6.5839999999999996</v>
      </c>
      <c r="N86" s="506">
        <f t="shared" si="108"/>
        <v>43.433499999999995</v>
      </c>
      <c r="O86" s="481">
        <f t="shared" si="100"/>
        <v>4.3019218473220105E-3</v>
      </c>
      <c r="P86" s="542"/>
      <c r="Q86" s="539"/>
      <c r="R86" s="545"/>
      <c r="S86" s="539"/>
      <c r="T86" s="545"/>
      <c r="U86" s="539"/>
      <c r="V86" s="550"/>
      <c r="W86" s="548"/>
      <c r="Y86" s="558"/>
      <c r="Z86" s="539">
        <f t="shared" si="101"/>
        <v>0</v>
      </c>
      <c r="AA86" s="545">
        <v>20</v>
      </c>
      <c r="AB86" s="539">
        <f t="shared" si="102"/>
        <v>2.0857232245281051E-3</v>
      </c>
      <c r="AC86" s="545">
        <v>4</v>
      </c>
      <c r="AD86" s="539">
        <f t="shared" si="109"/>
        <v>1.362862010221465E-3</v>
      </c>
      <c r="AE86" s="545">
        <f t="shared" si="110"/>
        <v>24</v>
      </c>
      <c r="AF86" s="32">
        <f t="shared" si="103"/>
        <v>9.1022869495960865E-4</v>
      </c>
      <c r="AG86" s="542"/>
      <c r="AH86" s="539">
        <f t="shared" si="104"/>
        <v>0</v>
      </c>
      <c r="AI86" s="545">
        <v>0</v>
      </c>
      <c r="AJ86" s="539">
        <f t="shared" si="126"/>
        <v>0</v>
      </c>
      <c r="AK86" s="545"/>
      <c r="AL86" s="539">
        <f t="shared" si="131"/>
        <v>0</v>
      </c>
      <c r="AM86" s="545">
        <f t="shared" si="111"/>
        <v>0</v>
      </c>
      <c r="AN86" s="471">
        <f t="shared" si="112"/>
        <v>0</v>
      </c>
      <c r="AO86" s="542">
        <v>0</v>
      </c>
      <c r="AP86" s="539">
        <f t="shared" si="113"/>
        <v>0</v>
      </c>
      <c r="AQ86" s="545">
        <v>3947</v>
      </c>
      <c r="AR86" s="539">
        <f t="shared" si="113"/>
        <v>4.9649187670356941E-3</v>
      </c>
      <c r="AS86" s="545">
        <v>0</v>
      </c>
      <c r="AT86" s="539">
        <f t="shared" ref="AT86" si="200">AS86/AS$64</f>
        <v>0</v>
      </c>
      <c r="AU86" s="545">
        <f t="shared" si="115"/>
        <v>3947</v>
      </c>
      <c r="AV86" s="471">
        <f t="shared" si="116"/>
        <v>3.3083534625728576E-3</v>
      </c>
      <c r="AW86" s="542">
        <v>0</v>
      </c>
      <c r="AX86" s="539">
        <f t="shared" ref="AX86" si="201">AW86/AW$64</f>
        <v>0</v>
      </c>
      <c r="AY86" s="545">
        <v>4783</v>
      </c>
      <c r="AZ86" s="539">
        <f t="shared" ref="AZ86" si="202">AY86/AY$64</f>
        <v>6.471073301174142E-3</v>
      </c>
      <c r="BA86" s="545">
        <v>0</v>
      </c>
      <c r="BB86" s="539">
        <f t="shared" ref="BB86" si="203">BA86/BA$64</f>
        <v>0</v>
      </c>
      <c r="BC86" s="545">
        <f t="shared" si="120"/>
        <v>4783</v>
      </c>
      <c r="BD86" s="548">
        <f t="shared" si="121"/>
        <v>3.8053216233490906E-3</v>
      </c>
      <c r="BE86" s="338"/>
      <c r="BF86" s="338"/>
      <c r="BG86" s="66"/>
    </row>
    <row r="87" spans="1:59" ht="11.25" customHeight="1" x14ac:dyDescent="0.25">
      <c r="A87" s="455">
        <v>53000</v>
      </c>
      <c r="B87" s="456" t="s">
        <v>102</v>
      </c>
      <c r="C87" s="346">
        <v>996.23300000000006</v>
      </c>
      <c r="D87" s="487">
        <f t="shared" si="105"/>
        <v>6.5360381350246786E-4</v>
      </c>
      <c r="E87" s="470">
        <v>31448</v>
      </c>
      <c r="F87" s="481">
        <f t="shared" si="99"/>
        <v>0.12139600776675043</v>
      </c>
      <c r="G87" s="470">
        <v>1362</v>
      </c>
      <c r="H87" s="481">
        <f t="shared" si="106"/>
        <v>3.0005452863190475E-4</v>
      </c>
      <c r="I87" s="346">
        <v>10083.9</v>
      </c>
      <c r="J87" s="484">
        <f t="shared" si="107"/>
        <v>2.2337994117996038E-3</v>
      </c>
      <c r="K87" s="29"/>
      <c r="L87" s="507">
        <v>6</v>
      </c>
      <c r="M87" s="505">
        <v>10.667</v>
      </c>
      <c r="N87" s="506">
        <f t="shared" si="108"/>
        <v>31.000499999999999</v>
      </c>
      <c r="O87" s="481">
        <f t="shared" si="100"/>
        <v>3.0704808092349455E-3</v>
      </c>
      <c r="P87" s="542"/>
      <c r="Q87" s="539"/>
      <c r="R87" s="545"/>
      <c r="S87" s="539"/>
      <c r="T87" s="545"/>
      <c r="U87" s="539"/>
      <c r="V87" s="550"/>
      <c r="W87" s="548"/>
      <c r="Y87" s="558">
        <v>13</v>
      </c>
      <c r="Z87" s="539">
        <f t="shared" si="101"/>
        <v>9.3910279563678392E-4</v>
      </c>
      <c r="AA87" s="545">
        <v>31</v>
      </c>
      <c r="AB87" s="539">
        <f t="shared" si="102"/>
        <v>3.2328709980185629E-3</v>
      </c>
      <c r="AC87" s="545">
        <v>1</v>
      </c>
      <c r="AD87" s="539">
        <f t="shared" si="109"/>
        <v>3.4071550255536625E-4</v>
      </c>
      <c r="AE87" s="545">
        <f t="shared" si="110"/>
        <v>45</v>
      </c>
      <c r="AF87" s="32">
        <f t="shared" si="103"/>
        <v>1.7066788030492661E-3</v>
      </c>
      <c r="AG87" s="542"/>
      <c r="AH87" s="539">
        <f t="shared" si="104"/>
        <v>0</v>
      </c>
      <c r="AI87" s="545">
        <v>7</v>
      </c>
      <c r="AJ87" s="539">
        <f t="shared" si="126"/>
        <v>2.340354396522902E-3</v>
      </c>
      <c r="AK87" s="545"/>
      <c r="AL87" s="539">
        <f t="shared" si="131"/>
        <v>0</v>
      </c>
      <c r="AM87" s="545">
        <f t="shared" si="111"/>
        <v>7</v>
      </c>
      <c r="AN87" s="471">
        <f t="shared" si="112"/>
        <v>2.0455873758036236E-3</v>
      </c>
      <c r="AO87" s="542">
        <v>0</v>
      </c>
      <c r="AP87" s="539">
        <f t="shared" si="113"/>
        <v>0</v>
      </c>
      <c r="AQ87" s="545">
        <v>9314</v>
      </c>
      <c r="AR87" s="539">
        <f t="shared" si="113"/>
        <v>1.1716051025125528E-2</v>
      </c>
      <c r="AS87" s="545">
        <v>0</v>
      </c>
      <c r="AT87" s="539">
        <f t="shared" ref="AT87" si="204">AS87/AS$64</f>
        <v>0</v>
      </c>
      <c r="AU87" s="545">
        <f t="shared" si="115"/>
        <v>9314</v>
      </c>
      <c r="AV87" s="471">
        <f t="shared" si="116"/>
        <v>7.8069430327853042E-3</v>
      </c>
      <c r="AW87" s="542">
        <v>0</v>
      </c>
      <c r="AX87" s="539">
        <f t="shared" ref="AX87" si="205">AW87/AW$64</f>
        <v>0</v>
      </c>
      <c r="AY87" s="545">
        <v>9625</v>
      </c>
      <c r="AZ87" s="539">
        <f t="shared" ref="AZ87" si="206">AY87/AY$64</f>
        <v>1.3021969584737846E-2</v>
      </c>
      <c r="BA87" s="545">
        <v>0</v>
      </c>
      <c r="BB87" s="539">
        <f t="shared" ref="BB87" si="207">BA87/BA$64</f>
        <v>0</v>
      </c>
      <c r="BC87" s="545">
        <f t="shared" si="120"/>
        <v>9625</v>
      </c>
      <c r="BD87" s="548">
        <f t="shared" si="121"/>
        <v>7.6575832374524352E-3</v>
      </c>
      <c r="BE87" s="338"/>
      <c r="BF87" s="338"/>
      <c r="BG87" s="66"/>
    </row>
    <row r="88" spans="1:59" ht="11.25" customHeight="1" x14ac:dyDescent="0.25">
      <c r="A88" s="455">
        <v>54000</v>
      </c>
      <c r="B88" s="456" t="s">
        <v>103</v>
      </c>
      <c r="C88" s="346">
        <v>1297.133</v>
      </c>
      <c r="D88" s="487">
        <f t="shared" si="105"/>
        <v>8.5101685591613269E-4</v>
      </c>
      <c r="E88" s="470">
        <v>48314</v>
      </c>
      <c r="F88" s="481">
        <f t="shared" si="99"/>
        <v>0.18650237596167579</v>
      </c>
      <c r="G88" s="470">
        <v>2750.25</v>
      </c>
      <c r="H88" s="481">
        <f t="shared" si="106"/>
        <v>6.0589204652708971E-4</v>
      </c>
      <c r="I88" s="346">
        <v>8198.01</v>
      </c>
      <c r="J88" s="484">
        <f t="shared" si="107"/>
        <v>1.8160344624527486E-3</v>
      </c>
      <c r="K88" s="29"/>
      <c r="L88" s="507">
        <v>21.978000000000002</v>
      </c>
      <c r="M88" s="505">
        <v>36.356999999999999</v>
      </c>
      <c r="N88" s="506">
        <f t="shared" si="108"/>
        <v>109.48050000000001</v>
      </c>
      <c r="O88" s="481">
        <f t="shared" si="100"/>
        <v>1.0843624271719698E-2</v>
      </c>
      <c r="P88" s="542"/>
      <c r="Q88" s="539"/>
      <c r="R88" s="545"/>
      <c r="S88" s="539"/>
      <c r="T88" s="545"/>
      <c r="U88" s="539"/>
      <c r="V88" s="550"/>
      <c r="W88" s="548"/>
      <c r="Y88" s="558">
        <v>54</v>
      </c>
      <c r="Z88" s="539">
        <f t="shared" si="101"/>
        <v>3.9008885357220257E-3</v>
      </c>
      <c r="AA88" s="545">
        <v>45</v>
      </c>
      <c r="AB88" s="539">
        <f t="shared" si="102"/>
        <v>4.6928772551882367E-3</v>
      </c>
      <c r="AC88" s="545">
        <v>15</v>
      </c>
      <c r="AD88" s="539">
        <f t="shared" si="109"/>
        <v>5.1107325383304937E-3</v>
      </c>
      <c r="AE88" s="545">
        <f t="shared" si="110"/>
        <v>114</v>
      </c>
      <c r="AF88" s="32">
        <f t="shared" si="103"/>
        <v>4.323586301058141E-3</v>
      </c>
      <c r="AG88" s="542">
        <v>4</v>
      </c>
      <c r="AH88" s="539">
        <f t="shared" si="104"/>
        <v>1.6260162601626018E-2</v>
      </c>
      <c r="AI88" s="545">
        <v>1</v>
      </c>
      <c r="AJ88" s="539">
        <f t="shared" si="126"/>
        <v>3.3433634236041456E-4</v>
      </c>
      <c r="AK88" s="545"/>
      <c r="AL88" s="539">
        <f t="shared" si="131"/>
        <v>0</v>
      </c>
      <c r="AM88" s="545">
        <f t="shared" si="111"/>
        <v>5</v>
      </c>
      <c r="AN88" s="471">
        <f t="shared" si="112"/>
        <v>1.4611338398597311E-3</v>
      </c>
      <c r="AO88" s="542">
        <v>3352.7400000000002</v>
      </c>
      <c r="AP88" s="539">
        <f t="shared" si="113"/>
        <v>1.0179578903775027E-2</v>
      </c>
      <c r="AQ88" s="545">
        <v>7314.42</v>
      </c>
      <c r="AR88" s="539">
        <f t="shared" si="113"/>
        <v>9.2007856924198692E-3</v>
      </c>
      <c r="AS88" s="545">
        <v>1269.9000000000001</v>
      </c>
      <c r="AT88" s="539">
        <f t="shared" ref="AT88" si="208">AS88/AS$64</f>
        <v>1.8483790622420077E-2</v>
      </c>
      <c r="AU88" s="545">
        <f t="shared" si="115"/>
        <v>11937.06</v>
      </c>
      <c r="AV88" s="471">
        <f t="shared" si="116"/>
        <v>1.0005577345817064E-2</v>
      </c>
      <c r="AW88" s="542">
        <v>2198.1</v>
      </c>
      <c r="AX88" s="539">
        <f t="shared" ref="AX88" si="209">AW88/AW$64</f>
        <v>4.4074918177373712E-3</v>
      </c>
      <c r="AY88" s="545">
        <v>1597.32</v>
      </c>
      <c r="AZ88" s="539">
        <f t="shared" ref="AZ88" si="210">AY88/AY$64</f>
        <v>2.1610651903473718E-3</v>
      </c>
      <c r="BA88" s="545">
        <v>0</v>
      </c>
      <c r="BB88" s="539">
        <f t="shared" ref="BB88" si="211">BA88/BA$64</f>
        <v>0</v>
      </c>
      <c r="BC88" s="545">
        <f t="shared" si="120"/>
        <v>3795.42</v>
      </c>
      <c r="BD88" s="548">
        <f t="shared" si="121"/>
        <v>3.0196098255679711E-3</v>
      </c>
      <c r="BE88" s="338"/>
      <c r="BF88" s="338"/>
      <c r="BG88" s="66"/>
    </row>
    <row r="89" spans="1:59" ht="11.25" customHeight="1" x14ac:dyDescent="0.25">
      <c r="A89" s="455">
        <v>55000</v>
      </c>
      <c r="B89" s="456" t="s">
        <v>104</v>
      </c>
      <c r="C89" s="346"/>
      <c r="D89" s="487">
        <f t="shared" si="105"/>
        <v>0</v>
      </c>
      <c r="E89" s="470"/>
      <c r="F89" s="481">
        <f t="shared" si="99"/>
        <v>0</v>
      </c>
      <c r="G89" s="470">
        <v>431.25</v>
      </c>
      <c r="H89" s="481">
        <f t="shared" si="106"/>
        <v>9.5006252182458839E-5</v>
      </c>
      <c r="I89" s="346">
        <v>12357.83</v>
      </c>
      <c r="J89" s="484">
        <f t="shared" si="107"/>
        <v>2.7375235162109403E-3</v>
      </c>
      <c r="K89" s="29"/>
      <c r="L89" s="507">
        <v>5.1139999999999999</v>
      </c>
      <c r="M89" s="505">
        <v>10.532999999999999</v>
      </c>
      <c r="N89" s="506">
        <f t="shared" si="108"/>
        <v>28.584499999999998</v>
      </c>
      <c r="O89" s="481">
        <f t="shared" si="100"/>
        <v>2.8311852612563121E-3</v>
      </c>
      <c r="P89" s="542"/>
      <c r="Q89" s="539"/>
      <c r="R89" s="545"/>
      <c r="S89" s="539"/>
      <c r="T89" s="545"/>
      <c r="U89" s="539"/>
      <c r="V89" s="550"/>
      <c r="W89" s="548"/>
      <c r="Y89" s="558">
        <v>35</v>
      </c>
      <c r="Z89" s="539">
        <f t="shared" si="101"/>
        <v>2.528353680560572E-3</v>
      </c>
      <c r="AA89" s="545">
        <v>0</v>
      </c>
      <c r="AB89" s="539">
        <f t="shared" si="102"/>
        <v>0</v>
      </c>
      <c r="AC89" s="545"/>
      <c r="AD89" s="539">
        <f t="shared" si="109"/>
        <v>0</v>
      </c>
      <c r="AE89" s="545">
        <f t="shared" si="110"/>
        <v>35</v>
      </c>
      <c r="AF89" s="32">
        <f t="shared" si="103"/>
        <v>1.3274168468160959E-3</v>
      </c>
      <c r="AG89" s="542"/>
      <c r="AH89" s="539">
        <f t="shared" si="104"/>
        <v>0</v>
      </c>
      <c r="AI89" s="545">
        <v>0</v>
      </c>
      <c r="AJ89" s="539">
        <f t="shared" si="126"/>
        <v>0</v>
      </c>
      <c r="AK89" s="545"/>
      <c r="AL89" s="539">
        <f t="shared" si="131"/>
        <v>0</v>
      </c>
      <c r="AM89" s="545">
        <f t="shared" si="111"/>
        <v>0</v>
      </c>
      <c r="AN89" s="471">
        <f t="shared" si="112"/>
        <v>0</v>
      </c>
      <c r="AO89" s="542">
        <v>6502</v>
      </c>
      <c r="AP89" s="539">
        <f t="shared" si="113"/>
        <v>1.9741352455706442E-2</v>
      </c>
      <c r="AQ89" s="545">
        <v>0</v>
      </c>
      <c r="AR89" s="539">
        <f t="shared" si="113"/>
        <v>0</v>
      </c>
      <c r="AS89" s="545">
        <v>0</v>
      </c>
      <c r="AT89" s="539">
        <f t="shared" ref="AT89" si="212">AS89/AS$64</f>
        <v>0</v>
      </c>
      <c r="AU89" s="545">
        <f t="shared" si="115"/>
        <v>6502</v>
      </c>
      <c r="AV89" s="471">
        <f t="shared" si="116"/>
        <v>5.4499402618821179E-3</v>
      </c>
      <c r="AW89" s="542">
        <v>1771</v>
      </c>
      <c r="AX89" s="539">
        <f t="shared" ref="AX89" si="213">AW89/AW$64</f>
        <v>3.5510977704439673E-3</v>
      </c>
      <c r="AY89" s="545">
        <v>0</v>
      </c>
      <c r="AZ89" s="539">
        <f t="shared" ref="AZ89" si="214">AY89/AY$64</f>
        <v>0</v>
      </c>
      <c r="BA89" s="545">
        <v>0</v>
      </c>
      <c r="BB89" s="539">
        <f t="shared" ref="BB89" si="215">BA89/BA$64</f>
        <v>0</v>
      </c>
      <c r="BC89" s="545">
        <f t="shared" si="120"/>
        <v>1771</v>
      </c>
      <c r="BD89" s="548">
        <f t="shared" si="121"/>
        <v>1.408995315691248E-3</v>
      </c>
      <c r="BE89" s="338"/>
      <c r="BF89" s="338"/>
    </row>
    <row r="90" spans="1:59" ht="11.25" customHeight="1" x14ac:dyDescent="0.25">
      <c r="A90" s="501">
        <v>56000</v>
      </c>
      <c r="B90" s="502" t="s">
        <v>105</v>
      </c>
      <c r="C90" s="474">
        <v>64.465999999999994</v>
      </c>
      <c r="D90" s="488">
        <f t="shared" si="105"/>
        <v>4.2294546999798326E-5</v>
      </c>
      <c r="E90" s="472"/>
      <c r="F90" s="482">
        <f t="shared" si="99"/>
        <v>0</v>
      </c>
      <c r="G90" s="472">
        <v>0</v>
      </c>
      <c r="H90" s="482">
        <f t="shared" si="106"/>
        <v>0</v>
      </c>
      <c r="I90" s="474">
        <v>5832.66</v>
      </c>
      <c r="J90" s="485">
        <f t="shared" si="107"/>
        <v>1.2920588737717626E-3</v>
      </c>
      <c r="K90" s="29"/>
      <c r="L90" s="508">
        <v>2.2290000000000001</v>
      </c>
      <c r="M90" s="509">
        <v>5.2729999999999997</v>
      </c>
      <c r="N90" s="510">
        <f t="shared" si="108"/>
        <v>13.481999999999999</v>
      </c>
      <c r="O90" s="482">
        <f t="shared" si="100"/>
        <v>1.33534047096355E-3</v>
      </c>
      <c r="P90" s="543"/>
      <c r="Q90" s="540"/>
      <c r="R90" s="546"/>
      <c r="S90" s="540"/>
      <c r="T90" s="546"/>
      <c r="U90" s="540"/>
      <c r="V90" s="551"/>
      <c r="W90" s="549"/>
      <c r="Y90" s="559">
        <v>20</v>
      </c>
      <c r="Z90" s="540">
        <f t="shared" si="101"/>
        <v>1.4447735317488983E-3</v>
      </c>
      <c r="AA90" s="546">
        <v>0</v>
      </c>
      <c r="AB90" s="540">
        <f t="shared" si="102"/>
        <v>0</v>
      </c>
      <c r="AC90" s="546"/>
      <c r="AD90" s="540">
        <f t="shared" si="109"/>
        <v>0</v>
      </c>
      <c r="AE90" s="546">
        <f t="shared" si="110"/>
        <v>20</v>
      </c>
      <c r="AF90" s="473">
        <f t="shared" si="103"/>
        <v>7.5852391246634054E-4</v>
      </c>
      <c r="AG90" s="543"/>
      <c r="AH90" s="540">
        <f t="shared" si="104"/>
        <v>0</v>
      </c>
      <c r="AI90" s="546">
        <v>0</v>
      </c>
      <c r="AJ90" s="540">
        <f t="shared" si="126"/>
        <v>0</v>
      </c>
      <c r="AK90" s="546"/>
      <c r="AL90" s="540">
        <f t="shared" si="131"/>
        <v>0</v>
      </c>
      <c r="AM90" s="546">
        <f t="shared" si="111"/>
        <v>0</v>
      </c>
      <c r="AN90" s="475">
        <f t="shared" si="112"/>
        <v>0</v>
      </c>
      <c r="AO90" s="543">
        <v>0</v>
      </c>
      <c r="AP90" s="540">
        <f t="shared" si="113"/>
        <v>0</v>
      </c>
      <c r="AQ90" s="546">
        <v>0</v>
      </c>
      <c r="AR90" s="540">
        <f t="shared" si="113"/>
        <v>0</v>
      </c>
      <c r="AS90" s="546">
        <v>0</v>
      </c>
      <c r="AT90" s="540">
        <f t="shared" ref="AT90" si="216">AS90/AS$64</f>
        <v>0</v>
      </c>
      <c r="AU90" s="546">
        <f t="shared" si="115"/>
        <v>0</v>
      </c>
      <c r="AV90" s="475">
        <f t="shared" si="116"/>
        <v>0</v>
      </c>
      <c r="AW90" s="543">
        <v>0</v>
      </c>
      <c r="AX90" s="540">
        <f t="shared" ref="AX90" si="217">AW90/AW$64</f>
        <v>0</v>
      </c>
      <c r="AY90" s="546">
        <v>0</v>
      </c>
      <c r="AZ90" s="540">
        <f t="shared" ref="AZ90" si="218">AY90/AY$64</f>
        <v>0</v>
      </c>
      <c r="BA90" s="546">
        <v>0</v>
      </c>
      <c r="BB90" s="540">
        <f t="shared" ref="BB90" si="219">BA90/BA$64</f>
        <v>0</v>
      </c>
      <c r="BC90" s="546">
        <f t="shared" si="120"/>
        <v>0</v>
      </c>
      <c r="BD90" s="549">
        <f t="shared" si="121"/>
        <v>0</v>
      </c>
      <c r="BE90" s="338"/>
      <c r="BF90" s="338"/>
    </row>
    <row r="91" spans="1:59" ht="9" customHeight="1" x14ac:dyDescent="0.25">
      <c r="C91" s="347"/>
      <c r="D91" s="344"/>
      <c r="E91" s="66"/>
      <c r="G91" s="348"/>
      <c r="H91" s="348"/>
      <c r="I91" s="29"/>
      <c r="J91" s="29"/>
      <c r="K91" s="29"/>
      <c r="L91" s="348"/>
      <c r="M91" s="348"/>
      <c r="N91" s="348"/>
      <c r="O91" s="349"/>
      <c r="U91" s="348"/>
      <c r="V91" s="338"/>
      <c r="W91" s="338"/>
      <c r="Z91" s="349"/>
      <c r="AA91" s="349"/>
      <c r="AB91" s="349"/>
      <c r="AD91" s="349"/>
      <c r="AE91" s="349"/>
      <c r="AF91" s="338"/>
      <c r="AH91" s="349"/>
      <c r="AI91" s="349"/>
      <c r="AJ91" s="349"/>
      <c r="AL91" s="349"/>
      <c r="AM91" s="349"/>
      <c r="AN91" s="338"/>
      <c r="AP91" s="349"/>
      <c r="AQ91" s="349"/>
      <c r="AR91" s="349"/>
      <c r="AT91" s="349"/>
      <c r="AU91" s="349"/>
      <c r="AV91" s="338"/>
      <c r="AX91" s="349"/>
      <c r="AY91" s="349"/>
      <c r="AZ91" s="349"/>
      <c r="BB91" s="349"/>
      <c r="BC91" s="349"/>
      <c r="BD91" s="421"/>
      <c r="BE91" s="338"/>
      <c r="BF91" s="338"/>
      <c r="BG91" s="350"/>
    </row>
    <row r="92" spans="1:59" ht="16.5" customHeight="1" x14ac:dyDescent="0.25">
      <c r="A92" s="499" t="s">
        <v>107</v>
      </c>
      <c r="B92" s="500" t="s">
        <v>79</v>
      </c>
      <c r="C92" s="477"/>
      <c r="D92" s="486"/>
      <c r="E92" s="476"/>
      <c r="F92" s="480"/>
      <c r="G92" s="476">
        <f>SUM(G93:G118)</f>
        <v>3513471.1500000004</v>
      </c>
      <c r="H92" s="480">
        <f>SUM(H93:H118)</f>
        <v>0.99999999999999978</v>
      </c>
      <c r="I92" s="477">
        <f>SUM(I93:I118)</f>
        <v>4377706.6199999992</v>
      </c>
      <c r="J92" s="483">
        <f>SUM(J93:J118)</f>
        <v>1.0000000000000002</v>
      </c>
      <c r="K92" s="32"/>
      <c r="L92" s="511">
        <f>SUM(L93:L118)</f>
        <v>1977.2999999999997</v>
      </c>
      <c r="M92" s="512">
        <f>SUM(M93:M118)</f>
        <v>3454.7000000000007</v>
      </c>
      <c r="N92" s="513">
        <f>SUM(N93:N118)</f>
        <v>10125.300000000003</v>
      </c>
      <c r="O92" s="514">
        <f>SUM(O93:O118)</f>
        <v>0.99999999999999944</v>
      </c>
      <c r="P92" s="541"/>
      <c r="Q92" s="538"/>
      <c r="R92" s="544"/>
      <c r="S92" s="538"/>
      <c r="T92" s="544"/>
      <c r="U92" s="538"/>
      <c r="V92" s="544"/>
      <c r="W92" s="547"/>
      <c r="Y92" s="557">
        <f t="shared" ref="Y92:AL92" si="220">SUM(Y93:Y118)</f>
        <v>12490</v>
      </c>
      <c r="Z92" s="538">
        <f t="shared" si="220"/>
        <v>1</v>
      </c>
      <c r="AA92" s="544">
        <f t="shared" si="220"/>
        <v>9235</v>
      </c>
      <c r="AB92" s="538">
        <f t="shared" si="220"/>
        <v>1.0000000000000002</v>
      </c>
      <c r="AC92" s="544">
        <f t="shared" si="220"/>
        <v>2647</v>
      </c>
      <c r="AD92" s="538">
        <f t="shared" si="220"/>
        <v>1</v>
      </c>
      <c r="AE92" s="544">
        <f>SUM(AE93:AE118)</f>
        <v>24372</v>
      </c>
      <c r="AF92" s="478">
        <f>SUM(AF93:AF118)</f>
        <v>1</v>
      </c>
      <c r="AG92" s="541">
        <f t="shared" si="220"/>
        <v>246</v>
      </c>
      <c r="AH92" s="538">
        <f t="shared" si="220"/>
        <v>0.99999999999999989</v>
      </c>
      <c r="AI92" s="544">
        <f t="shared" si="220"/>
        <v>2482</v>
      </c>
      <c r="AJ92" s="538">
        <f t="shared" si="220"/>
        <v>1.0000000000000002</v>
      </c>
      <c r="AK92" s="544">
        <f t="shared" si="220"/>
        <v>241</v>
      </c>
      <c r="AL92" s="538">
        <f t="shared" si="220"/>
        <v>1</v>
      </c>
      <c r="AM92" s="544">
        <f t="shared" ref="AM92:BD92" si="221">SUM(AM93:AM118)</f>
        <v>2969</v>
      </c>
      <c r="AN92" s="479">
        <f t="shared" si="221"/>
        <v>1.0000000000000002</v>
      </c>
      <c r="AO92" s="541">
        <f t="shared" si="221"/>
        <v>308358.26</v>
      </c>
      <c r="AP92" s="538">
        <f t="shared" si="221"/>
        <v>1</v>
      </c>
      <c r="AQ92" s="544">
        <f t="shared" si="221"/>
        <v>711653.70000000007</v>
      </c>
      <c r="AR92" s="538">
        <f t="shared" si="221"/>
        <v>1</v>
      </c>
      <c r="AS92" s="544">
        <f t="shared" si="221"/>
        <v>69422.279999999984</v>
      </c>
      <c r="AT92" s="538">
        <f t="shared" si="221"/>
        <v>1.0000000000000002</v>
      </c>
      <c r="AU92" s="544">
        <f t="shared" si="221"/>
        <v>1089434.2399999998</v>
      </c>
      <c r="AV92" s="479">
        <f t="shared" si="221"/>
        <v>1.0000000000000002</v>
      </c>
      <c r="AW92" s="541">
        <f t="shared" si="221"/>
        <v>474438.82000000007</v>
      </c>
      <c r="AX92" s="538">
        <f t="shared" si="221"/>
        <v>0.99999999999999978</v>
      </c>
      <c r="AY92" s="544">
        <f t="shared" si="221"/>
        <v>727535.84000000008</v>
      </c>
      <c r="AZ92" s="538">
        <f t="shared" si="221"/>
        <v>0.99999999999999978</v>
      </c>
      <c r="BA92" s="544">
        <f t="shared" si="221"/>
        <v>12113.939999999999</v>
      </c>
      <c r="BB92" s="538">
        <f t="shared" si="221"/>
        <v>1.0000000000000002</v>
      </c>
      <c r="BC92" s="544">
        <f t="shared" si="221"/>
        <v>1214088.5999999999</v>
      </c>
      <c r="BD92" s="547">
        <f t="shared" si="221"/>
        <v>1</v>
      </c>
      <c r="BE92" s="338"/>
      <c r="BF92" s="338"/>
      <c r="BG92" s="350"/>
    </row>
    <row r="93" spans="1:59" ht="11.25" customHeight="1" x14ac:dyDescent="0.25">
      <c r="A93" s="468">
        <v>11000</v>
      </c>
      <c r="B93" s="469" t="s">
        <v>80</v>
      </c>
      <c r="C93" s="346"/>
      <c r="D93" s="487"/>
      <c r="E93" s="470"/>
      <c r="F93" s="481"/>
      <c r="G93" s="470">
        <v>905012.57000000007</v>
      </c>
      <c r="H93" s="481">
        <f>G93/G$92</f>
        <v>0.25758360645710721</v>
      </c>
      <c r="I93" s="346">
        <v>1260722.3599999999</v>
      </c>
      <c r="J93" s="484">
        <f t="shared" ref="J93:J118" si="222">I93/I$92</f>
        <v>0.28798694600507518</v>
      </c>
      <c r="K93" s="65"/>
      <c r="L93" s="507">
        <v>427.5</v>
      </c>
      <c r="M93" s="505">
        <v>736.8</v>
      </c>
      <c r="N93" s="506">
        <f>L93*2.5+M93*1.5</f>
        <v>2173.9499999999998</v>
      </c>
      <c r="O93" s="481">
        <f t="shared" ref="O93:O118" si="223">N93/N$92</f>
        <v>0.21470474948890395</v>
      </c>
      <c r="P93" s="542"/>
      <c r="Q93" s="539"/>
      <c r="R93" s="545"/>
      <c r="S93" s="539"/>
      <c r="T93" s="545"/>
      <c r="U93" s="539"/>
      <c r="V93" s="550"/>
      <c r="W93" s="548"/>
      <c r="Y93" s="558">
        <v>1587</v>
      </c>
      <c r="Z93" s="539">
        <f t="shared" ref="Z93:Z118" si="224">Y93/Y$92</f>
        <v>0.12706164931945557</v>
      </c>
      <c r="AA93" s="545">
        <v>2586</v>
      </c>
      <c r="AB93" s="539">
        <f t="shared" ref="AB93:AB118" si="225">AA93/AA$92</f>
        <v>0.28002165674066054</v>
      </c>
      <c r="AC93" s="545">
        <v>1077</v>
      </c>
      <c r="AD93" s="539">
        <f t="shared" ref="AD93:AD118" si="226">AC93/AC$92</f>
        <v>0.40687570834907444</v>
      </c>
      <c r="AE93" s="545">
        <f>Y93+AA93+AC93</f>
        <v>5250</v>
      </c>
      <c r="AF93" s="32">
        <f>AE93/AE$92</f>
        <v>0.21541112752338748</v>
      </c>
      <c r="AG93" s="542">
        <v>71</v>
      </c>
      <c r="AH93" s="539">
        <f t="shared" ref="AH93:AH118" si="227">AG93/AG$92</f>
        <v>0.2886178861788618</v>
      </c>
      <c r="AI93" s="545">
        <v>1720</v>
      </c>
      <c r="AJ93" s="539">
        <f>AI93/AI$92</f>
        <v>0.69298952457695406</v>
      </c>
      <c r="AK93" s="545">
        <v>52</v>
      </c>
      <c r="AL93" s="539">
        <f>AK93/AK$92</f>
        <v>0.21576763485477179</v>
      </c>
      <c r="AM93" s="545">
        <f>AG93+AI93+AK93</f>
        <v>1843</v>
      </c>
      <c r="AN93" s="471">
        <f>AM93/AM$92</f>
        <v>0.62074772650724153</v>
      </c>
      <c r="AO93" s="542">
        <v>9669.6</v>
      </c>
      <c r="AP93" s="539">
        <f>AO93/AO$92</f>
        <v>3.1358329755784717E-2</v>
      </c>
      <c r="AQ93" s="545">
        <v>117756.96</v>
      </c>
      <c r="AR93" s="539">
        <f>AQ93/AQ$92</f>
        <v>0.16546946920953265</v>
      </c>
      <c r="AS93" s="545">
        <v>9753.24</v>
      </c>
      <c r="AT93" s="539">
        <f>AS93/AS$92</f>
        <v>0.14049149638991981</v>
      </c>
      <c r="AU93" s="545">
        <f>AO93+AQ93+AS93</f>
        <v>137179.80000000002</v>
      </c>
      <c r="AV93" s="471">
        <f>AU93/AU$92</f>
        <v>0.1259183849407928</v>
      </c>
      <c r="AW93" s="542">
        <v>213228.96</v>
      </c>
      <c r="AX93" s="539">
        <f>AW93/AW$92</f>
        <v>0.44943404926266356</v>
      </c>
      <c r="AY93" s="545">
        <v>155407.20000000001</v>
      </c>
      <c r="AZ93" s="539">
        <f>AY93/AY$92</f>
        <v>0.213607621034862</v>
      </c>
      <c r="BA93" s="545">
        <v>3902.52</v>
      </c>
      <c r="BB93" s="539">
        <f>BA93/BA$92</f>
        <v>0.32215117459719961</v>
      </c>
      <c r="BC93" s="545">
        <f>AW93+AY93+BA93</f>
        <v>372538.68000000005</v>
      </c>
      <c r="BD93" s="548">
        <f>BC93/BC$92</f>
        <v>0.30684637019077526</v>
      </c>
      <c r="BE93" s="338"/>
      <c r="BF93" s="338"/>
      <c r="BG93" s="350"/>
    </row>
    <row r="94" spans="1:59" ht="11.25" customHeight="1" x14ac:dyDescent="0.25">
      <c r="A94" s="455">
        <v>12000</v>
      </c>
      <c r="B94" s="456" t="s">
        <v>81</v>
      </c>
      <c r="C94" s="346"/>
      <c r="D94" s="487"/>
      <c r="E94" s="470"/>
      <c r="F94" s="481"/>
      <c r="G94" s="470">
        <v>113341.5</v>
      </c>
      <c r="H94" s="481">
        <f t="shared" ref="H94:H118" si="228">G94/G$92</f>
        <v>3.225912357356342E-2</v>
      </c>
      <c r="I94" s="346">
        <v>105571.66</v>
      </c>
      <c r="J94" s="484">
        <f t="shared" si="222"/>
        <v>2.4115745792028433E-2</v>
      </c>
      <c r="K94" s="65"/>
      <c r="L94" s="507">
        <v>53.6</v>
      </c>
      <c r="M94" s="505">
        <v>98.1</v>
      </c>
      <c r="N94" s="506">
        <f t="shared" ref="N94:N118" si="229">L94*2.5+M94*1.5</f>
        <v>281.14999999999998</v>
      </c>
      <c r="O94" s="481">
        <f t="shared" si="223"/>
        <v>2.7767078506315851E-2</v>
      </c>
      <c r="P94" s="542"/>
      <c r="Q94" s="539"/>
      <c r="R94" s="545"/>
      <c r="S94" s="539"/>
      <c r="T94" s="545"/>
      <c r="U94" s="539"/>
      <c r="V94" s="550"/>
      <c r="W94" s="548"/>
      <c r="Y94" s="558">
        <v>84</v>
      </c>
      <c r="Z94" s="539">
        <f t="shared" si="224"/>
        <v>6.7253803042433948E-3</v>
      </c>
      <c r="AA94" s="545">
        <v>19</v>
      </c>
      <c r="AB94" s="539">
        <f t="shared" si="225"/>
        <v>2.0573903627504062E-3</v>
      </c>
      <c r="AC94" s="545">
        <v>59</v>
      </c>
      <c r="AD94" s="539">
        <f t="shared" si="226"/>
        <v>2.2289384208537967E-2</v>
      </c>
      <c r="AE94" s="545">
        <f>Y94+AA94+AC94</f>
        <v>162</v>
      </c>
      <c r="AF94" s="32">
        <f t="shared" ref="AF94:AF118" si="230">AE94/AE$92</f>
        <v>6.6469719350073855E-3</v>
      </c>
      <c r="AG94" s="542"/>
      <c r="AH94" s="539">
        <f t="shared" si="227"/>
        <v>0</v>
      </c>
      <c r="AI94" s="545">
        <v>0</v>
      </c>
      <c r="AJ94" s="539">
        <f t="shared" ref="AJ94:AJ118" si="231">AI94/AI$92</f>
        <v>0</v>
      </c>
      <c r="AK94" s="545"/>
      <c r="AL94" s="539">
        <f t="shared" ref="AL94:AL118" si="232">AK94/AK$92</f>
        <v>0</v>
      </c>
      <c r="AM94" s="545">
        <f>AG94+AI94+AK94</f>
        <v>0</v>
      </c>
      <c r="AN94" s="471">
        <f t="shared" ref="AN94:AN118" si="233">AM94/AM$92</f>
        <v>0</v>
      </c>
      <c r="AO94" s="542">
        <v>9707</v>
      </c>
      <c r="AP94" s="539">
        <f t="shared" ref="AP94:AR118" si="234">AO94/AO$92</f>
        <v>3.147961724780779E-2</v>
      </c>
      <c r="AQ94" s="545">
        <v>13608</v>
      </c>
      <c r="AR94" s="539">
        <f t="shared" si="234"/>
        <v>1.9121659874739638E-2</v>
      </c>
      <c r="AS94" s="545">
        <v>2302</v>
      </c>
      <c r="AT94" s="539">
        <f t="shared" ref="AT94" si="235">AS94/AS$92</f>
        <v>3.3159383414085516E-2</v>
      </c>
      <c r="AU94" s="545">
        <f>AO94+AQ94+AS94</f>
        <v>25617</v>
      </c>
      <c r="AV94" s="471">
        <f t="shared" ref="AV94:AV118" si="236">AU94/AU$92</f>
        <v>2.3514039727629641E-2</v>
      </c>
      <c r="AW94" s="542">
        <v>2715</v>
      </c>
      <c r="AX94" s="539">
        <f t="shared" ref="AX94" si="237">AW94/AW$92</f>
        <v>5.7225502752915533E-3</v>
      </c>
      <c r="AY94" s="545">
        <v>917</v>
      </c>
      <c r="AZ94" s="539">
        <f t="shared" ref="AZ94" si="238">AY94/AY$92</f>
        <v>1.2604190056121495E-3</v>
      </c>
      <c r="BA94" s="545">
        <v>151</v>
      </c>
      <c r="BB94" s="539">
        <f t="shared" ref="BB94" si="239">BA94/BA$92</f>
        <v>1.2464978363769344E-2</v>
      </c>
      <c r="BC94" s="545">
        <f>AW94+AY94+BA94</f>
        <v>3783</v>
      </c>
      <c r="BD94" s="548">
        <f t="shared" ref="BD94:BD118" si="240">BC94/BC$92</f>
        <v>3.1159175697720912E-3</v>
      </c>
      <c r="BE94" s="338"/>
      <c r="BF94" s="338"/>
      <c r="BG94" s="350"/>
    </row>
    <row r="95" spans="1:59" ht="11.25" customHeight="1" x14ac:dyDescent="0.25">
      <c r="A95" s="455">
        <v>13000</v>
      </c>
      <c r="B95" s="456" t="s">
        <v>82</v>
      </c>
      <c r="C95" s="346"/>
      <c r="D95" s="487"/>
      <c r="E95" s="470"/>
      <c r="F95" s="481"/>
      <c r="G95" s="470">
        <v>26175.600000000002</v>
      </c>
      <c r="H95" s="481">
        <f t="shared" si="228"/>
        <v>7.4500682893041542E-3</v>
      </c>
      <c r="I95" s="346">
        <v>52628.049999999996</v>
      </c>
      <c r="J95" s="484">
        <f t="shared" si="222"/>
        <v>1.2021831193429771E-2</v>
      </c>
      <c r="K95" s="65"/>
      <c r="L95" s="507">
        <v>39.799999999999997</v>
      </c>
      <c r="M95" s="505">
        <v>81.2</v>
      </c>
      <c r="N95" s="506">
        <f t="shared" si="229"/>
        <v>221.3</v>
      </c>
      <c r="O95" s="481">
        <f t="shared" si="223"/>
        <v>2.185614253404837E-2</v>
      </c>
      <c r="P95" s="542"/>
      <c r="Q95" s="539"/>
      <c r="R95" s="545"/>
      <c r="S95" s="539"/>
      <c r="T95" s="545"/>
      <c r="U95" s="539"/>
      <c r="V95" s="550"/>
      <c r="W95" s="548"/>
      <c r="Y95" s="558">
        <v>164</v>
      </c>
      <c r="Z95" s="539">
        <f t="shared" si="224"/>
        <v>1.3130504403522819E-2</v>
      </c>
      <c r="AA95" s="545">
        <v>24</v>
      </c>
      <c r="AB95" s="539">
        <f t="shared" si="225"/>
        <v>2.5988088792636707E-3</v>
      </c>
      <c r="AC95" s="545">
        <v>2</v>
      </c>
      <c r="AD95" s="539">
        <f t="shared" si="226"/>
        <v>7.5557234605213447E-4</v>
      </c>
      <c r="AE95" s="545">
        <f t="shared" ref="AE95:AE118" si="241">Y95+AA95+AC95</f>
        <v>190</v>
      </c>
      <c r="AF95" s="32">
        <f t="shared" si="230"/>
        <v>7.7958312817987853E-3</v>
      </c>
      <c r="AG95" s="542"/>
      <c r="AH95" s="539">
        <f t="shared" si="227"/>
        <v>0</v>
      </c>
      <c r="AI95" s="545">
        <v>9</v>
      </c>
      <c r="AJ95" s="539">
        <f t="shared" si="231"/>
        <v>3.6261079774375505E-3</v>
      </c>
      <c r="AK95" s="545"/>
      <c r="AL95" s="539">
        <f t="shared" si="232"/>
        <v>0</v>
      </c>
      <c r="AM95" s="545">
        <f t="shared" ref="AM95:AM118" si="242">AG95+AI95+AK95</f>
        <v>9</v>
      </c>
      <c r="AN95" s="471">
        <f t="shared" si="233"/>
        <v>3.0313236780060626E-3</v>
      </c>
      <c r="AO95" s="542">
        <v>23427.360000000001</v>
      </c>
      <c r="AP95" s="539">
        <f>AO95/AO$92</f>
        <v>7.5974485003255626E-2</v>
      </c>
      <c r="AQ95" s="545">
        <v>23478.36</v>
      </c>
      <c r="AR95" s="539">
        <f>AQ95/AQ$92</f>
        <v>3.2991270894818646E-2</v>
      </c>
      <c r="AS95" s="545">
        <v>0</v>
      </c>
      <c r="AT95" s="539">
        <f>AS95/AS$92</f>
        <v>0</v>
      </c>
      <c r="AU95" s="545">
        <f t="shared" ref="AU95:AU118" si="243">AO95+AQ95+AS95</f>
        <v>46905.72</v>
      </c>
      <c r="AV95" s="471">
        <f t="shared" si="236"/>
        <v>4.3055118223565302E-2</v>
      </c>
      <c r="AW95" s="542">
        <v>10296.9</v>
      </c>
      <c r="AX95" s="539">
        <f>AW95/AW$92</f>
        <v>2.1703325204290826E-2</v>
      </c>
      <c r="AY95" s="545">
        <v>141.78</v>
      </c>
      <c r="AZ95" s="539">
        <f>AY95/AY$92</f>
        <v>1.9487699739988065E-4</v>
      </c>
      <c r="BA95" s="545">
        <v>0</v>
      </c>
      <c r="BB95" s="539">
        <f>BA95/BA$92</f>
        <v>0</v>
      </c>
      <c r="BC95" s="545">
        <f t="shared" ref="BC95:BC118" si="244">AW95+AY95+BA95</f>
        <v>10438.68</v>
      </c>
      <c r="BD95" s="548">
        <f t="shared" si="240"/>
        <v>8.5979557010913386E-3</v>
      </c>
      <c r="BE95" s="338"/>
      <c r="BF95" s="338"/>
      <c r="BG95" s="350"/>
    </row>
    <row r="96" spans="1:59" ht="11.25" customHeight="1" x14ac:dyDescent="0.25">
      <c r="A96" s="455">
        <v>14000</v>
      </c>
      <c r="B96" s="456" t="s">
        <v>83</v>
      </c>
      <c r="C96" s="346"/>
      <c r="D96" s="487"/>
      <c r="E96" s="470"/>
      <c r="F96" s="481"/>
      <c r="G96" s="470">
        <v>377344.56</v>
      </c>
      <c r="H96" s="481">
        <f t="shared" si="228"/>
        <v>0.10739936202407695</v>
      </c>
      <c r="I96" s="346">
        <v>407301.75000000006</v>
      </c>
      <c r="J96" s="484">
        <f t="shared" si="222"/>
        <v>9.3039983113349919E-2</v>
      </c>
      <c r="K96" s="65"/>
      <c r="L96" s="507">
        <v>195.7</v>
      </c>
      <c r="M96" s="505">
        <v>309.10000000000002</v>
      </c>
      <c r="N96" s="506">
        <f t="shared" si="229"/>
        <v>952.90000000000009</v>
      </c>
      <c r="O96" s="481">
        <f t="shared" si="223"/>
        <v>9.4110791779008995E-2</v>
      </c>
      <c r="P96" s="542"/>
      <c r="Q96" s="539"/>
      <c r="R96" s="545"/>
      <c r="S96" s="539"/>
      <c r="T96" s="545"/>
      <c r="U96" s="539"/>
      <c r="V96" s="550"/>
      <c r="W96" s="548"/>
      <c r="Y96" s="558">
        <v>2339</v>
      </c>
      <c r="Z96" s="539">
        <f>Y96/Y$92</f>
        <v>0.18726981585268215</v>
      </c>
      <c r="AA96" s="545">
        <v>2102</v>
      </c>
      <c r="AB96" s="539">
        <f t="shared" si="225"/>
        <v>0.2276123443421765</v>
      </c>
      <c r="AC96" s="545">
        <v>373</v>
      </c>
      <c r="AD96" s="539">
        <f t="shared" si="226"/>
        <v>0.14091424253872309</v>
      </c>
      <c r="AE96" s="545">
        <f t="shared" si="241"/>
        <v>4814</v>
      </c>
      <c r="AF96" s="32">
        <f t="shared" si="230"/>
        <v>0.19752174626620711</v>
      </c>
      <c r="AG96" s="542"/>
      <c r="AH96" s="539">
        <f t="shared" si="227"/>
        <v>0</v>
      </c>
      <c r="AI96" s="545">
        <v>359</v>
      </c>
      <c r="AJ96" s="539">
        <f t="shared" si="231"/>
        <v>0.14464141821112006</v>
      </c>
      <c r="AK96" s="545">
        <v>7</v>
      </c>
      <c r="AL96" s="539">
        <f t="shared" si="232"/>
        <v>2.9045643153526972E-2</v>
      </c>
      <c r="AM96" s="545">
        <f t="shared" si="242"/>
        <v>366</v>
      </c>
      <c r="AN96" s="471">
        <f t="shared" si="233"/>
        <v>0.12327382957224654</v>
      </c>
      <c r="AO96" s="542">
        <v>59894.459999999992</v>
      </c>
      <c r="AP96" s="539">
        <f t="shared" si="234"/>
        <v>0.19423659998600326</v>
      </c>
      <c r="AQ96" s="545">
        <v>138562.44</v>
      </c>
      <c r="AR96" s="539">
        <f t="shared" si="234"/>
        <v>0.19470486839315243</v>
      </c>
      <c r="AS96" s="545">
        <v>20263.5</v>
      </c>
      <c r="AT96" s="539">
        <f t="shared" ref="AT96" si="245">AS96/AS$92</f>
        <v>0.29188756116912329</v>
      </c>
      <c r="AU96" s="545">
        <f t="shared" si="243"/>
        <v>218720.4</v>
      </c>
      <c r="AV96" s="471">
        <f t="shared" si="236"/>
        <v>0.20076512373982303</v>
      </c>
      <c r="AW96" s="542">
        <v>5053.62</v>
      </c>
      <c r="AX96" s="539">
        <f t="shared" ref="AX96" si="246">AW96/AW$92</f>
        <v>1.0651784354408434E-2</v>
      </c>
      <c r="AY96" s="545">
        <v>200803.02</v>
      </c>
      <c r="AZ96" s="539">
        <f t="shared" ref="AZ96" si="247">AY96/AY$92</f>
        <v>0.27600429966446732</v>
      </c>
      <c r="BA96" s="545">
        <v>402.41999999999996</v>
      </c>
      <c r="BB96" s="539">
        <f t="shared" ref="BB96" si="248">BA96/BA$92</f>
        <v>3.3219580087073243E-2</v>
      </c>
      <c r="BC96" s="545">
        <f t="shared" si="244"/>
        <v>206259.06</v>
      </c>
      <c r="BD96" s="548">
        <f t="shared" si="240"/>
        <v>0.16988798016882789</v>
      </c>
      <c r="BE96" s="338"/>
      <c r="BF96" s="338"/>
      <c r="BG96" s="350"/>
    </row>
    <row r="97" spans="1:59" ht="11.25" customHeight="1" x14ac:dyDescent="0.25">
      <c r="A97" s="455">
        <v>15000</v>
      </c>
      <c r="B97" s="456" t="s">
        <v>84</v>
      </c>
      <c r="C97" s="346"/>
      <c r="D97" s="487"/>
      <c r="E97" s="470"/>
      <c r="F97" s="481"/>
      <c r="G97" s="470">
        <v>230900.62</v>
      </c>
      <c r="H97" s="481">
        <f t="shared" si="228"/>
        <v>6.571866115934949E-2</v>
      </c>
      <c r="I97" s="346">
        <v>176489.46</v>
      </c>
      <c r="J97" s="484">
        <f t="shared" si="222"/>
        <v>4.0315506569967456E-2</v>
      </c>
      <c r="K97" s="65"/>
      <c r="L97" s="507">
        <v>140.30000000000001</v>
      </c>
      <c r="M97" s="505">
        <v>229.2</v>
      </c>
      <c r="N97" s="506">
        <f t="shared" si="229"/>
        <v>694.55</v>
      </c>
      <c r="O97" s="481">
        <f t="shared" si="223"/>
        <v>6.8595498404985508E-2</v>
      </c>
      <c r="P97" s="542"/>
      <c r="Q97" s="539"/>
      <c r="R97" s="545"/>
      <c r="S97" s="539"/>
      <c r="T97" s="545"/>
      <c r="U97" s="539"/>
      <c r="V97" s="550"/>
      <c r="W97" s="548"/>
      <c r="Y97" s="558">
        <v>430</v>
      </c>
      <c r="Z97" s="539">
        <f t="shared" si="224"/>
        <v>3.4427542033626898E-2</v>
      </c>
      <c r="AA97" s="545">
        <v>599</v>
      </c>
      <c r="AB97" s="539">
        <f t="shared" si="225"/>
        <v>6.4861938278289122E-2</v>
      </c>
      <c r="AC97" s="545">
        <v>165</v>
      </c>
      <c r="AD97" s="539">
        <f t="shared" si="226"/>
        <v>6.2334718549301095E-2</v>
      </c>
      <c r="AE97" s="545">
        <f t="shared" si="241"/>
        <v>1194</v>
      </c>
      <c r="AF97" s="32">
        <f t="shared" si="230"/>
        <v>4.8990645002461843E-2</v>
      </c>
      <c r="AG97" s="542"/>
      <c r="AH97" s="539">
        <f t="shared" si="227"/>
        <v>0</v>
      </c>
      <c r="AI97" s="545">
        <v>220</v>
      </c>
      <c r="AJ97" s="539">
        <f t="shared" si="231"/>
        <v>8.8638195004029002E-2</v>
      </c>
      <c r="AK97" s="545">
        <v>3</v>
      </c>
      <c r="AL97" s="539">
        <f t="shared" si="232"/>
        <v>1.2448132780082987E-2</v>
      </c>
      <c r="AM97" s="545">
        <f t="shared" si="242"/>
        <v>223</v>
      </c>
      <c r="AN97" s="471">
        <f t="shared" si="233"/>
        <v>7.5109464466150216E-2</v>
      </c>
      <c r="AO97" s="542">
        <v>34071.06</v>
      </c>
      <c r="AP97" s="539">
        <f t="shared" si="234"/>
        <v>0.11049180261945958</v>
      </c>
      <c r="AQ97" s="545">
        <v>45235.98</v>
      </c>
      <c r="AR97" s="539">
        <f t="shared" si="234"/>
        <v>6.3564596094982717E-2</v>
      </c>
      <c r="AS97" s="545">
        <v>3505.7400000000002</v>
      </c>
      <c r="AT97" s="539">
        <f t="shared" ref="AT97" si="249">AS97/AS$92</f>
        <v>5.0498773592570011E-2</v>
      </c>
      <c r="AU97" s="545">
        <f t="shared" si="243"/>
        <v>82812.780000000013</v>
      </c>
      <c r="AV97" s="471">
        <f t="shared" si="236"/>
        <v>7.6014482526269814E-2</v>
      </c>
      <c r="AW97" s="542">
        <v>27221.760000000002</v>
      </c>
      <c r="AX97" s="539">
        <f t="shared" ref="AX97" si="250">AW97/AW$92</f>
        <v>5.7376755131462467E-2</v>
      </c>
      <c r="AY97" s="545">
        <v>15527.460000000001</v>
      </c>
      <c r="AZ97" s="539">
        <f t="shared" ref="AZ97" si="251">AY97/AY$92</f>
        <v>2.1342536197254555E-2</v>
      </c>
      <c r="BA97" s="545">
        <v>282.54000000000002</v>
      </c>
      <c r="BB97" s="539">
        <f t="shared" ref="BB97" si="252">BA97/BA$92</f>
        <v>2.3323542959598615E-2</v>
      </c>
      <c r="BC97" s="545">
        <f t="shared" si="244"/>
        <v>43031.76</v>
      </c>
      <c r="BD97" s="548">
        <f t="shared" si="240"/>
        <v>3.5443673550678269E-2</v>
      </c>
      <c r="BE97" s="338"/>
      <c r="BF97" s="338"/>
      <c r="BG97" s="350"/>
    </row>
    <row r="98" spans="1:59" ht="11.25" customHeight="1" x14ac:dyDescent="0.25">
      <c r="A98" s="455">
        <v>16000</v>
      </c>
      <c r="B98" s="456" t="s">
        <v>85</v>
      </c>
      <c r="C98" s="346"/>
      <c r="D98" s="487"/>
      <c r="E98" s="470"/>
      <c r="F98" s="481"/>
      <c r="G98" s="470">
        <v>30875.119999999999</v>
      </c>
      <c r="H98" s="481">
        <f t="shared" si="228"/>
        <v>8.7876401091268371E-3</v>
      </c>
      <c r="I98" s="346">
        <v>86365</v>
      </c>
      <c r="J98" s="484">
        <f t="shared" si="222"/>
        <v>1.9728366356354877E-2</v>
      </c>
      <c r="K98" s="65"/>
      <c r="L98" s="507">
        <v>34.200000000000003</v>
      </c>
      <c r="M98" s="505">
        <v>39.1</v>
      </c>
      <c r="N98" s="506">
        <f t="shared" si="229"/>
        <v>144.15</v>
      </c>
      <c r="O98" s="481">
        <f t="shared" si="223"/>
        <v>1.4236615211401141E-2</v>
      </c>
      <c r="P98" s="542"/>
      <c r="Q98" s="539"/>
      <c r="R98" s="545"/>
      <c r="S98" s="539"/>
      <c r="T98" s="545"/>
      <c r="U98" s="539"/>
      <c r="V98" s="550"/>
      <c r="W98" s="548"/>
      <c r="Y98" s="558">
        <v>9</v>
      </c>
      <c r="Z98" s="539">
        <f t="shared" si="224"/>
        <v>7.2057646116893519E-4</v>
      </c>
      <c r="AA98" s="545">
        <v>332</v>
      </c>
      <c r="AB98" s="539">
        <f t="shared" si="225"/>
        <v>3.5950189496480781E-2</v>
      </c>
      <c r="AC98" s="545">
        <v>37</v>
      </c>
      <c r="AD98" s="539">
        <f t="shared" si="226"/>
        <v>1.3978088401964487E-2</v>
      </c>
      <c r="AE98" s="545">
        <f t="shared" si="241"/>
        <v>378</v>
      </c>
      <c r="AF98" s="32">
        <f t="shared" si="230"/>
        <v>1.55096011816839E-2</v>
      </c>
      <c r="AG98" s="542"/>
      <c r="AH98" s="539">
        <f t="shared" si="227"/>
        <v>0</v>
      </c>
      <c r="AI98" s="545">
        <v>103</v>
      </c>
      <c r="AJ98" s="539">
        <f t="shared" si="231"/>
        <v>4.1498791297340853E-2</v>
      </c>
      <c r="AK98" s="545"/>
      <c r="AL98" s="539">
        <f t="shared" si="232"/>
        <v>0</v>
      </c>
      <c r="AM98" s="545">
        <f t="shared" si="242"/>
        <v>103</v>
      </c>
      <c r="AN98" s="471">
        <f t="shared" si="233"/>
        <v>3.4691815426069382E-2</v>
      </c>
      <c r="AO98" s="542">
        <v>0</v>
      </c>
      <c r="AP98" s="539">
        <f t="shared" si="234"/>
        <v>0</v>
      </c>
      <c r="AQ98" s="545">
        <v>6367.86</v>
      </c>
      <c r="AR98" s="539">
        <f t="shared" si="234"/>
        <v>8.9479756797442335E-3</v>
      </c>
      <c r="AS98" s="545">
        <v>647.70000000000005</v>
      </c>
      <c r="AT98" s="539">
        <f t="shared" ref="AT98" si="253">AS98/AS$92</f>
        <v>9.329857792051777E-3</v>
      </c>
      <c r="AU98" s="545">
        <f t="shared" si="243"/>
        <v>7015.5599999999995</v>
      </c>
      <c r="AV98" s="471">
        <f t="shared" si="236"/>
        <v>6.4396360444848892E-3</v>
      </c>
      <c r="AW98" s="542">
        <v>0</v>
      </c>
      <c r="AX98" s="539">
        <f t="shared" ref="AX98" si="254">AW98/AW$92</f>
        <v>0</v>
      </c>
      <c r="AY98" s="545">
        <v>1889.04</v>
      </c>
      <c r="AZ98" s="539">
        <f t="shared" ref="AZ98" si="255">AY98/AY$92</f>
        <v>2.5964906416156759E-3</v>
      </c>
      <c r="BA98" s="545">
        <v>31.62</v>
      </c>
      <c r="BB98" s="539">
        <f t="shared" ref="BB98" si="256">BA98/BA$92</f>
        <v>2.6102159990886538E-3</v>
      </c>
      <c r="BC98" s="545">
        <f t="shared" si="244"/>
        <v>1920.6599999999999</v>
      </c>
      <c r="BD98" s="548">
        <f t="shared" si="240"/>
        <v>1.5819768013635908E-3</v>
      </c>
      <c r="BE98" s="338"/>
      <c r="BF98" s="338"/>
      <c r="BG98" s="350"/>
    </row>
    <row r="99" spans="1:59" ht="11.25" customHeight="1" x14ac:dyDescent="0.25">
      <c r="A99" s="455">
        <v>17000</v>
      </c>
      <c r="B99" s="456" t="s">
        <v>86</v>
      </c>
      <c r="C99" s="346"/>
      <c r="D99" s="487"/>
      <c r="E99" s="470"/>
      <c r="F99" s="481"/>
      <c r="G99" s="470">
        <v>42807.72</v>
      </c>
      <c r="H99" s="481">
        <f t="shared" si="228"/>
        <v>1.2183882597129051E-2</v>
      </c>
      <c r="I99" s="346">
        <v>57155.9</v>
      </c>
      <c r="J99" s="484">
        <f t="shared" si="222"/>
        <v>1.3056128462075883E-2</v>
      </c>
      <c r="K99" s="65"/>
      <c r="L99" s="507">
        <v>32.5</v>
      </c>
      <c r="M99" s="505">
        <v>90.2</v>
      </c>
      <c r="N99" s="506">
        <f t="shared" si="229"/>
        <v>216.55</v>
      </c>
      <c r="O99" s="481">
        <f t="shared" si="223"/>
        <v>2.1387020631487456E-2</v>
      </c>
      <c r="P99" s="542"/>
      <c r="Q99" s="539"/>
      <c r="R99" s="545"/>
      <c r="S99" s="539"/>
      <c r="T99" s="545"/>
      <c r="U99" s="539"/>
      <c r="V99" s="550"/>
      <c r="W99" s="548"/>
      <c r="Y99" s="558">
        <v>132</v>
      </c>
      <c r="Z99" s="539">
        <f t="shared" si="224"/>
        <v>1.0568454763811049E-2</v>
      </c>
      <c r="AA99" s="545">
        <v>90</v>
      </c>
      <c r="AB99" s="539">
        <f>AA99/AA$92</f>
        <v>9.7455332972387655E-3</v>
      </c>
      <c r="AC99" s="545">
        <v>25</v>
      </c>
      <c r="AD99" s="539">
        <f t="shared" si="226"/>
        <v>9.4446543256516812E-3</v>
      </c>
      <c r="AE99" s="545">
        <f t="shared" si="241"/>
        <v>247</v>
      </c>
      <c r="AF99" s="32">
        <f t="shared" si="230"/>
        <v>1.0134580666338421E-2</v>
      </c>
      <c r="AG99" s="542">
        <v>46</v>
      </c>
      <c r="AH99" s="539">
        <f t="shared" si="227"/>
        <v>0.18699186991869918</v>
      </c>
      <c r="AI99" s="545">
        <v>0</v>
      </c>
      <c r="AJ99" s="539">
        <f t="shared" si="231"/>
        <v>0</v>
      </c>
      <c r="AK99" s="545"/>
      <c r="AL99" s="539">
        <f t="shared" si="232"/>
        <v>0</v>
      </c>
      <c r="AM99" s="545">
        <f t="shared" si="242"/>
        <v>46</v>
      </c>
      <c r="AN99" s="471">
        <f t="shared" si="233"/>
        <v>1.5493432132030987E-2</v>
      </c>
      <c r="AO99" s="542">
        <v>3396.6</v>
      </c>
      <c r="AP99" s="539">
        <f t="shared" si="234"/>
        <v>1.1015109502823112E-2</v>
      </c>
      <c r="AQ99" s="545">
        <v>9658.380000000001</v>
      </c>
      <c r="AR99" s="539">
        <f t="shared" si="234"/>
        <v>1.3571741424234849E-2</v>
      </c>
      <c r="AS99" s="545">
        <v>0</v>
      </c>
      <c r="AT99" s="539">
        <f t="shared" ref="AT99" si="257">AS99/AS$92</f>
        <v>0</v>
      </c>
      <c r="AU99" s="545">
        <f t="shared" si="243"/>
        <v>13054.980000000001</v>
      </c>
      <c r="AV99" s="471">
        <f t="shared" si="236"/>
        <v>1.1983265736167797E-2</v>
      </c>
      <c r="AW99" s="542">
        <v>29411.7</v>
      </c>
      <c r="AX99" s="539">
        <f t="shared" ref="AX99" si="258">AW99/AW$92</f>
        <v>6.1992608446332441E-2</v>
      </c>
      <c r="AY99" s="545">
        <v>1837.02</v>
      </c>
      <c r="AZ99" s="539">
        <f t="shared" ref="AZ99" si="259">AY99/AY$92</f>
        <v>2.5249890094761513E-3</v>
      </c>
      <c r="BA99" s="545">
        <v>0</v>
      </c>
      <c r="BB99" s="539">
        <f t="shared" ref="BB99" si="260">BA99/BA$92</f>
        <v>0</v>
      </c>
      <c r="BC99" s="545">
        <f t="shared" si="244"/>
        <v>31248.720000000001</v>
      </c>
      <c r="BD99" s="548">
        <f t="shared" si="240"/>
        <v>2.5738418102270299E-2</v>
      </c>
      <c r="BE99" s="338"/>
      <c r="BF99" s="338"/>
      <c r="BG99" s="350"/>
    </row>
    <row r="100" spans="1:59" ht="11.25" customHeight="1" x14ac:dyDescent="0.25">
      <c r="A100" s="455">
        <v>18000</v>
      </c>
      <c r="B100" s="456" t="s">
        <v>87</v>
      </c>
      <c r="C100" s="346"/>
      <c r="D100" s="487"/>
      <c r="E100" s="470"/>
      <c r="F100" s="481"/>
      <c r="G100" s="470">
        <v>8380</v>
      </c>
      <c r="H100" s="481">
        <f t="shared" si="228"/>
        <v>2.3851056810299978E-3</v>
      </c>
      <c r="I100" s="346">
        <v>42273.729999999996</v>
      </c>
      <c r="J100" s="484">
        <f t="shared" si="222"/>
        <v>9.6565927480996901E-3</v>
      </c>
      <c r="K100" s="65"/>
      <c r="L100" s="507">
        <v>31.9</v>
      </c>
      <c r="M100" s="505">
        <v>66.099999999999994</v>
      </c>
      <c r="N100" s="506">
        <f t="shared" si="229"/>
        <v>178.89999999999998</v>
      </c>
      <c r="O100" s="481">
        <f t="shared" si="223"/>
        <v>1.7668612288030964E-2</v>
      </c>
      <c r="P100" s="542"/>
      <c r="Q100" s="539"/>
      <c r="R100" s="545"/>
      <c r="S100" s="539"/>
      <c r="T100" s="545"/>
      <c r="U100" s="539"/>
      <c r="V100" s="550"/>
      <c r="W100" s="548"/>
      <c r="Y100" s="558">
        <v>62</v>
      </c>
      <c r="Z100" s="539">
        <f t="shared" si="224"/>
        <v>4.9639711769415536E-3</v>
      </c>
      <c r="AA100" s="545">
        <v>11</v>
      </c>
      <c r="AB100" s="539">
        <f t="shared" si="225"/>
        <v>1.1911207363291825E-3</v>
      </c>
      <c r="AC100" s="545">
        <v>10</v>
      </c>
      <c r="AD100" s="539">
        <f t="shared" si="226"/>
        <v>3.7778617302606727E-3</v>
      </c>
      <c r="AE100" s="545">
        <f t="shared" si="241"/>
        <v>83</v>
      </c>
      <c r="AF100" s="32">
        <f t="shared" si="230"/>
        <v>3.4055473494173641E-3</v>
      </c>
      <c r="AG100" s="542">
        <v>23</v>
      </c>
      <c r="AH100" s="539">
        <f t="shared" si="227"/>
        <v>9.3495934959349589E-2</v>
      </c>
      <c r="AI100" s="545">
        <v>4</v>
      </c>
      <c r="AJ100" s="539">
        <f t="shared" si="231"/>
        <v>1.6116035455278001E-3</v>
      </c>
      <c r="AK100" s="545">
        <v>3</v>
      </c>
      <c r="AL100" s="539">
        <f t="shared" si="232"/>
        <v>1.2448132780082987E-2</v>
      </c>
      <c r="AM100" s="545">
        <f t="shared" si="242"/>
        <v>30</v>
      </c>
      <c r="AN100" s="471">
        <f t="shared" si="233"/>
        <v>1.0104412260020209E-2</v>
      </c>
      <c r="AO100" s="542">
        <v>16871.82</v>
      </c>
      <c r="AP100" s="539">
        <f t="shared" si="234"/>
        <v>5.4714992878737864E-2</v>
      </c>
      <c r="AQ100" s="545">
        <v>12807.12</v>
      </c>
      <c r="AR100" s="539">
        <f t="shared" si="234"/>
        <v>1.7996281056362102E-2</v>
      </c>
      <c r="AS100" s="545">
        <v>0</v>
      </c>
      <c r="AT100" s="539">
        <f t="shared" ref="AT100" si="261">AS100/AS$92</f>
        <v>0</v>
      </c>
      <c r="AU100" s="545">
        <f t="shared" si="243"/>
        <v>29678.940000000002</v>
      </c>
      <c r="AV100" s="471">
        <f t="shared" si="236"/>
        <v>2.7242525441462176E-2</v>
      </c>
      <c r="AW100" s="542">
        <v>389.64</v>
      </c>
      <c r="AX100" s="539">
        <f t="shared" ref="AX100" si="262">AW100/AW$92</f>
        <v>8.2126500525399652E-4</v>
      </c>
      <c r="AY100" s="545">
        <v>12154.32</v>
      </c>
      <c r="AZ100" s="539">
        <f t="shared" ref="AZ100" si="263">AY100/AY$92</f>
        <v>1.6706146050481853E-2</v>
      </c>
      <c r="BA100" s="545">
        <v>0</v>
      </c>
      <c r="BB100" s="539">
        <f t="shared" ref="BB100" si="264">BA100/BA$92</f>
        <v>0</v>
      </c>
      <c r="BC100" s="545">
        <f t="shared" si="244"/>
        <v>12543.96</v>
      </c>
      <c r="BD100" s="548">
        <f t="shared" si="240"/>
        <v>1.0331997187025726E-2</v>
      </c>
      <c r="BE100" s="338"/>
      <c r="BF100" s="338"/>
      <c r="BG100" s="350"/>
    </row>
    <row r="101" spans="1:59" ht="11.25" customHeight="1" x14ac:dyDescent="0.25">
      <c r="A101" s="455">
        <v>19000</v>
      </c>
      <c r="B101" s="456" t="s">
        <v>88</v>
      </c>
      <c r="C101" s="346"/>
      <c r="D101" s="487"/>
      <c r="E101" s="470"/>
      <c r="F101" s="481"/>
      <c r="G101" s="470">
        <v>9520</v>
      </c>
      <c r="H101" s="481">
        <f t="shared" si="228"/>
        <v>2.7095711316713102E-3</v>
      </c>
      <c r="I101" s="346">
        <v>49606.67</v>
      </c>
      <c r="J101" s="484">
        <f t="shared" si="222"/>
        <v>1.1331657030959286E-2</v>
      </c>
      <c r="K101" s="65"/>
      <c r="L101" s="507">
        <v>18.100000000000001</v>
      </c>
      <c r="M101" s="505">
        <v>41.4</v>
      </c>
      <c r="N101" s="506">
        <f t="shared" si="229"/>
        <v>107.35</v>
      </c>
      <c r="O101" s="481">
        <f t="shared" si="223"/>
        <v>1.0602154997876603E-2</v>
      </c>
      <c r="P101" s="542"/>
      <c r="Q101" s="539"/>
      <c r="R101" s="545"/>
      <c r="S101" s="539"/>
      <c r="T101" s="545"/>
      <c r="U101" s="539"/>
      <c r="V101" s="550"/>
      <c r="W101" s="548"/>
      <c r="Y101" s="558">
        <v>325</v>
      </c>
      <c r="Z101" s="539">
        <f t="shared" si="224"/>
        <v>2.6020816653322659E-2</v>
      </c>
      <c r="AA101" s="545">
        <v>108</v>
      </c>
      <c r="AB101" s="539">
        <f t="shared" si="225"/>
        <v>1.1694639956686518E-2</v>
      </c>
      <c r="AC101" s="545">
        <v>25</v>
      </c>
      <c r="AD101" s="539">
        <f t="shared" si="226"/>
        <v>9.4446543256516812E-3</v>
      </c>
      <c r="AE101" s="545">
        <f t="shared" si="241"/>
        <v>458</v>
      </c>
      <c r="AF101" s="32">
        <f t="shared" si="230"/>
        <v>1.8792056458230757E-2</v>
      </c>
      <c r="AG101" s="542"/>
      <c r="AH101" s="539">
        <f t="shared" si="227"/>
        <v>0</v>
      </c>
      <c r="AI101" s="545">
        <v>0</v>
      </c>
      <c r="AJ101" s="539">
        <f t="shared" si="231"/>
        <v>0</v>
      </c>
      <c r="AK101" s="545"/>
      <c r="AL101" s="539">
        <f t="shared" si="232"/>
        <v>0</v>
      </c>
      <c r="AM101" s="545">
        <f t="shared" si="242"/>
        <v>0</v>
      </c>
      <c r="AN101" s="471">
        <f t="shared" si="233"/>
        <v>0</v>
      </c>
      <c r="AO101" s="542">
        <v>8592.48</v>
      </c>
      <c r="AP101" s="539">
        <f t="shared" si="234"/>
        <v>2.7865249985520087E-2</v>
      </c>
      <c r="AQ101" s="545">
        <v>6363.78</v>
      </c>
      <c r="AR101" s="539">
        <f t="shared" si="234"/>
        <v>8.942242554208597E-3</v>
      </c>
      <c r="AS101" s="545">
        <v>476.34000000000003</v>
      </c>
      <c r="AT101" s="539">
        <f t="shared" ref="AT101" si="265">AS101/AS$92</f>
        <v>6.8614859667530384E-3</v>
      </c>
      <c r="AU101" s="545">
        <f t="shared" si="243"/>
        <v>15432.599999999999</v>
      </c>
      <c r="AV101" s="471">
        <f t="shared" si="236"/>
        <v>1.4165701272616512E-2</v>
      </c>
      <c r="AW101" s="542">
        <v>8321.16</v>
      </c>
      <c r="AX101" s="539">
        <f t="shared" ref="AX101" si="266">AW101/AW$92</f>
        <v>1.7538952651471477E-2</v>
      </c>
      <c r="AY101" s="545">
        <v>274.38</v>
      </c>
      <c r="AZ101" s="539">
        <f t="shared" ref="AZ101" si="267">AY101/AY$92</f>
        <v>3.771360597163158E-4</v>
      </c>
      <c r="BA101" s="545">
        <v>0</v>
      </c>
      <c r="BB101" s="539">
        <f t="shared" ref="BB101" si="268">BA101/BA$92</f>
        <v>0</v>
      </c>
      <c r="BC101" s="545">
        <f t="shared" si="244"/>
        <v>8595.5399999999991</v>
      </c>
      <c r="BD101" s="548">
        <f t="shared" si="240"/>
        <v>7.0798292645199044E-3</v>
      </c>
      <c r="BE101" s="338"/>
      <c r="BF101" s="338"/>
      <c r="BG101" s="350"/>
    </row>
    <row r="102" spans="1:59" ht="11.25" customHeight="1" x14ac:dyDescent="0.25">
      <c r="A102" s="455">
        <v>21000</v>
      </c>
      <c r="B102" s="456" t="s">
        <v>89</v>
      </c>
      <c r="C102" s="346"/>
      <c r="D102" s="487"/>
      <c r="E102" s="470"/>
      <c r="F102" s="481"/>
      <c r="G102" s="470">
        <v>508877</v>
      </c>
      <c r="H102" s="481">
        <f t="shared" si="228"/>
        <v>0.14483596940877114</v>
      </c>
      <c r="I102" s="346">
        <v>574651.62</v>
      </c>
      <c r="J102" s="484">
        <f t="shared" si="222"/>
        <v>0.13126773214418835</v>
      </c>
      <c r="K102" s="65"/>
      <c r="L102" s="507">
        <v>185.2</v>
      </c>
      <c r="M102" s="505">
        <v>329.9</v>
      </c>
      <c r="N102" s="506">
        <f t="shared" si="229"/>
        <v>957.84999999999991</v>
      </c>
      <c r="O102" s="481">
        <f t="shared" si="223"/>
        <v>9.4599666182730358E-2</v>
      </c>
      <c r="P102" s="542"/>
      <c r="Q102" s="539"/>
      <c r="R102" s="545"/>
      <c r="S102" s="539"/>
      <c r="T102" s="545"/>
      <c r="U102" s="539"/>
      <c r="V102" s="550"/>
      <c r="W102" s="548"/>
      <c r="Y102" s="558">
        <v>1209</v>
      </c>
      <c r="Z102" s="539">
        <f t="shared" si="224"/>
        <v>9.6797437950360291E-2</v>
      </c>
      <c r="AA102" s="545">
        <v>434</v>
      </c>
      <c r="AB102" s="539">
        <f t="shared" si="225"/>
        <v>4.6995127233351378E-2</v>
      </c>
      <c r="AC102" s="545">
        <v>198</v>
      </c>
      <c r="AD102" s="539">
        <f>AC102/AC$92</f>
        <v>7.4801662259161308E-2</v>
      </c>
      <c r="AE102" s="545">
        <f t="shared" si="241"/>
        <v>1841</v>
      </c>
      <c r="AF102" s="32">
        <f t="shared" si="230"/>
        <v>7.5537502051534547E-2</v>
      </c>
      <c r="AG102" s="542">
        <v>38</v>
      </c>
      <c r="AH102" s="539">
        <f t="shared" si="227"/>
        <v>0.15447154471544716</v>
      </c>
      <c r="AI102" s="545">
        <v>12</v>
      </c>
      <c r="AJ102" s="539">
        <f t="shared" si="231"/>
        <v>4.8348106365834007E-3</v>
      </c>
      <c r="AK102" s="545">
        <v>5</v>
      </c>
      <c r="AL102" s="539">
        <f t="shared" si="232"/>
        <v>2.0746887966804978E-2</v>
      </c>
      <c r="AM102" s="545">
        <f t="shared" si="242"/>
        <v>55</v>
      </c>
      <c r="AN102" s="471">
        <f t="shared" si="233"/>
        <v>1.8524755810037048E-2</v>
      </c>
      <c r="AO102" s="542">
        <v>20593.8</v>
      </c>
      <c r="AP102" s="539">
        <f>AO102/AO$92</f>
        <v>6.6785303562161752E-2</v>
      </c>
      <c r="AQ102" s="545">
        <v>41328.36</v>
      </c>
      <c r="AR102" s="539">
        <f>AQ102/AQ$92</f>
        <v>5.8073695113227117E-2</v>
      </c>
      <c r="AS102" s="545">
        <v>6059.82</v>
      </c>
      <c r="AT102" s="539">
        <f>AS102/AS$92</f>
        <v>8.7289267941070225E-2</v>
      </c>
      <c r="AU102" s="545">
        <f t="shared" si="243"/>
        <v>67981.98000000001</v>
      </c>
      <c r="AV102" s="471">
        <f t="shared" si="236"/>
        <v>6.2401178064680644E-2</v>
      </c>
      <c r="AW102" s="542">
        <v>29829.9</v>
      </c>
      <c r="AX102" s="539">
        <f>AW102/AW$92</f>
        <v>6.2874070886526523E-2</v>
      </c>
      <c r="AY102" s="545">
        <v>117918.12</v>
      </c>
      <c r="AZ102" s="539">
        <f>AY102/AY$92</f>
        <v>0.16207877813964461</v>
      </c>
      <c r="BA102" s="545">
        <v>592.62</v>
      </c>
      <c r="BB102" s="539">
        <f>BA102/BA$92</f>
        <v>4.8920499853887342E-2</v>
      </c>
      <c r="BC102" s="545">
        <f t="shared" si="244"/>
        <v>148340.63999999998</v>
      </c>
      <c r="BD102" s="548">
        <f t="shared" si="240"/>
        <v>0.12218271384806677</v>
      </c>
      <c r="BE102" s="338"/>
      <c r="BF102" s="338"/>
      <c r="BG102" s="350"/>
    </row>
    <row r="103" spans="1:59" ht="11.25" customHeight="1" x14ac:dyDescent="0.25">
      <c r="A103" s="455">
        <v>22000</v>
      </c>
      <c r="B103" s="456" t="s">
        <v>90</v>
      </c>
      <c r="C103" s="346"/>
      <c r="D103" s="487"/>
      <c r="E103" s="470"/>
      <c r="F103" s="481"/>
      <c r="G103" s="470">
        <v>165403.15</v>
      </c>
      <c r="H103" s="481">
        <f t="shared" si="228"/>
        <v>4.7076848773897E-2</v>
      </c>
      <c r="I103" s="346">
        <v>111732.69</v>
      </c>
      <c r="J103" s="484">
        <f t="shared" si="222"/>
        <v>2.5523110545950661E-2</v>
      </c>
      <c r="K103" s="65"/>
      <c r="L103" s="507">
        <v>59.9</v>
      </c>
      <c r="M103" s="505">
        <v>95.6</v>
      </c>
      <c r="N103" s="506">
        <f t="shared" si="229"/>
        <v>293.14999999999998</v>
      </c>
      <c r="O103" s="481">
        <f t="shared" si="223"/>
        <v>2.8952228575943418E-2</v>
      </c>
      <c r="P103" s="542"/>
      <c r="Q103" s="539"/>
      <c r="R103" s="545"/>
      <c r="S103" s="539"/>
      <c r="T103" s="545"/>
      <c r="U103" s="539"/>
      <c r="V103" s="550"/>
      <c r="W103" s="548"/>
      <c r="Y103" s="558">
        <v>192</v>
      </c>
      <c r="Z103" s="539">
        <f t="shared" si="224"/>
        <v>1.5372297838270616E-2</v>
      </c>
      <c r="AA103" s="545">
        <v>54</v>
      </c>
      <c r="AB103" s="539">
        <f t="shared" si="225"/>
        <v>5.847319978343259E-3</v>
      </c>
      <c r="AC103" s="545">
        <v>62</v>
      </c>
      <c r="AD103" s="539">
        <f t="shared" si="226"/>
        <v>2.3422742727616169E-2</v>
      </c>
      <c r="AE103" s="545">
        <f t="shared" si="241"/>
        <v>308</v>
      </c>
      <c r="AF103" s="32">
        <f t="shared" si="230"/>
        <v>1.2637452814705399E-2</v>
      </c>
      <c r="AG103" s="542">
        <v>5</v>
      </c>
      <c r="AH103" s="539">
        <f t="shared" si="227"/>
        <v>2.032520325203252E-2</v>
      </c>
      <c r="AI103" s="545">
        <v>3</v>
      </c>
      <c r="AJ103" s="539">
        <f t="shared" si="231"/>
        <v>1.2087026591458502E-3</v>
      </c>
      <c r="AK103" s="545">
        <v>4</v>
      </c>
      <c r="AL103" s="539">
        <f t="shared" si="232"/>
        <v>1.6597510373443983E-2</v>
      </c>
      <c r="AM103" s="545">
        <f t="shared" si="242"/>
        <v>12</v>
      </c>
      <c r="AN103" s="471">
        <f t="shared" si="233"/>
        <v>4.0417649040080834E-3</v>
      </c>
      <c r="AO103" s="542">
        <v>2100.1799999999998</v>
      </c>
      <c r="AP103" s="539">
        <f t="shared" si="234"/>
        <v>6.8108439838777133E-3</v>
      </c>
      <c r="AQ103" s="545">
        <v>9902.16</v>
      </c>
      <c r="AR103" s="539">
        <f t="shared" si="234"/>
        <v>1.3914295674989112E-2</v>
      </c>
      <c r="AS103" s="545">
        <v>1385.16</v>
      </c>
      <c r="AT103" s="539">
        <f t="shared" ref="AT103" si="269">AS103/AS$92</f>
        <v>1.9952672254498129E-2</v>
      </c>
      <c r="AU103" s="545">
        <f t="shared" si="243"/>
        <v>13387.5</v>
      </c>
      <c r="AV103" s="471">
        <f t="shared" si="236"/>
        <v>1.228848838090494E-2</v>
      </c>
      <c r="AW103" s="542">
        <v>4567.5600000000004</v>
      </c>
      <c r="AX103" s="539">
        <f t="shared" ref="AX103" si="270">AW103/AW$92</f>
        <v>9.62728977363193E-3</v>
      </c>
      <c r="AY103" s="545">
        <v>16777.98</v>
      </c>
      <c r="AZ103" s="539">
        <f t="shared" ref="AZ103" si="271">AY103/AY$92</f>
        <v>2.3061379354177243E-2</v>
      </c>
      <c r="BA103" s="545">
        <v>668.1</v>
      </c>
      <c r="BB103" s="539">
        <f t="shared" ref="BB103" si="272">BA103/BA$92</f>
        <v>5.5151338045260262E-2</v>
      </c>
      <c r="BC103" s="545">
        <f t="shared" si="244"/>
        <v>22013.64</v>
      </c>
      <c r="BD103" s="548">
        <f t="shared" si="240"/>
        <v>1.8131823328215092E-2</v>
      </c>
      <c r="BE103" s="338"/>
      <c r="BF103" s="338"/>
      <c r="BG103" s="350"/>
    </row>
    <row r="104" spans="1:59" ht="11.25" customHeight="1" x14ac:dyDescent="0.25">
      <c r="A104" s="455">
        <v>23000</v>
      </c>
      <c r="B104" s="456" t="s">
        <v>91</v>
      </c>
      <c r="C104" s="346"/>
      <c r="D104" s="487"/>
      <c r="E104" s="470"/>
      <c r="F104" s="481"/>
      <c r="G104" s="470">
        <v>138328.12</v>
      </c>
      <c r="H104" s="481">
        <f t="shared" si="228"/>
        <v>3.9370785782601343E-2</v>
      </c>
      <c r="I104" s="346">
        <v>100704.55</v>
      </c>
      <c r="J104" s="484">
        <f t="shared" si="222"/>
        <v>2.300395132463217E-2</v>
      </c>
      <c r="K104" s="65"/>
      <c r="L104" s="507">
        <v>66.099999999999994</v>
      </c>
      <c r="M104" s="505">
        <v>137.4</v>
      </c>
      <c r="N104" s="506">
        <f t="shared" si="229"/>
        <v>371.35</v>
      </c>
      <c r="O104" s="481">
        <f t="shared" si="223"/>
        <v>3.6675456529683063E-2</v>
      </c>
      <c r="P104" s="542"/>
      <c r="Q104" s="539"/>
      <c r="R104" s="545"/>
      <c r="S104" s="539"/>
      <c r="T104" s="545"/>
      <c r="U104" s="539"/>
      <c r="V104" s="550"/>
      <c r="W104" s="548"/>
      <c r="Y104" s="558">
        <v>259</v>
      </c>
      <c r="Z104" s="539">
        <f t="shared" si="224"/>
        <v>2.0736589271417135E-2</v>
      </c>
      <c r="AA104" s="545">
        <v>124</v>
      </c>
      <c r="AB104" s="539">
        <f t="shared" si="225"/>
        <v>1.3427179209528966E-2</v>
      </c>
      <c r="AC104" s="545">
        <v>34</v>
      </c>
      <c r="AD104" s="539">
        <f t="shared" si="226"/>
        <v>1.2844729882886286E-2</v>
      </c>
      <c r="AE104" s="545">
        <f t="shared" si="241"/>
        <v>417</v>
      </c>
      <c r="AF104" s="32">
        <f t="shared" si="230"/>
        <v>1.7109798129000493E-2</v>
      </c>
      <c r="AG104" s="542"/>
      <c r="AH104" s="539">
        <f t="shared" si="227"/>
        <v>0</v>
      </c>
      <c r="AI104" s="545">
        <v>0</v>
      </c>
      <c r="AJ104" s="539">
        <f t="shared" si="231"/>
        <v>0</v>
      </c>
      <c r="AK104" s="545"/>
      <c r="AL104" s="539">
        <f t="shared" si="232"/>
        <v>0</v>
      </c>
      <c r="AM104" s="545">
        <f t="shared" si="242"/>
        <v>0</v>
      </c>
      <c r="AN104" s="471">
        <f t="shared" si="233"/>
        <v>0</v>
      </c>
      <c r="AO104" s="542">
        <v>16583.16</v>
      </c>
      <c r="AP104" s="539">
        <f t="shared" si="234"/>
        <v>5.3778873963032478E-2</v>
      </c>
      <c r="AQ104" s="545">
        <v>28441.68</v>
      </c>
      <c r="AR104" s="539">
        <f t="shared" si="234"/>
        <v>3.996561810892011E-2</v>
      </c>
      <c r="AS104" s="545">
        <v>4194.24</v>
      </c>
      <c r="AT104" s="539">
        <f t="shared" ref="AT104" si="273">AS104/AS$92</f>
        <v>6.0416338962073858E-2</v>
      </c>
      <c r="AU104" s="545">
        <f t="shared" si="243"/>
        <v>49219.079999999994</v>
      </c>
      <c r="AV104" s="471">
        <f t="shared" si="236"/>
        <v>4.5178569015785666E-2</v>
      </c>
      <c r="AW104" s="542">
        <v>15508.08</v>
      </c>
      <c r="AX104" s="539">
        <f t="shared" ref="AX104" si="274">AW104/AW$92</f>
        <v>3.268720717246535E-2</v>
      </c>
      <c r="AY104" s="545">
        <v>4968.42</v>
      </c>
      <c r="AZ104" s="539">
        <f t="shared" ref="AZ104" si="275">AY104/AY$92</f>
        <v>6.8291068657181202E-3</v>
      </c>
      <c r="BA104" s="545">
        <v>507.96000000000004</v>
      </c>
      <c r="BB104" s="539">
        <f t="shared" ref="BB104" si="276">BA104/BA$92</f>
        <v>4.193185701761773E-2</v>
      </c>
      <c r="BC104" s="545">
        <f t="shared" si="244"/>
        <v>20984.46</v>
      </c>
      <c r="BD104" s="548">
        <f t="shared" si="240"/>
        <v>1.7284125721961315E-2</v>
      </c>
      <c r="BE104" s="338"/>
      <c r="BF104" s="338"/>
      <c r="BG104" s="350"/>
    </row>
    <row r="105" spans="1:59" ht="11.25" customHeight="1" x14ac:dyDescent="0.25">
      <c r="A105" s="455">
        <v>24000</v>
      </c>
      <c r="B105" s="456" t="s">
        <v>92</v>
      </c>
      <c r="C105" s="346"/>
      <c r="D105" s="487"/>
      <c r="E105" s="470"/>
      <c r="F105" s="481"/>
      <c r="G105" s="470">
        <v>101165.4</v>
      </c>
      <c r="H105" s="481">
        <f t="shared" si="228"/>
        <v>2.8793576403779487E-2</v>
      </c>
      <c r="I105" s="346">
        <v>145297.60999999999</v>
      </c>
      <c r="J105" s="484">
        <f t="shared" si="222"/>
        <v>3.319034887723929E-2</v>
      </c>
      <c r="K105" s="65"/>
      <c r="L105" s="507">
        <v>51.9</v>
      </c>
      <c r="M105" s="505">
        <v>106.5</v>
      </c>
      <c r="N105" s="506">
        <f t="shared" si="229"/>
        <v>289.5</v>
      </c>
      <c r="O105" s="481">
        <f t="shared" si="223"/>
        <v>2.8591745429765034E-2</v>
      </c>
      <c r="P105" s="542"/>
      <c r="Q105" s="539"/>
      <c r="R105" s="545"/>
      <c r="S105" s="539"/>
      <c r="T105" s="545"/>
      <c r="U105" s="539"/>
      <c r="V105" s="550"/>
      <c r="W105" s="548"/>
      <c r="Y105" s="558">
        <v>362</v>
      </c>
      <c r="Z105" s="539">
        <f t="shared" si="224"/>
        <v>2.8983186549239391E-2</v>
      </c>
      <c r="AA105" s="545">
        <v>143</v>
      </c>
      <c r="AB105" s="539">
        <f t="shared" si="225"/>
        <v>1.5484569572279372E-2</v>
      </c>
      <c r="AC105" s="545">
        <v>42</v>
      </c>
      <c r="AD105" s="539">
        <f t="shared" si="226"/>
        <v>1.5867019267094825E-2</v>
      </c>
      <c r="AE105" s="545">
        <f t="shared" si="241"/>
        <v>547</v>
      </c>
      <c r="AF105" s="32">
        <f t="shared" si="230"/>
        <v>2.2443787953389135E-2</v>
      </c>
      <c r="AG105" s="542">
        <v>3</v>
      </c>
      <c r="AH105" s="539">
        <f t="shared" si="227"/>
        <v>1.2195121951219513E-2</v>
      </c>
      <c r="AI105" s="545">
        <v>2</v>
      </c>
      <c r="AJ105" s="539">
        <f t="shared" si="231"/>
        <v>8.0580177276390005E-4</v>
      </c>
      <c r="AK105" s="545">
        <v>1</v>
      </c>
      <c r="AL105" s="539">
        <f t="shared" si="232"/>
        <v>4.1493775933609959E-3</v>
      </c>
      <c r="AM105" s="545">
        <f t="shared" si="242"/>
        <v>6</v>
      </c>
      <c r="AN105" s="471">
        <f t="shared" si="233"/>
        <v>2.0208824520040417E-3</v>
      </c>
      <c r="AO105" s="542">
        <v>12651.72</v>
      </c>
      <c r="AP105" s="539">
        <f t="shared" si="234"/>
        <v>4.1029288464657955E-2</v>
      </c>
      <c r="AQ105" s="545">
        <v>15084.48</v>
      </c>
      <c r="AR105" s="539">
        <f t="shared" si="234"/>
        <v>2.1196376833282814E-2</v>
      </c>
      <c r="AS105" s="545">
        <v>2337</v>
      </c>
      <c r="AT105" s="539">
        <f t="shared" ref="AT105" si="277">AS105/AS$92</f>
        <v>3.3663544326115485E-2</v>
      </c>
      <c r="AU105" s="545">
        <f t="shared" si="243"/>
        <v>30073.199999999997</v>
      </c>
      <c r="AV105" s="471">
        <f t="shared" si="236"/>
        <v>2.7604419703203015E-2</v>
      </c>
      <c r="AW105" s="542">
        <v>10803.779999999999</v>
      </c>
      <c r="AX105" s="539">
        <f t="shared" ref="AX105" si="278">AW105/AW$92</f>
        <v>2.2771703209277853E-2</v>
      </c>
      <c r="AY105" s="545">
        <v>1200.4199999999998</v>
      </c>
      <c r="AZ105" s="539">
        <f t="shared" ref="AZ105" si="279">AY105/AY$92</f>
        <v>1.6499805700293743E-3</v>
      </c>
      <c r="BA105" s="545">
        <v>381.9</v>
      </c>
      <c r="BB105" s="539">
        <f t="shared" ref="BB105" si="280">BA105/BA$92</f>
        <v>3.1525663822010018E-2</v>
      </c>
      <c r="BC105" s="545">
        <f t="shared" si="244"/>
        <v>12386.099999999999</v>
      </c>
      <c r="BD105" s="548">
        <f t="shared" si="240"/>
        <v>1.0201973727452841E-2</v>
      </c>
      <c r="BE105" s="338"/>
      <c r="BF105" s="338"/>
      <c r="BG105" s="350"/>
    </row>
    <row r="106" spans="1:59" ht="11.25" customHeight="1" x14ac:dyDescent="0.25">
      <c r="A106" s="455">
        <v>25000</v>
      </c>
      <c r="B106" s="456" t="s">
        <v>93</v>
      </c>
      <c r="C106" s="346"/>
      <c r="D106" s="487"/>
      <c r="E106" s="470"/>
      <c r="F106" s="481"/>
      <c r="G106" s="470">
        <v>51147.659999999996</v>
      </c>
      <c r="H106" s="481">
        <f t="shared" si="228"/>
        <v>1.4557586448375986E-2</v>
      </c>
      <c r="I106" s="346">
        <v>67315.11</v>
      </c>
      <c r="J106" s="484">
        <f t="shared" si="222"/>
        <v>1.5376797908855759E-2</v>
      </c>
      <c r="K106" s="65"/>
      <c r="L106" s="507">
        <v>53.7</v>
      </c>
      <c r="M106" s="505">
        <v>98.9</v>
      </c>
      <c r="N106" s="506">
        <f t="shared" si="229"/>
        <v>282.60000000000002</v>
      </c>
      <c r="O106" s="481">
        <f t="shared" si="223"/>
        <v>2.7910284139729187E-2</v>
      </c>
      <c r="P106" s="542"/>
      <c r="Q106" s="539"/>
      <c r="R106" s="545"/>
      <c r="S106" s="539"/>
      <c r="T106" s="545"/>
      <c r="U106" s="539"/>
      <c r="V106" s="550"/>
      <c r="W106" s="548"/>
      <c r="Y106" s="558">
        <v>137</v>
      </c>
      <c r="Z106" s="539">
        <f t="shared" si="224"/>
        <v>1.0968775020016013E-2</v>
      </c>
      <c r="AA106" s="545">
        <v>39</v>
      </c>
      <c r="AB106" s="539">
        <f t="shared" si="225"/>
        <v>4.2230644288034653E-3</v>
      </c>
      <c r="AC106" s="545">
        <v>34</v>
      </c>
      <c r="AD106" s="539">
        <f t="shared" si="226"/>
        <v>1.2844729882886286E-2</v>
      </c>
      <c r="AE106" s="545">
        <f t="shared" si="241"/>
        <v>210</v>
      </c>
      <c r="AF106" s="32">
        <f t="shared" si="230"/>
        <v>8.6164451009354999E-3</v>
      </c>
      <c r="AG106" s="542"/>
      <c r="AH106" s="539">
        <f t="shared" si="227"/>
        <v>0</v>
      </c>
      <c r="AI106" s="545">
        <v>0</v>
      </c>
      <c r="AJ106" s="539">
        <f t="shared" si="231"/>
        <v>0</v>
      </c>
      <c r="AK106" s="545"/>
      <c r="AL106" s="539">
        <f t="shared" si="232"/>
        <v>0</v>
      </c>
      <c r="AM106" s="545">
        <f t="shared" si="242"/>
        <v>0</v>
      </c>
      <c r="AN106" s="471">
        <f t="shared" si="233"/>
        <v>0</v>
      </c>
      <c r="AO106" s="542">
        <v>17201.28</v>
      </c>
      <c r="AP106" s="539">
        <f t="shared" si="234"/>
        <v>5.5783425422104786E-2</v>
      </c>
      <c r="AQ106" s="545">
        <v>12495</v>
      </c>
      <c r="AR106" s="539">
        <f t="shared" si="234"/>
        <v>1.7557696952885931E-2</v>
      </c>
      <c r="AS106" s="545">
        <v>1767.66</v>
      </c>
      <c r="AT106" s="539">
        <f t="shared" ref="AT106" si="281">AS106/AS$92</f>
        <v>2.5462430793111383E-2</v>
      </c>
      <c r="AU106" s="545">
        <f t="shared" si="243"/>
        <v>31463.94</v>
      </c>
      <c r="AV106" s="471">
        <f t="shared" si="236"/>
        <v>2.8880990558916162E-2</v>
      </c>
      <c r="AW106" s="542">
        <v>18279.420000000002</v>
      </c>
      <c r="AX106" s="539">
        <f t="shared" ref="AX106" si="282">AW106/AW$92</f>
        <v>3.8528508270044177E-2</v>
      </c>
      <c r="AY106" s="545">
        <v>5292.78</v>
      </c>
      <c r="AZ106" s="539">
        <f t="shared" ref="AZ106" si="283">AY106/AY$92</f>
        <v>7.2749405719998604E-3</v>
      </c>
      <c r="BA106" s="545">
        <v>0</v>
      </c>
      <c r="BB106" s="539">
        <f t="shared" ref="BB106" si="284">BA106/BA$92</f>
        <v>0</v>
      </c>
      <c r="BC106" s="545">
        <f t="shared" si="244"/>
        <v>23572.2</v>
      </c>
      <c r="BD106" s="548">
        <f t="shared" si="240"/>
        <v>1.9415551715089002E-2</v>
      </c>
      <c r="BE106" s="338"/>
      <c r="BF106" s="338"/>
      <c r="BG106" s="350"/>
    </row>
    <row r="107" spans="1:59" ht="11.25" customHeight="1" x14ac:dyDescent="0.25">
      <c r="A107" s="455">
        <v>26000</v>
      </c>
      <c r="B107" s="456" t="s">
        <v>94</v>
      </c>
      <c r="C107" s="346"/>
      <c r="D107" s="487"/>
      <c r="E107" s="470"/>
      <c r="F107" s="481"/>
      <c r="G107" s="470">
        <v>296507.70999999996</v>
      </c>
      <c r="H107" s="481">
        <f t="shared" si="228"/>
        <v>8.4391673459450478E-2</v>
      </c>
      <c r="I107" s="346">
        <v>379323.72</v>
      </c>
      <c r="J107" s="484">
        <f t="shared" si="222"/>
        <v>8.6648958673251619E-2</v>
      </c>
      <c r="K107" s="65"/>
      <c r="L107" s="507">
        <v>122.2</v>
      </c>
      <c r="M107" s="505">
        <v>260.60000000000002</v>
      </c>
      <c r="N107" s="506">
        <f t="shared" si="229"/>
        <v>696.40000000000009</v>
      </c>
      <c r="O107" s="481">
        <f t="shared" si="223"/>
        <v>6.8778209040719768E-2</v>
      </c>
      <c r="P107" s="542"/>
      <c r="Q107" s="539"/>
      <c r="R107" s="545"/>
      <c r="S107" s="539"/>
      <c r="T107" s="545"/>
      <c r="U107" s="539"/>
      <c r="V107" s="550"/>
      <c r="W107" s="548"/>
      <c r="Y107" s="558">
        <v>1335</v>
      </c>
      <c r="Z107" s="539">
        <f t="shared" si="224"/>
        <v>0.10688550840672538</v>
      </c>
      <c r="AA107" s="545">
        <v>636</v>
      </c>
      <c r="AB107" s="539">
        <f t="shared" si="225"/>
        <v>6.886843530048728E-2</v>
      </c>
      <c r="AC107" s="545">
        <v>160</v>
      </c>
      <c r="AD107" s="539">
        <f t="shared" si="226"/>
        <v>6.0445787684170763E-2</v>
      </c>
      <c r="AE107" s="545">
        <f t="shared" si="241"/>
        <v>2131</v>
      </c>
      <c r="AF107" s="32">
        <f t="shared" si="230"/>
        <v>8.7436402429016902E-2</v>
      </c>
      <c r="AG107" s="542">
        <v>10</v>
      </c>
      <c r="AH107" s="539">
        <f t="shared" si="227"/>
        <v>4.065040650406504E-2</v>
      </c>
      <c r="AI107" s="545">
        <v>2</v>
      </c>
      <c r="AJ107" s="539">
        <f t="shared" si="231"/>
        <v>8.0580177276390005E-4</v>
      </c>
      <c r="AK107" s="545">
        <v>9</v>
      </c>
      <c r="AL107" s="539">
        <f t="shared" si="232"/>
        <v>3.7344398340248962E-2</v>
      </c>
      <c r="AM107" s="545">
        <f t="shared" si="242"/>
        <v>21</v>
      </c>
      <c r="AN107" s="471">
        <f t="shared" si="233"/>
        <v>7.073088582014146E-3</v>
      </c>
      <c r="AO107" s="542">
        <v>21721.559999999998</v>
      </c>
      <c r="AP107" s="539">
        <f t="shared" si="234"/>
        <v>7.0442607893818038E-2</v>
      </c>
      <c r="AQ107" s="545">
        <v>52681.679999999993</v>
      </c>
      <c r="AR107" s="539">
        <f t="shared" si="234"/>
        <v>7.4027128644170589E-2</v>
      </c>
      <c r="AS107" s="545">
        <v>9007.14</v>
      </c>
      <c r="AT107" s="539">
        <f t="shared" ref="AT107" si="285">AS107/AS$92</f>
        <v>0.12974422620518947</v>
      </c>
      <c r="AU107" s="545">
        <f t="shared" si="243"/>
        <v>83410.37999999999</v>
      </c>
      <c r="AV107" s="471">
        <f t="shared" si="236"/>
        <v>7.6563024125256063E-2</v>
      </c>
      <c r="AW107" s="542">
        <v>29172.6</v>
      </c>
      <c r="AX107" s="539">
        <f t="shared" ref="AX107" si="286">AW107/AW$92</f>
        <v>6.1488644626508417E-2</v>
      </c>
      <c r="AY107" s="545">
        <v>48355.38</v>
      </c>
      <c r="AZ107" s="539">
        <f t="shared" ref="AZ107" si="287">AY107/AY$92</f>
        <v>6.6464601936311471E-2</v>
      </c>
      <c r="BA107" s="545">
        <v>1561.8</v>
      </c>
      <c r="BB107" s="539">
        <f t="shared" ref="BB107" si="288">BA107/BA$92</f>
        <v>0.12892584906314544</v>
      </c>
      <c r="BC107" s="545">
        <f t="shared" si="244"/>
        <v>79089.78</v>
      </c>
      <c r="BD107" s="548">
        <f t="shared" si="240"/>
        <v>6.5143334679198875E-2</v>
      </c>
      <c r="BE107" s="338"/>
      <c r="BF107" s="338"/>
      <c r="BG107" s="350"/>
    </row>
    <row r="108" spans="1:59" ht="11.25" customHeight="1" x14ac:dyDescent="0.25">
      <c r="A108" s="455">
        <v>27000</v>
      </c>
      <c r="B108" s="456" t="s">
        <v>95</v>
      </c>
      <c r="C108" s="346"/>
      <c r="D108" s="487"/>
      <c r="E108" s="470"/>
      <c r="F108" s="481"/>
      <c r="G108" s="470">
        <v>191686.6</v>
      </c>
      <c r="H108" s="481">
        <f t="shared" si="228"/>
        <v>5.4557613202544722E-2</v>
      </c>
      <c r="I108" s="346">
        <v>204262.56</v>
      </c>
      <c r="J108" s="484">
        <f t="shared" si="222"/>
        <v>4.6659718827845989E-2</v>
      </c>
      <c r="K108" s="65"/>
      <c r="L108" s="507">
        <v>116.6</v>
      </c>
      <c r="M108" s="505">
        <v>187.4</v>
      </c>
      <c r="N108" s="506">
        <f t="shared" si="229"/>
        <v>572.6</v>
      </c>
      <c r="O108" s="481">
        <f t="shared" si="223"/>
        <v>5.655141082239537E-2</v>
      </c>
      <c r="P108" s="542"/>
      <c r="Q108" s="539"/>
      <c r="R108" s="545"/>
      <c r="S108" s="539"/>
      <c r="T108" s="545"/>
      <c r="U108" s="539"/>
      <c r="V108" s="550"/>
      <c r="W108" s="548"/>
      <c r="Y108" s="558">
        <v>671</v>
      </c>
      <c r="Z108" s="539">
        <f t="shared" si="224"/>
        <v>5.3722978382706163E-2</v>
      </c>
      <c r="AA108" s="545">
        <v>358</v>
      </c>
      <c r="AB108" s="539">
        <f t="shared" si="225"/>
        <v>3.8765565782349756E-2</v>
      </c>
      <c r="AC108" s="545">
        <v>94</v>
      </c>
      <c r="AD108" s="539">
        <f t="shared" si="226"/>
        <v>3.5511900264450322E-2</v>
      </c>
      <c r="AE108" s="545">
        <f t="shared" si="241"/>
        <v>1123</v>
      </c>
      <c r="AF108" s="32">
        <f t="shared" si="230"/>
        <v>4.6077465944526504E-2</v>
      </c>
      <c r="AG108" s="542"/>
      <c r="AH108" s="539">
        <f t="shared" si="227"/>
        <v>0</v>
      </c>
      <c r="AI108" s="545">
        <v>3</v>
      </c>
      <c r="AJ108" s="539">
        <f t="shared" si="231"/>
        <v>1.2087026591458502E-3</v>
      </c>
      <c r="AK108" s="545">
        <v>29</v>
      </c>
      <c r="AL108" s="539">
        <f t="shared" si="232"/>
        <v>0.12033195020746888</v>
      </c>
      <c r="AM108" s="545">
        <f t="shared" si="242"/>
        <v>32</v>
      </c>
      <c r="AN108" s="471">
        <f t="shared" si="233"/>
        <v>1.0778039744021556E-2</v>
      </c>
      <c r="AO108" s="542">
        <v>12182.039999999999</v>
      </c>
      <c r="AP108" s="539">
        <f t="shared" si="234"/>
        <v>3.9506125115636594E-2</v>
      </c>
      <c r="AQ108" s="545">
        <v>24760.799999999999</v>
      </c>
      <c r="AR108" s="539">
        <f t="shared" si="234"/>
        <v>3.4793327147740534E-2</v>
      </c>
      <c r="AS108" s="545">
        <v>3399.4799999999996</v>
      </c>
      <c r="AT108" s="539">
        <f t="shared" ref="AT108" si="289">AS108/AS$92</f>
        <v>4.8968141063647004E-2</v>
      </c>
      <c r="AU108" s="545">
        <f t="shared" si="243"/>
        <v>40342.319999999992</v>
      </c>
      <c r="AV108" s="471">
        <f t="shared" si="236"/>
        <v>3.703052329253026E-2</v>
      </c>
      <c r="AW108" s="542">
        <v>35164.439999999995</v>
      </c>
      <c r="AX108" s="539">
        <f t="shared" ref="AX108" si="290">AW108/AW$92</f>
        <v>7.4117965304778363E-2</v>
      </c>
      <c r="AY108" s="545">
        <v>6761.3399999999992</v>
      </c>
      <c r="AZ108" s="539">
        <f t="shared" ref="AZ108" si="291">AY108/AY$92</f>
        <v>9.293480304695366E-3</v>
      </c>
      <c r="BA108" s="545">
        <v>1925.4599999999998</v>
      </c>
      <c r="BB108" s="539">
        <f t="shared" ref="BB108" si="292">BA108/BA$92</f>
        <v>0.1589458095384326</v>
      </c>
      <c r="BC108" s="545">
        <f t="shared" si="244"/>
        <v>43851.239999999991</v>
      </c>
      <c r="BD108" s="548">
        <f t="shared" si="240"/>
        <v>3.6118649001399071E-2</v>
      </c>
      <c r="BE108" s="338"/>
      <c r="BF108" s="338"/>
      <c r="BG108" s="350"/>
    </row>
    <row r="109" spans="1:59" ht="11.25" customHeight="1" x14ac:dyDescent="0.25">
      <c r="A109" s="455">
        <v>28000</v>
      </c>
      <c r="B109" s="456" t="s">
        <v>96</v>
      </c>
      <c r="C109" s="346"/>
      <c r="D109" s="487"/>
      <c r="E109" s="470"/>
      <c r="F109" s="481"/>
      <c r="G109" s="470">
        <v>24326.87</v>
      </c>
      <c r="H109" s="481">
        <f t="shared" si="228"/>
        <v>6.9238849449496679E-3</v>
      </c>
      <c r="I109" s="346">
        <v>46608.160000000003</v>
      </c>
      <c r="J109" s="484">
        <f t="shared" si="222"/>
        <v>1.0646707065079664E-2</v>
      </c>
      <c r="K109" s="65"/>
      <c r="L109" s="507">
        <v>44.6</v>
      </c>
      <c r="M109" s="505">
        <v>82.9</v>
      </c>
      <c r="N109" s="506">
        <f t="shared" si="229"/>
        <v>235.85000000000002</v>
      </c>
      <c r="O109" s="481">
        <f t="shared" si="223"/>
        <v>2.3293136993471793E-2</v>
      </c>
      <c r="P109" s="542"/>
      <c r="Q109" s="539"/>
      <c r="R109" s="545"/>
      <c r="S109" s="539"/>
      <c r="T109" s="545"/>
      <c r="U109" s="539"/>
      <c r="V109" s="550"/>
      <c r="W109" s="548"/>
      <c r="Y109" s="558">
        <v>414</v>
      </c>
      <c r="Z109" s="539">
        <f t="shared" si="224"/>
        <v>3.3146517213771015E-2</v>
      </c>
      <c r="AA109" s="545">
        <v>209</v>
      </c>
      <c r="AB109" s="539">
        <f t="shared" si="225"/>
        <v>2.2631293990254465E-2</v>
      </c>
      <c r="AC109" s="545">
        <v>34</v>
      </c>
      <c r="AD109" s="539">
        <f t="shared" si="226"/>
        <v>1.2844729882886286E-2</v>
      </c>
      <c r="AE109" s="545">
        <f t="shared" si="241"/>
        <v>657</v>
      </c>
      <c r="AF109" s="32">
        <f t="shared" si="230"/>
        <v>2.6957163958641065E-2</v>
      </c>
      <c r="AG109" s="542">
        <v>21</v>
      </c>
      <c r="AH109" s="539">
        <f t="shared" si="227"/>
        <v>8.5365853658536592E-2</v>
      </c>
      <c r="AI109" s="545">
        <v>11</v>
      </c>
      <c r="AJ109" s="539">
        <f t="shared" si="231"/>
        <v>4.4319097502014508E-3</v>
      </c>
      <c r="AK109" s="545">
        <v>68</v>
      </c>
      <c r="AL109" s="539">
        <f t="shared" si="232"/>
        <v>0.28215767634854771</v>
      </c>
      <c r="AM109" s="545">
        <f t="shared" si="242"/>
        <v>100</v>
      </c>
      <c r="AN109" s="471">
        <f t="shared" si="233"/>
        <v>3.3681374200067365E-2</v>
      </c>
      <c r="AO109" s="542">
        <v>12189</v>
      </c>
      <c r="AP109" s="539">
        <f t="shared" si="234"/>
        <v>3.9528696263884743E-2</v>
      </c>
      <c r="AQ109" s="545">
        <v>12973.380000000001</v>
      </c>
      <c r="AR109" s="539">
        <f t="shared" si="234"/>
        <v>1.822990592193928E-2</v>
      </c>
      <c r="AS109" s="545">
        <v>184.62</v>
      </c>
      <c r="AT109" s="539">
        <f t="shared" ref="AT109" si="293">AS109/AS$92</f>
        <v>2.6593767879706637E-3</v>
      </c>
      <c r="AU109" s="545">
        <f t="shared" si="243"/>
        <v>25347</v>
      </c>
      <c r="AV109" s="471">
        <f t="shared" si="236"/>
        <v>2.3266204667846686E-2</v>
      </c>
      <c r="AW109" s="542">
        <v>10660.02</v>
      </c>
      <c r="AX109" s="539">
        <f t="shared" ref="AX109" si="294">AW109/AW$92</f>
        <v>2.2468692591386175E-2</v>
      </c>
      <c r="AY109" s="545">
        <v>1261.74</v>
      </c>
      <c r="AZ109" s="539">
        <f t="shared" ref="AZ109" si="295">AY109/AY$92</f>
        <v>1.7342650775802328E-3</v>
      </c>
      <c r="BA109" s="545">
        <v>0</v>
      </c>
      <c r="BB109" s="539">
        <f t="shared" ref="BB109" si="296">BA109/BA$92</f>
        <v>0</v>
      </c>
      <c r="BC109" s="545">
        <f t="shared" si="244"/>
        <v>11921.76</v>
      </c>
      <c r="BD109" s="548">
        <f t="shared" si="240"/>
        <v>9.8195139959307755E-3</v>
      </c>
      <c r="BE109" s="338"/>
      <c r="BF109" s="338"/>
      <c r="BG109" s="350"/>
    </row>
    <row r="110" spans="1:59" ht="11.25" customHeight="1" x14ac:dyDescent="0.25">
      <c r="A110" s="455">
        <v>31000</v>
      </c>
      <c r="B110" s="456" t="s">
        <v>97</v>
      </c>
      <c r="C110" s="346"/>
      <c r="D110" s="487"/>
      <c r="E110" s="470"/>
      <c r="F110" s="481"/>
      <c r="G110" s="470">
        <v>56181.919999999998</v>
      </c>
      <c r="H110" s="481">
        <f t="shared" si="228"/>
        <v>1.599043157078435E-2</v>
      </c>
      <c r="I110" s="346">
        <v>184742.71000000002</v>
      </c>
      <c r="J110" s="484">
        <f t="shared" si="222"/>
        <v>4.2200797366361668E-2</v>
      </c>
      <c r="K110" s="65"/>
      <c r="L110" s="507">
        <v>74.7</v>
      </c>
      <c r="M110" s="505">
        <v>131.80000000000001</v>
      </c>
      <c r="N110" s="506">
        <f t="shared" si="229"/>
        <v>384.45000000000005</v>
      </c>
      <c r="O110" s="481">
        <f t="shared" si="223"/>
        <v>3.7969245355693161E-2</v>
      </c>
      <c r="P110" s="542"/>
      <c r="Q110" s="539"/>
      <c r="R110" s="545"/>
      <c r="S110" s="539"/>
      <c r="T110" s="545"/>
      <c r="U110" s="539"/>
      <c r="V110" s="550"/>
      <c r="W110" s="548"/>
      <c r="Y110" s="558">
        <v>1976</v>
      </c>
      <c r="Z110" s="539">
        <f t="shared" si="224"/>
        <v>0.15820656525220175</v>
      </c>
      <c r="AA110" s="545">
        <v>938</v>
      </c>
      <c r="AB110" s="539">
        <f t="shared" si="225"/>
        <v>0.10157011369788847</v>
      </c>
      <c r="AC110" s="545">
        <v>79</v>
      </c>
      <c r="AD110" s="539">
        <f t="shared" si="226"/>
        <v>2.9845107669059314E-2</v>
      </c>
      <c r="AE110" s="545">
        <f t="shared" si="241"/>
        <v>2993</v>
      </c>
      <c r="AF110" s="32">
        <f t="shared" si="230"/>
        <v>0.12280485803380929</v>
      </c>
      <c r="AG110" s="542"/>
      <c r="AH110" s="539">
        <f t="shared" si="227"/>
        <v>0</v>
      </c>
      <c r="AI110" s="545">
        <v>0</v>
      </c>
      <c r="AJ110" s="539">
        <f t="shared" si="231"/>
        <v>0</v>
      </c>
      <c r="AK110" s="545">
        <v>21</v>
      </c>
      <c r="AL110" s="539">
        <f t="shared" si="232"/>
        <v>8.7136929460580909E-2</v>
      </c>
      <c r="AM110" s="545">
        <f t="shared" si="242"/>
        <v>21</v>
      </c>
      <c r="AN110" s="471">
        <f t="shared" si="233"/>
        <v>7.073088582014146E-3</v>
      </c>
      <c r="AO110" s="542">
        <v>1458.06</v>
      </c>
      <c r="AP110" s="539">
        <f t="shared" si="234"/>
        <v>4.7284609791221413E-3</v>
      </c>
      <c r="AQ110" s="545">
        <v>53657.52</v>
      </c>
      <c r="AR110" s="539">
        <f t="shared" si="234"/>
        <v>7.5398357375223365E-2</v>
      </c>
      <c r="AS110" s="545">
        <v>0</v>
      </c>
      <c r="AT110" s="539">
        <f t="shared" ref="AT110" si="297">AS110/AS$92</f>
        <v>0</v>
      </c>
      <c r="AU110" s="545">
        <f t="shared" si="243"/>
        <v>55115.579999999994</v>
      </c>
      <c r="AV110" s="471">
        <f t="shared" si="236"/>
        <v>5.0591011349156792E-2</v>
      </c>
      <c r="AW110" s="542">
        <v>6347.5199999999995</v>
      </c>
      <c r="AX110" s="539">
        <f t="shared" ref="AX110" si="298">AW110/AW$92</f>
        <v>1.3379006380633015E-2</v>
      </c>
      <c r="AY110" s="545">
        <v>56072.039999999994</v>
      </c>
      <c r="AZ110" s="539">
        <f t="shared" ref="AZ110" si="299">AY110/AY$92</f>
        <v>7.7071172191324602E-2</v>
      </c>
      <c r="BA110" s="545">
        <v>0</v>
      </c>
      <c r="BB110" s="539">
        <f t="shared" ref="BB110" si="300">BA110/BA$92</f>
        <v>0</v>
      </c>
      <c r="BC110" s="545">
        <f t="shared" si="244"/>
        <v>62419.55999999999</v>
      </c>
      <c r="BD110" s="548">
        <f t="shared" si="240"/>
        <v>5.1412689321026488E-2</v>
      </c>
      <c r="BE110" s="338"/>
      <c r="BF110" s="338"/>
      <c r="BG110" s="350"/>
    </row>
    <row r="111" spans="1:59" ht="11.25" customHeight="1" x14ac:dyDescent="0.25">
      <c r="A111" s="455">
        <v>41000</v>
      </c>
      <c r="B111" s="456" t="s">
        <v>98</v>
      </c>
      <c r="C111" s="346"/>
      <c r="D111" s="487"/>
      <c r="E111" s="470"/>
      <c r="F111" s="481"/>
      <c r="G111" s="470">
        <v>85973.420000000013</v>
      </c>
      <c r="H111" s="481">
        <f t="shared" si="228"/>
        <v>2.4469653038135804E-2</v>
      </c>
      <c r="I111" s="346">
        <v>138672.25</v>
      </c>
      <c r="J111" s="484">
        <f t="shared" si="222"/>
        <v>3.1676917170845045E-2</v>
      </c>
      <c r="K111" s="65"/>
      <c r="L111" s="507">
        <v>61.6</v>
      </c>
      <c r="M111" s="505">
        <v>102.1</v>
      </c>
      <c r="N111" s="506">
        <f t="shared" si="229"/>
        <v>307.14999999999998</v>
      </c>
      <c r="O111" s="481">
        <f t="shared" si="223"/>
        <v>3.0334903657175578E-2</v>
      </c>
      <c r="P111" s="542"/>
      <c r="Q111" s="539"/>
      <c r="R111" s="545"/>
      <c r="S111" s="539"/>
      <c r="T111" s="545"/>
      <c r="U111" s="539"/>
      <c r="V111" s="550"/>
      <c r="W111" s="548"/>
      <c r="Y111" s="558">
        <v>427</v>
      </c>
      <c r="Z111" s="539">
        <f t="shared" si="224"/>
        <v>3.4187349879903926E-2</v>
      </c>
      <c r="AA111" s="545">
        <v>145</v>
      </c>
      <c r="AB111" s="539">
        <f t="shared" si="225"/>
        <v>1.5701136978884679E-2</v>
      </c>
      <c r="AC111" s="545">
        <v>66</v>
      </c>
      <c r="AD111" s="539">
        <f t="shared" si="226"/>
        <v>2.4933887419720437E-2</v>
      </c>
      <c r="AE111" s="545">
        <f t="shared" si="241"/>
        <v>638</v>
      </c>
      <c r="AF111" s="32">
        <f t="shared" si="230"/>
        <v>2.6177580830461185E-2</v>
      </c>
      <c r="AG111" s="542">
        <v>5</v>
      </c>
      <c r="AH111" s="539">
        <f t="shared" si="227"/>
        <v>2.032520325203252E-2</v>
      </c>
      <c r="AI111" s="545">
        <v>1</v>
      </c>
      <c r="AJ111" s="539">
        <f t="shared" si="231"/>
        <v>4.0290088638195002E-4</v>
      </c>
      <c r="AK111" s="545">
        <v>9</v>
      </c>
      <c r="AL111" s="539">
        <f t="shared" si="232"/>
        <v>3.7344398340248962E-2</v>
      </c>
      <c r="AM111" s="545">
        <f t="shared" si="242"/>
        <v>15</v>
      </c>
      <c r="AN111" s="471">
        <f t="shared" si="233"/>
        <v>5.0522061300101043E-3</v>
      </c>
      <c r="AO111" s="542">
        <v>7049</v>
      </c>
      <c r="AP111" s="539">
        <f t="shared" si="234"/>
        <v>2.2859773563386952E-2</v>
      </c>
      <c r="AQ111" s="545">
        <v>47958</v>
      </c>
      <c r="AR111" s="539">
        <f t="shared" si="234"/>
        <v>6.7389518244618127E-2</v>
      </c>
      <c r="AS111" s="545">
        <v>1</v>
      </c>
      <c r="AT111" s="539">
        <f t="shared" ref="AT111" si="301">AS111/AS$92</f>
        <v>1.4404597486570597E-5</v>
      </c>
      <c r="AU111" s="545">
        <f t="shared" si="243"/>
        <v>55008</v>
      </c>
      <c r="AV111" s="471">
        <f t="shared" si="236"/>
        <v>5.0492262846447721E-2</v>
      </c>
      <c r="AW111" s="542">
        <v>352</v>
      </c>
      <c r="AX111" s="539">
        <f t="shared" ref="AX111" si="302">AW111/AW$92</f>
        <v>7.4192917012988089E-4</v>
      </c>
      <c r="AY111" s="545">
        <v>45020</v>
      </c>
      <c r="AZ111" s="539">
        <f t="shared" ref="AZ111" si="303">AY111/AY$92</f>
        <v>6.1880113012714254E-2</v>
      </c>
      <c r="BA111" s="545">
        <v>1280</v>
      </c>
      <c r="BB111" s="539">
        <f t="shared" ref="BB111" si="304">BA111/BA$92</f>
        <v>0.10566339275248186</v>
      </c>
      <c r="BC111" s="545">
        <f t="shared" si="244"/>
        <v>46652</v>
      </c>
      <c r="BD111" s="548">
        <f t="shared" si="240"/>
        <v>3.8425531711606557E-2</v>
      </c>
      <c r="BE111" s="338"/>
      <c r="BF111" s="338"/>
      <c r="BG111" s="350"/>
    </row>
    <row r="112" spans="1:59" ht="11.25" customHeight="1" x14ac:dyDescent="0.25">
      <c r="A112" s="455">
        <v>43000</v>
      </c>
      <c r="B112" s="456" t="s">
        <v>99</v>
      </c>
      <c r="C112" s="346"/>
      <c r="D112" s="487"/>
      <c r="E112" s="470"/>
      <c r="F112" s="481"/>
      <c r="G112" s="470">
        <v>114498.38</v>
      </c>
      <c r="H112" s="481">
        <f t="shared" si="228"/>
        <v>3.2588393389824756E-2</v>
      </c>
      <c r="I112" s="346">
        <v>133610.21000000002</v>
      </c>
      <c r="J112" s="484">
        <f t="shared" si="222"/>
        <v>3.0520594822318187E-2</v>
      </c>
      <c r="K112" s="65"/>
      <c r="L112" s="507">
        <v>55.5</v>
      </c>
      <c r="M112" s="505">
        <v>103</v>
      </c>
      <c r="N112" s="506">
        <f t="shared" si="229"/>
        <v>293.25</v>
      </c>
      <c r="O112" s="481">
        <f t="shared" si="223"/>
        <v>2.8962104826523651E-2</v>
      </c>
      <c r="P112" s="542"/>
      <c r="Q112" s="539"/>
      <c r="R112" s="545"/>
      <c r="S112" s="539"/>
      <c r="T112" s="545"/>
      <c r="U112" s="539"/>
      <c r="V112" s="550"/>
      <c r="W112" s="548"/>
      <c r="Y112" s="558">
        <v>238</v>
      </c>
      <c r="Z112" s="539">
        <f t="shared" si="224"/>
        <v>1.9055244195356286E-2</v>
      </c>
      <c r="AA112" s="545">
        <v>94</v>
      </c>
      <c r="AB112" s="539">
        <f t="shared" si="225"/>
        <v>1.0178668110449377E-2</v>
      </c>
      <c r="AC112" s="545">
        <v>31</v>
      </c>
      <c r="AD112" s="539">
        <f t="shared" si="226"/>
        <v>1.1711371363808084E-2</v>
      </c>
      <c r="AE112" s="545">
        <f t="shared" si="241"/>
        <v>363</v>
      </c>
      <c r="AF112" s="32">
        <f t="shared" si="230"/>
        <v>1.4894140817331364E-2</v>
      </c>
      <c r="AG112" s="542">
        <v>11</v>
      </c>
      <c r="AH112" s="539">
        <f t="shared" si="227"/>
        <v>4.4715447154471545E-2</v>
      </c>
      <c r="AI112" s="545">
        <v>10</v>
      </c>
      <c r="AJ112" s="539">
        <f t="shared" si="231"/>
        <v>4.0290088638195E-3</v>
      </c>
      <c r="AK112" s="545">
        <v>30</v>
      </c>
      <c r="AL112" s="539">
        <f t="shared" si="232"/>
        <v>0.12448132780082988</v>
      </c>
      <c r="AM112" s="545">
        <f t="shared" si="242"/>
        <v>51</v>
      </c>
      <c r="AN112" s="471">
        <f t="shared" si="233"/>
        <v>1.7177500842034354E-2</v>
      </c>
      <c r="AO112" s="542">
        <v>6251</v>
      </c>
      <c r="AP112" s="539">
        <f t="shared" si="234"/>
        <v>2.0271874669418617E-2</v>
      </c>
      <c r="AQ112" s="545">
        <v>24241</v>
      </c>
      <c r="AR112" s="539">
        <f t="shared" si="234"/>
        <v>3.406291571307786E-2</v>
      </c>
      <c r="AS112" s="545">
        <v>2779</v>
      </c>
      <c r="AT112" s="539">
        <f t="shared" ref="AT112" si="305">AS112/AS$92</f>
        <v>4.0030376415179689E-2</v>
      </c>
      <c r="AU112" s="545">
        <f t="shared" si="243"/>
        <v>33271</v>
      </c>
      <c r="AV112" s="471">
        <f t="shared" si="236"/>
        <v>3.0539704718662054E-2</v>
      </c>
      <c r="AW112" s="542">
        <v>5431</v>
      </c>
      <c r="AX112" s="539">
        <f t="shared" ref="AX112" si="306">AW112/AW$92</f>
        <v>1.1447208303907339E-2</v>
      </c>
      <c r="AY112" s="545">
        <v>17534</v>
      </c>
      <c r="AZ112" s="539">
        <f t="shared" ref="AZ112" si="307">AY112/AY$92</f>
        <v>2.4100530909927403E-2</v>
      </c>
      <c r="BA112" s="545">
        <v>426</v>
      </c>
      <c r="BB112" s="539">
        <f t="shared" ref="BB112" si="308">BA112/BA$92</f>
        <v>3.5166097900435372E-2</v>
      </c>
      <c r="BC112" s="545">
        <f t="shared" si="244"/>
        <v>23391</v>
      </c>
      <c r="BD112" s="548">
        <f t="shared" si="240"/>
        <v>1.9266303958376682E-2</v>
      </c>
      <c r="BE112" s="338"/>
      <c r="BF112" s="338"/>
      <c r="BG112" s="350"/>
    </row>
    <row r="113" spans="1:59" ht="11.25" customHeight="1" x14ac:dyDescent="0.25">
      <c r="A113" s="455">
        <v>51000</v>
      </c>
      <c r="B113" s="456" t="s">
        <v>100</v>
      </c>
      <c r="C113" s="346"/>
      <c r="D113" s="487"/>
      <c r="E113" s="470"/>
      <c r="F113" s="481"/>
      <c r="G113" s="470">
        <v>23102.720000000001</v>
      </c>
      <c r="H113" s="481">
        <f t="shared" si="228"/>
        <v>6.575468820912333E-3</v>
      </c>
      <c r="I113" s="346">
        <v>12593.29</v>
      </c>
      <c r="J113" s="484">
        <f t="shared" si="222"/>
        <v>2.8766866062851885E-3</v>
      </c>
      <c r="K113" s="65"/>
      <c r="L113" s="507">
        <v>63.2</v>
      </c>
      <c r="M113" s="505">
        <v>63.9</v>
      </c>
      <c r="N113" s="506">
        <f t="shared" si="229"/>
        <v>253.85</v>
      </c>
      <c r="O113" s="481">
        <f t="shared" si="223"/>
        <v>2.5070862097913142E-2</v>
      </c>
      <c r="P113" s="542"/>
      <c r="Q113" s="539"/>
      <c r="R113" s="545"/>
      <c r="S113" s="539"/>
      <c r="T113" s="545"/>
      <c r="U113" s="539"/>
      <c r="V113" s="550"/>
      <c r="W113" s="548"/>
      <c r="Y113" s="558">
        <v>61</v>
      </c>
      <c r="Z113" s="539">
        <f t="shared" si="224"/>
        <v>4.88390712570056E-3</v>
      </c>
      <c r="AA113" s="545">
        <v>84</v>
      </c>
      <c r="AB113" s="539">
        <f t="shared" si="225"/>
        <v>9.095831077422848E-3</v>
      </c>
      <c r="AC113" s="545">
        <v>21</v>
      </c>
      <c r="AD113" s="539">
        <f t="shared" si="226"/>
        <v>7.9335096335474125E-3</v>
      </c>
      <c r="AE113" s="545">
        <f t="shared" si="241"/>
        <v>166</v>
      </c>
      <c r="AF113" s="32">
        <f t="shared" si="230"/>
        <v>6.8110946988347281E-3</v>
      </c>
      <c r="AG113" s="542">
        <v>13</v>
      </c>
      <c r="AH113" s="539">
        <f t="shared" si="227"/>
        <v>5.2845528455284556E-2</v>
      </c>
      <c r="AI113" s="545">
        <v>8</v>
      </c>
      <c r="AJ113" s="539">
        <f t="shared" si="231"/>
        <v>3.2232070910556002E-3</v>
      </c>
      <c r="AK113" s="545"/>
      <c r="AL113" s="539">
        <f t="shared" si="232"/>
        <v>0</v>
      </c>
      <c r="AM113" s="545">
        <f t="shared" si="242"/>
        <v>21</v>
      </c>
      <c r="AN113" s="471">
        <f t="shared" si="233"/>
        <v>7.073088582014146E-3</v>
      </c>
      <c r="AO113" s="542">
        <v>2750.94</v>
      </c>
      <c r="AP113" s="539">
        <f t="shared" si="234"/>
        <v>8.9212463450792593E-3</v>
      </c>
      <c r="AQ113" s="545">
        <v>4665.4800000000005</v>
      </c>
      <c r="AR113" s="539">
        <f t="shared" si="234"/>
        <v>6.5558290500000215E-3</v>
      </c>
      <c r="AS113" s="545">
        <v>0</v>
      </c>
      <c r="AT113" s="539">
        <f t="shared" ref="AT113" si="309">AS113/AS$92</f>
        <v>0</v>
      </c>
      <c r="AU113" s="545">
        <f t="shared" si="243"/>
        <v>7416.42</v>
      </c>
      <c r="AV113" s="471">
        <f t="shared" si="236"/>
        <v>6.8075884965759859E-3</v>
      </c>
      <c r="AW113" s="542">
        <v>8564.94</v>
      </c>
      <c r="AX113" s="539">
        <f t="shared" ref="AX113" si="310">AW113/AW$92</f>
        <v>1.8052780756852904E-2</v>
      </c>
      <c r="AY113" s="545">
        <v>5383.56</v>
      </c>
      <c r="AZ113" s="539">
        <f t="shared" ref="AZ113" si="311">AY113/AY$92</f>
        <v>7.3997179300472676E-3</v>
      </c>
      <c r="BA113" s="545">
        <v>0</v>
      </c>
      <c r="BB113" s="539">
        <f t="shared" ref="BB113" si="312">BA113/BA$92</f>
        <v>0</v>
      </c>
      <c r="BC113" s="545">
        <f t="shared" si="244"/>
        <v>13948.5</v>
      </c>
      <c r="BD113" s="548">
        <f t="shared" si="240"/>
        <v>1.1488864980694161E-2</v>
      </c>
      <c r="BE113" s="338"/>
      <c r="BF113" s="338"/>
      <c r="BG113" s="350"/>
    </row>
    <row r="114" spans="1:59" ht="11.25" customHeight="1" x14ac:dyDescent="0.25">
      <c r="A114" s="455">
        <v>52000</v>
      </c>
      <c r="B114" s="456" t="s">
        <v>101</v>
      </c>
      <c r="C114" s="346"/>
      <c r="D114" s="487"/>
      <c r="E114" s="470"/>
      <c r="F114" s="481"/>
      <c r="G114" s="470">
        <v>7180.7999999999993</v>
      </c>
      <c r="H114" s="481">
        <f t="shared" si="228"/>
        <v>2.043790796460645E-3</v>
      </c>
      <c r="I114" s="346">
        <v>3353.9300000000003</v>
      </c>
      <c r="J114" s="484">
        <f t="shared" si="222"/>
        <v>7.6613859518982589E-4</v>
      </c>
      <c r="K114" s="65"/>
      <c r="L114" s="507">
        <v>13.3</v>
      </c>
      <c r="M114" s="505">
        <v>7.3</v>
      </c>
      <c r="N114" s="506">
        <f>L114*2.5+M114*1.5</f>
        <v>44.2</v>
      </c>
      <c r="O114" s="481">
        <f t="shared" si="223"/>
        <v>4.3653027564615364E-3</v>
      </c>
      <c r="P114" s="542"/>
      <c r="Q114" s="539"/>
      <c r="R114" s="545"/>
      <c r="S114" s="539"/>
      <c r="T114" s="545"/>
      <c r="U114" s="539"/>
      <c r="V114" s="550"/>
      <c r="W114" s="548"/>
      <c r="Y114" s="558"/>
      <c r="Z114" s="539">
        <f t="shared" si="224"/>
        <v>0</v>
      </c>
      <c r="AA114" s="545">
        <v>27</v>
      </c>
      <c r="AB114" s="539">
        <f t="shared" si="225"/>
        <v>2.9236599891716295E-3</v>
      </c>
      <c r="AC114" s="545">
        <v>3</v>
      </c>
      <c r="AD114" s="539">
        <f t="shared" si="226"/>
        <v>1.1333585190782018E-3</v>
      </c>
      <c r="AE114" s="545">
        <f t="shared" si="241"/>
        <v>30</v>
      </c>
      <c r="AF114" s="32">
        <f t="shared" si="230"/>
        <v>1.2309207287050715E-3</v>
      </c>
      <c r="AG114" s="542"/>
      <c r="AH114" s="539">
        <f t="shared" si="227"/>
        <v>0</v>
      </c>
      <c r="AI114" s="545">
        <v>0</v>
      </c>
      <c r="AJ114" s="539">
        <f t="shared" si="231"/>
        <v>0</v>
      </c>
      <c r="AK114" s="545"/>
      <c r="AL114" s="539">
        <f t="shared" si="232"/>
        <v>0</v>
      </c>
      <c r="AM114" s="545">
        <f t="shared" si="242"/>
        <v>0</v>
      </c>
      <c r="AN114" s="471">
        <f t="shared" si="233"/>
        <v>0</v>
      </c>
      <c r="AO114" s="542">
        <v>0</v>
      </c>
      <c r="AP114" s="539">
        <f t="shared" si="234"/>
        <v>0</v>
      </c>
      <c r="AQ114" s="545">
        <v>3190</v>
      </c>
      <c r="AR114" s="539">
        <f t="shared" si="234"/>
        <v>4.4825172692842035E-3</v>
      </c>
      <c r="AS114" s="545">
        <v>0</v>
      </c>
      <c r="AT114" s="539">
        <f t="shared" ref="AT114" si="313">AS114/AS$92</f>
        <v>0</v>
      </c>
      <c r="AU114" s="545">
        <f t="shared" si="243"/>
        <v>3190</v>
      </c>
      <c r="AV114" s="471">
        <f t="shared" si="236"/>
        <v>2.9281253359541926E-3</v>
      </c>
      <c r="AW114" s="542">
        <v>0</v>
      </c>
      <c r="AX114" s="539">
        <f t="shared" ref="AX114" si="314">AW114/AW$92</f>
        <v>0</v>
      </c>
      <c r="AY114" s="545">
        <v>4455</v>
      </c>
      <c r="AZ114" s="539">
        <f t="shared" ref="AZ114" si="315">AY114/AY$92</f>
        <v>6.1234096728485562E-3</v>
      </c>
      <c r="BA114" s="545">
        <v>0</v>
      </c>
      <c r="BB114" s="539">
        <f t="shared" ref="BB114" si="316">BA114/BA$92</f>
        <v>0</v>
      </c>
      <c r="BC114" s="545">
        <f t="shared" si="244"/>
        <v>4455</v>
      </c>
      <c r="BD114" s="548">
        <f t="shared" si="240"/>
        <v>3.6694191840694335E-3</v>
      </c>
      <c r="BE114" s="338"/>
      <c r="BF114" s="338"/>
      <c r="BG114" s="350"/>
    </row>
    <row r="115" spans="1:59" ht="11.25" customHeight="1" x14ac:dyDescent="0.25">
      <c r="A115" s="455">
        <v>53000</v>
      </c>
      <c r="B115" s="456" t="s">
        <v>102</v>
      </c>
      <c r="C115" s="346"/>
      <c r="D115" s="487"/>
      <c r="E115" s="470"/>
      <c r="F115" s="481"/>
      <c r="G115" s="470">
        <v>3244</v>
      </c>
      <c r="H115" s="481">
        <f t="shared" si="228"/>
        <v>9.2330344024597996E-4</v>
      </c>
      <c r="I115" s="346">
        <v>10029.529999999999</v>
      </c>
      <c r="J115" s="484">
        <f t="shared" si="222"/>
        <v>2.2910466302559127E-3</v>
      </c>
      <c r="K115" s="65"/>
      <c r="L115" s="507">
        <v>6.6</v>
      </c>
      <c r="M115" s="505">
        <v>10</v>
      </c>
      <c r="N115" s="506">
        <f t="shared" si="229"/>
        <v>31.5</v>
      </c>
      <c r="O115" s="481">
        <f t="shared" si="223"/>
        <v>3.1110189327723612E-3</v>
      </c>
      <c r="P115" s="542"/>
      <c r="Q115" s="539"/>
      <c r="R115" s="545"/>
      <c r="S115" s="539"/>
      <c r="T115" s="545"/>
      <c r="U115" s="539"/>
      <c r="V115" s="550"/>
      <c r="W115" s="548"/>
      <c r="Y115" s="558">
        <v>4</v>
      </c>
      <c r="Z115" s="539">
        <f t="shared" si="224"/>
        <v>3.2025620496397119E-4</v>
      </c>
      <c r="AA115" s="545">
        <v>33</v>
      </c>
      <c r="AB115" s="539">
        <f t="shared" si="225"/>
        <v>3.5733622089875474E-3</v>
      </c>
      <c r="AC115" s="545">
        <v>2</v>
      </c>
      <c r="AD115" s="539">
        <f t="shared" si="226"/>
        <v>7.5557234605213447E-4</v>
      </c>
      <c r="AE115" s="545">
        <f t="shared" si="241"/>
        <v>39</v>
      </c>
      <c r="AF115" s="32">
        <f t="shared" si="230"/>
        <v>1.6001969473165929E-3</v>
      </c>
      <c r="AG115" s="542"/>
      <c r="AH115" s="539">
        <f t="shared" si="227"/>
        <v>0</v>
      </c>
      <c r="AI115" s="545">
        <v>15</v>
      </c>
      <c r="AJ115" s="539">
        <f t="shared" si="231"/>
        <v>6.0435132957292505E-3</v>
      </c>
      <c r="AK115" s="545"/>
      <c r="AL115" s="539">
        <f t="shared" si="232"/>
        <v>0</v>
      </c>
      <c r="AM115" s="545">
        <f t="shared" si="242"/>
        <v>15</v>
      </c>
      <c r="AN115" s="471">
        <f t="shared" si="233"/>
        <v>5.0522061300101043E-3</v>
      </c>
      <c r="AO115" s="542">
        <v>0</v>
      </c>
      <c r="AP115" s="539">
        <f t="shared" si="234"/>
        <v>0</v>
      </c>
      <c r="AQ115" s="545">
        <v>2086</v>
      </c>
      <c r="AR115" s="539">
        <f t="shared" si="234"/>
        <v>2.9312009478767551E-3</v>
      </c>
      <c r="AS115" s="545">
        <v>0</v>
      </c>
      <c r="AT115" s="539">
        <f t="shared" ref="AT115" si="317">AS115/AS$92</f>
        <v>0</v>
      </c>
      <c r="AU115" s="545">
        <f t="shared" si="243"/>
        <v>2086</v>
      </c>
      <c r="AV115" s="471">
        <f t="shared" si="236"/>
        <v>1.9147553137305474E-3</v>
      </c>
      <c r="AW115" s="542">
        <v>0</v>
      </c>
      <c r="AX115" s="539">
        <f t="shared" ref="AX115" si="318">AW115/AW$92</f>
        <v>0</v>
      </c>
      <c r="AY115" s="545">
        <v>7082</v>
      </c>
      <c r="AZ115" s="539">
        <f t="shared" ref="AZ115" si="319">AY115/AY$92</f>
        <v>9.7342283508672217E-3</v>
      </c>
      <c r="BA115" s="545">
        <v>0</v>
      </c>
      <c r="BB115" s="539">
        <f t="shared" ref="BB115" si="320">BA115/BA$92</f>
        <v>0</v>
      </c>
      <c r="BC115" s="545">
        <f t="shared" si="244"/>
        <v>7082</v>
      </c>
      <c r="BD115" s="548">
        <f t="shared" si="240"/>
        <v>5.8331821911514533E-3</v>
      </c>
      <c r="BE115" s="338"/>
      <c r="BF115" s="338"/>
      <c r="BG115" s="350"/>
    </row>
    <row r="116" spans="1:59" ht="11.25" customHeight="1" x14ac:dyDescent="0.25">
      <c r="A116" s="455">
        <v>54000</v>
      </c>
      <c r="B116" s="456" t="s">
        <v>103</v>
      </c>
      <c r="C116" s="346"/>
      <c r="D116" s="487"/>
      <c r="E116" s="470"/>
      <c r="F116" s="481"/>
      <c r="G116" s="470">
        <v>1216.8599999999999</v>
      </c>
      <c r="H116" s="481">
        <f t="shared" si="228"/>
        <v>3.463412528661292E-4</v>
      </c>
      <c r="I116" s="346">
        <v>7796.380000000001</v>
      </c>
      <c r="J116" s="484">
        <f t="shared" si="222"/>
        <v>1.7809279325346847E-3</v>
      </c>
      <c r="K116" s="65"/>
      <c r="L116" s="507">
        <v>21.3</v>
      </c>
      <c r="M116" s="505">
        <v>34.799999999999997</v>
      </c>
      <c r="N116" s="506">
        <f t="shared" si="229"/>
        <v>105.44999999999999</v>
      </c>
      <c r="O116" s="481">
        <f t="shared" si="223"/>
        <v>1.0414506236852238E-2</v>
      </c>
      <c r="P116" s="542"/>
      <c r="Q116" s="539"/>
      <c r="R116" s="545"/>
      <c r="S116" s="539"/>
      <c r="T116" s="545"/>
      <c r="U116" s="539"/>
      <c r="V116" s="550"/>
      <c r="W116" s="548"/>
      <c r="Y116" s="558">
        <v>41</v>
      </c>
      <c r="Z116" s="539">
        <f t="shared" si="224"/>
        <v>3.2826261008807047E-3</v>
      </c>
      <c r="AA116" s="545">
        <v>46</v>
      </c>
      <c r="AB116" s="539">
        <f t="shared" si="225"/>
        <v>4.9810503519220357E-3</v>
      </c>
      <c r="AC116" s="545">
        <v>14</v>
      </c>
      <c r="AD116" s="539">
        <f t="shared" si="226"/>
        <v>5.2890064223649414E-3</v>
      </c>
      <c r="AE116" s="545">
        <f t="shared" si="241"/>
        <v>101</v>
      </c>
      <c r="AF116" s="32">
        <f t="shared" si="230"/>
        <v>4.1440997866404074E-3</v>
      </c>
      <c r="AG116" s="542"/>
      <c r="AH116" s="539">
        <f t="shared" si="227"/>
        <v>0</v>
      </c>
      <c r="AI116" s="545">
        <v>0</v>
      </c>
      <c r="AJ116" s="539">
        <f t="shared" si="231"/>
        <v>0</v>
      </c>
      <c r="AK116" s="545"/>
      <c r="AL116" s="539">
        <f t="shared" si="232"/>
        <v>0</v>
      </c>
      <c r="AM116" s="545">
        <f t="shared" si="242"/>
        <v>0</v>
      </c>
      <c r="AN116" s="471">
        <f t="shared" si="233"/>
        <v>0</v>
      </c>
      <c r="AO116" s="542">
        <v>2404.14</v>
      </c>
      <c r="AP116" s="539">
        <f t="shared" si="234"/>
        <v>7.796580509956178E-3</v>
      </c>
      <c r="AQ116" s="545">
        <v>4349.28</v>
      </c>
      <c r="AR116" s="539">
        <f t="shared" si="234"/>
        <v>6.1115118209882132E-3</v>
      </c>
      <c r="AS116" s="545">
        <v>1358.64</v>
      </c>
      <c r="AT116" s="539">
        <f t="shared" ref="AT116" si="321">AS116/AS$92</f>
        <v>1.9570662329154276E-2</v>
      </c>
      <c r="AU116" s="545">
        <f t="shared" si="243"/>
        <v>8112.06</v>
      </c>
      <c r="AV116" s="471">
        <f t="shared" si="236"/>
        <v>7.4461217594923414E-3</v>
      </c>
      <c r="AW116" s="542">
        <v>2234.8200000000002</v>
      </c>
      <c r="AX116" s="539">
        <f t="shared" ref="AX116" si="322">AW116/AW$92</f>
        <v>4.7104492840615358E-3</v>
      </c>
      <c r="AY116" s="545">
        <v>501.84000000000003</v>
      </c>
      <c r="AZ116" s="539">
        <f t="shared" ref="AZ116" si="323">AY116/AY$92</f>
        <v>6.8978045122835457E-4</v>
      </c>
      <c r="BA116" s="545">
        <v>0</v>
      </c>
      <c r="BB116" s="539">
        <f t="shared" ref="BB116" si="324">BA116/BA$92</f>
        <v>0</v>
      </c>
      <c r="BC116" s="545">
        <f t="shared" si="244"/>
        <v>2736.6600000000003</v>
      </c>
      <c r="BD116" s="548">
        <f t="shared" si="240"/>
        <v>2.2540859044389351E-3</v>
      </c>
      <c r="BE116" s="338"/>
      <c r="BF116" s="338"/>
      <c r="BG116" s="350"/>
    </row>
    <row r="117" spans="1:59" ht="11.25" customHeight="1" x14ac:dyDescent="0.25">
      <c r="A117" s="455">
        <v>55000</v>
      </c>
      <c r="B117" s="456" t="s">
        <v>104</v>
      </c>
      <c r="C117" s="346"/>
      <c r="D117" s="487"/>
      <c r="E117" s="470"/>
      <c r="F117" s="481"/>
      <c r="G117" s="470">
        <v>272.85000000000002</v>
      </c>
      <c r="H117" s="481">
        <f t="shared" si="228"/>
        <v>7.7658244041650949E-5</v>
      </c>
      <c r="I117" s="346">
        <v>12430.410000000002</v>
      </c>
      <c r="J117" s="484">
        <f t="shared" si="222"/>
        <v>2.8394799101452814E-3</v>
      </c>
      <c r="K117" s="65"/>
      <c r="L117" s="507">
        <v>4</v>
      </c>
      <c r="M117" s="505">
        <v>7.9</v>
      </c>
      <c r="N117" s="506">
        <f t="shared" si="229"/>
        <v>21.85</v>
      </c>
      <c r="O117" s="481">
        <f t="shared" si="223"/>
        <v>2.1579607517801937E-3</v>
      </c>
      <c r="P117" s="542"/>
      <c r="Q117" s="539"/>
      <c r="R117" s="545"/>
      <c r="S117" s="539"/>
      <c r="T117" s="545"/>
      <c r="U117" s="539"/>
      <c r="V117" s="550"/>
      <c r="W117" s="548"/>
      <c r="Y117" s="558">
        <v>23</v>
      </c>
      <c r="Z117" s="539">
        <f t="shared" si="224"/>
        <v>1.8414731785428343E-3</v>
      </c>
      <c r="AA117" s="545">
        <v>0</v>
      </c>
      <c r="AB117" s="539">
        <f t="shared" si="225"/>
        <v>0</v>
      </c>
      <c r="AC117" s="545"/>
      <c r="AD117" s="539">
        <f t="shared" si="226"/>
        <v>0</v>
      </c>
      <c r="AE117" s="545">
        <f t="shared" si="241"/>
        <v>23</v>
      </c>
      <c r="AF117" s="32">
        <f t="shared" si="230"/>
        <v>9.4370589200722143E-4</v>
      </c>
      <c r="AG117" s="542"/>
      <c r="AH117" s="539">
        <f t="shared" si="227"/>
        <v>0</v>
      </c>
      <c r="AI117" s="545">
        <v>0</v>
      </c>
      <c r="AJ117" s="539">
        <f t="shared" si="231"/>
        <v>0</v>
      </c>
      <c r="AK117" s="545"/>
      <c r="AL117" s="539">
        <f t="shared" si="232"/>
        <v>0</v>
      </c>
      <c r="AM117" s="545">
        <f t="shared" si="242"/>
        <v>0</v>
      </c>
      <c r="AN117" s="471">
        <f t="shared" si="233"/>
        <v>0</v>
      </c>
      <c r="AO117" s="542">
        <v>7592</v>
      </c>
      <c r="AP117" s="539">
        <f t="shared" si="234"/>
        <v>2.4620712284470665E-2</v>
      </c>
      <c r="AQ117" s="545">
        <v>0</v>
      </c>
      <c r="AR117" s="539">
        <f t="shared" si="234"/>
        <v>0</v>
      </c>
      <c r="AS117" s="545">
        <v>0</v>
      </c>
      <c r="AT117" s="539">
        <f t="shared" ref="AT117" si="325">AS117/AS$92</f>
        <v>0</v>
      </c>
      <c r="AU117" s="545">
        <f t="shared" si="243"/>
        <v>7592</v>
      </c>
      <c r="AV117" s="471">
        <f t="shared" si="236"/>
        <v>6.9687547180452133E-3</v>
      </c>
      <c r="AW117" s="542">
        <v>884</v>
      </c>
      <c r="AX117" s="539">
        <f t="shared" ref="AX117" si="326">AW117/AW$92</f>
        <v>1.8632539386216327E-3</v>
      </c>
      <c r="AY117" s="545">
        <v>0</v>
      </c>
      <c r="AZ117" s="539">
        <f t="shared" ref="AZ117" si="327">AY117/AY$92</f>
        <v>0</v>
      </c>
      <c r="BA117" s="545">
        <v>0</v>
      </c>
      <c r="BB117" s="539">
        <f t="shared" ref="BB117" si="328">BA117/BA$92</f>
        <v>0</v>
      </c>
      <c r="BC117" s="545">
        <f t="shared" si="244"/>
        <v>884</v>
      </c>
      <c r="BD117" s="548">
        <f t="shared" si="240"/>
        <v>7.2811819499828936E-4</v>
      </c>
      <c r="BE117" s="338"/>
      <c r="BF117" s="338"/>
    </row>
    <row r="118" spans="1:59" ht="11.25" customHeight="1" thickBot="1" x14ac:dyDescent="0.3">
      <c r="A118" s="501">
        <v>56000</v>
      </c>
      <c r="B118" s="502" t="s">
        <v>105</v>
      </c>
      <c r="C118" s="474"/>
      <c r="D118" s="488"/>
      <c r="E118" s="472"/>
      <c r="F118" s="482"/>
      <c r="G118" s="472">
        <v>0</v>
      </c>
      <c r="H118" s="482">
        <f t="shared" si="228"/>
        <v>0</v>
      </c>
      <c r="I118" s="474">
        <v>6467.3099999999995</v>
      </c>
      <c r="J118" s="485">
        <f t="shared" si="222"/>
        <v>1.4773283276803965E-3</v>
      </c>
      <c r="K118" s="65"/>
      <c r="L118" s="508">
        <v>3.3</v>
      </c>
      <c r="M118" s="509">
        <v>3.5</v>
      </c>
      <c r="N118" s="510">
        <f t="shared" si="229"/>
        <v>13.5</v>
      </c>
      <c r="O118" s="482">
        <f t="shared" si="223"/>
        <v>1.333293828331012E-3</v>
      </c>
      <c r="P118" s="543"/>
      <c r="Q118" s="540"/>
      <c r="R118" s="546"/>
      <c r="S118" s="540"/>
      <c r="T118" s="546"/>
      <c r="U118" s="540"/>
      <c r="V118" s="551"/>
      <c r="W118" s="549"/>
      <c r="Y118" s="560">
        <v>9</v>
      </c>
      <c r="Z118" s="553">
        <f t="shared" si="224"/>
        <v>7.2057646116893519E-4</v>
      </c>
      <c r="AA118" s="554">
        <v>0</v>
      </c>
      <c r="AB118" s="553">
        <f t="shared" si="225"/>
        <v>0</v>
      </c>
      <c r="AC118" s="554"/>
      <c r="AD118" s="553">
        <f t="shared" si="226"/>
        <v>0</v>
      </c>
      <c r="AE118" s="554">
        <f t="shared" si="241"/>
        <v>9</v>
      </c>
      <c r="AF118" s="562">
        <f t="shared" si="230"/>
        <v>3.6927621861152144E-4</v>
      </c>
      <c r="AG118" s="552"/>
      <c r="AH118" s="553">
        <f t="shared" si="227"/>
        <v>0</v>
      </c>
      <c r="AI118" s="554">
        <v>0</v>
      </c>
      <c r="AJ118" s="553">
        <f t="shared" si="231"/>
        <v>0</v>
      </c>
      <c r="AK118" s="554"/>
      <c r="AL118" s="553">
        <f t="shared" si="232"/>
        <v>0</v>
      </c>
      <c r="AM118" s="554">
        <f t="shared" si="242"/>
        <v>0</v>
      </c>
      <c r="AN118" s="561">
        <f t="shared" si="233"/>
        <v>0</v>
      </c>
      <c r="AO118" s="552">
        <v>0</v>
      </c>
      <c r="AP118" s="553">
        <f t="shared" si="234"/>
        <v>0</v>
      </c>
      <c r="AQ118" s="554">
        <v>0</v>
      </c>
      <c r="AR118" s="553">
        <f t="shared" si="234"/>
        <v>0</v>
      </c>
      <c r="AS118" s="554">
        <v>0</v>
      </c>
      <c r="AT118" s="553">
        <f t="shared" ref="AT118" si="329">AS118/AS$92</f>
        <v>0</v>
      </c>
      <c r="AU118" s="554">
        <f t="shared" si="243"/>
        <v>0</v>
      </c>
      <c r="AV118" s="561">
        <f t="shared" si="236"/>
        <v>0</v>
      </c>
      <c r="AW118" s="552">
        <v>0</v>
      </c>
      <c r="AX118" s="553">
        <f t="shared" ref="AX118" si="330">AW118/AW$92</f>
        <v>0</v>
      </c>
      <c r="AY118" s="554">
        <v>0</v>
      </c>
      <c r="AZ118" s="553">
        <f t="shared" ref="AZ118" si="331">AY118/AY$92</f>
        <v>0</v>
      </c>
      <c r="BA118" s="554">
        <v>0</v>
      </c>
      <c r="BB118" s="553">
        <f t="shared" ref="BB118" si="332">BA118/BA$92</f>
        <v>0</v>
      </c>
      <c r="BC118" s="554">
        <f t="shared" si="244"/>
        <v>0</v>
      </c>
      <c r="BD118" s="556">
        <f t="shared" si="240"/>
        <v>0</v>
      </c>
      <c r="BE118" s="338"/>
      <c r="BF118" s="338"/>
    </row>
    <row r="119" spans="1:59" ht="9" customHeight="1" x14ac:dyDescent="0.25">
      <c r="C119" s="344"/>
      <c r="D119" s="344"/>
      <c r="G119" s="351"/>
      <c r="H119" s="348"/>
      <c r="I119" s="351"/>
      <c r="J119" s="348"/>
      <c r="K119" s="348"/>
      <c r="L119" s="348"/>
      <c r="M119" s="348"/>
      <c r="N119" s="348"/>
      <c r="O119" s="348"/>
      <c r="P119" s="343"/>
      <c r="Q119" s="343"/>
      <c r="R119" s="343"/>
      <c r="S119" s="343"/>
      <c r="T119" s="343"/>
      <c r="U119" s="343"/>
      <c r="V119" s="343"/>
      <c r="W119" s="343"/>
      <c r="Z119" s="349"/>
      <c r="AA119" s="349"/>
      <c r="AB119" s="349"/>
      <c r="AD119" s="349"/>
      <c r="AE119" s="349"/>
      <c r="AF119" s="338"/>
      <c r="AH119" s="349"/>
      <c r="AI119" s="349"/>
      <c r="AJ119" s="349"/>
      <c r="AM119" s="349"/>
      <c r="AN119" s="338"/>
      <c r="AT119" s="338"/>
      <c r="AU119" s="338"/>
      <c r="AV119" s="338"/>
      <c r="AZ119" s="349"/>
      <c r="BB119" s="349"/>
      <c r="BC119" s="349"/>
      <c r="BD119" s="338"/>
      <c r="BE119" s="338"/>
      <c r="BF119" s="338"/>
      <c r="BG119" s="352"/>
    </row>
    <row r="120" spans="1:59" x14ac:dyDescent="0.25">
      <c r="A120" s="499" t="s">
        <v>108</v>
      </c>
      <c r="B120" s="500" t="s">
        <v>79</v>
      </c>
      <c r="C120" s="477"/>
      <c r="D120" s="486"/>
      <c r="E120" s="476"/>
      <c r="F120" s="480"/>
      <c r="G120" s="476">
        <f>SUM(G121:G146)</f>
        <v>3076378.5700000003</v>
      </c>
      <c r="H120" s="480">
        <f>SUM(H121:H146)</f>
        <v>1.0000000000000002</v>
      </c>
      <c r="I120" s="477">
        <f>SUM(I121:I146)</f>
        <v>4247769.1300000008</v>
      </c>
      <c r="J120" s="483">
        <f>SUM(J121:J146)</f>
        <v>0.99999999999999956</v>
      </c>
      <c r="K120" s="32"/>
      <c r="L120" s="511">
        <f>SUM(L121:L146)</f>
        <v>1890.5000000000002</v>
      </c>
      <c r="M120" s="512">
        <f>SUM(M121:M146)</f>
        <v>3384.1999999999994</v>
      </c>
      <c r="N120" s="513">
        <f>SUM(N121:N146)</f>
        <v>9802.5499999999975</v>
      </c>
      <c r="O120" s="514">
        <f>SUM(O121:O146)</f>
        <v>1.0000000000000002</v>
      </c>
      <c r="P120" s="541"/>
      <c r="Q120" s="538"/>
      <c r="R120" s="544"/>
      <c r="S120" s="538"/>
      <c r="T120" s="544"/>
      <c r="U120" s="538"/>
      <c r="V120" s="544"/>
      <c r="W120" s="547"/>
      <c r="Y120" s="338"/>
      <c r="Z120" s="338"/>
      <c r="AA120" s="338"/>
      <c r="AB120" s="338"/>
      <c r="AC120" s="338"/>
      <c r="AD120" s="338"/>
      <c r="AE120" s="338"/>
      <c r="AF120" s="338"/>
      <c r="AG120" s="338"/>
      <c r="AH120" s="338"/>
      <c r="AI120" s="338"/>
      <c r="AJ120" s="338"/>
      <c r="AK120" s="338"/>
      <c r="AL120" s="338"/>
      <c r="AM120" s="338"/>
      <c r="AN120" s="338"/>
      <c r="AO120" s="338"/>
      <c r="AP120" s="338"/>
      <c r="AQ120" s="338"/>
      <c r="AR120" s="338"/>
      <c r="AS120" s="338"/>
      <c r="AT120" s="338"/>
      <c r="AU120" s="338"/>
      <c r="AV120" s="338"/>
      <c r="AW120" s="338"/>
      <c r="AX120" s="338"/>
      <c r="AY120" s="338"/>
      <c r="AZ120" s="338"/>
      <c r="BA120" s="338"/>
      <c r="BB120" s="338"/>
      <c r="BC120" s="338"/>
      <c r="BD120" s="338"/>
      <c r="BE120" s="338"/>
      <c r="BF120" s="338"/>
      <c r="BG120" s="352"/>
    </row>
    <row r="121" spans="1:59" ht="11.25" customHeight="1" x14ac:dyDescent="0.25">
      <c r="A121" s="468">
        <v>11000</v>
      </c>
      <c r="B121" s="469" t="s">
        <v>80</v>
      </c>
      <c r="C121" s="346"/>
      <c r="D121" s="487"/>
      <c r="E121" s="470"/>
      <c r="F121" s="481"/>
      <c r="G121" s="470">
        <v>788865.03</v>
      </c>
      <c r="H121" s="481">
        <f>G121/G$120</f>
        <v>0.25642651320380244</v>
      </c>
      <c r="I121" s="346">
        <v>1196179.1499999999</v>
      </c>
      <c r="J121" s="484">
        <f t="shared" ref="J121:J146" si="333">I121/I$120</f>
        <v>0.28160173337857458</v>
      </c>
      <c r="K121" s="65"/>
      <c r="L121" s="507">
        <v>400.2</v>
      </c>
      <c r="M121" s="505">
        <v>723.9</v>
      </c>
      <c r="N121" s="506">
        <f t="shared" ref="N121:N146" si="334">L121*2.5+M121*1.5</f>
        <v>2086.35</v>
      </c>
      <c r="O121" s="481">
        <f t="shared" ref="O121:O146" si="335">N121/N$120</f>
        <v>0.21283747596288724</v>
      </c>
      <c r="P121" s="542"/>
      <c r="Q121" s="539"/>
      <c r="R121" s="545"/>
      <c r="S121" s="539"/>
      <c r="T121" s="545"/>
      <c r="U121" s="539"/>
      <c r="V121" s="550"/>
      <c r="W121" s="548"/>
      <c r="Y121" s="338"/>
      <c r="Z121" s="338"/>
      <c r="AA121" s="338"/>
      <c r="AB121" s="338"/>
      <c r="AC121" s="338"/>
      <c r="AD121" s="338"/>
      <c r="AE121" s="338"/>
      <c r="AF121" s="338"/>
      <c r="AG121" s="338"/>
      <c r="AH121" s="338"/>
      <c r="AI121" s="338"/>
      <c r="AJ121" s="338"/>
      <c r="AK121" s="338"/>
      <c r="AL121" s="338"/>
      <c r="AM121" s="338"/>
      <c r="AN121" s="338"/>
      <c r="AO121" s="338"/>
      <c r="AP121" s="338"/>
      <c r="AQ121" s="338"/>
      <c r="AR121" s="338"/>
      <c r="AS121" s="338"/>
      <c r="AT121" s="338"/>
      <c r="AU121" s="338"/>
      <c r="AV121" s="338"/>
      <c r="AW121" s="338"/>
      <c r="AX121" s="338"/>
      <c r="AY121" s="338"/>
      <c r="AZ121" s="338"/>
      <c r="BA121" s="338"/>
      <c r="BB121" s="338"/>
      <c r="BC121" s="338"/>
      <c r="BD121" s="338"/>
      <c r="BE121" s="338"/>
      <c r="BF121" s="338"/>
      <c r="BG121" s="352"/>
    </row>
    <row r="122" spans="1:59" ht="11.25" customHeight="1" x14ac:dyDescent="0.25">
      <c r="A122" s="455">
        <v>12000</v>
      </c>
      <c r="B122" s="456" t="s">
        <v>81</v>
      </c>
      <c r="C122" s="346"/>
      <c r="D122" s="487"/>
      <c r="E122" s="470"/>
      <c r="F122" s="481"/>
      <c r="G122" s="470">
        <v>93908.56</v>
      </c>
      <c r="H122" s="481">
        <f t="shared" ref="H122:H146" si="336">G122/G$120</f>
        <v>3.0525683970032334E-2</v>
      </c>
      <c r="I122" s="346">
        <v>104462.66999999998</v>
      </c>
      <c r="J122" s="484">
        <f t="shared" si="333"/>
        <v>2.4592360555150971E-2</v>
      </c>
      <c r="K122" s="65"/>
      <c r="L122" s="507">
        <v>50.9</v>
      </c>
      <c r="M122" s="505">
        <v>104.2</v>
      </c>
      <c r="N122" s="506">
        <f t="shared" si="334"/>
        <v>283.55</v>
      </c>
      <c r="O122" s="481">
        <f t="shared" si="335"/>
        <v>2.8926146767932842E-2</v>
      </c>
      <c r="P122" s="542"/>
      <c r="Q122" s="539"/>
      <c r="R122" s="545"/>
      <c r="S122" s="539"/>
      <c r="T122" s="545"/>
      <c r="U122" s="539"/>
      <c r="V122" s="550"/>
      <c r="W122" s="548"/>
      <c r="Y122" s="338"/>
      <c r="Z122" s="338"/>
      <c r="AA122" s="338"/>
      <c r="AB122" s="338"/>
      <c r="AC122" s="338"/>
      <c r="AD122" s="338"/>
      <c r="AE122" s="338"/>
      <c r="AF122" s="338"/>
      <c r="AG122" s="338"/>
      <c r="AH122" s="338"/>
      <c r="AI122" s="338"/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338"/>
      <c r="AY122" s="338"/>
      <c r="AZ122" s="338"/>
      <c r="BA122" s="338"/>
      <c r="BB122" s="338"/>
      <c r="BC122" s="338"/>
      <c r="BD122" s="338"/>
      <c r="BE122" s="338"/>
      <c r="BF122" s="338"/>
      <c r="BG122" s="352"/>
    </row>
    <row r="123" spans="1:59" ht="11.25" customHeight="1" x14ac:dyDescent="0.25">
      <c r="A123" s="455">
        <v>13000</v>
      </c>
      <c r="B123" s="456" t="s">
        <v>82</v>
      </c>
      <c r="C123" s="346"/>
      <c r="D123" s="487"/>
      <c r="E123" s="470"/>
      <c r="F123" s="481"/>
      <c r="G123" s="470">
        <v>19301.669999999998</v>
      </c>
      <c r="H123" s="481">
        <f t="shared" si="336"/>
        <v>6.2741530539266489E-3</v>
      </c>
      <c r="I123" s="346">
        <v>49661.97</v>
      </c>
      <c r="J123" s="484">
        <f t="shared" si="333"/>
        <v>1.1691306302233048E-2</v>
      </c>
      <c r="K123" s="65"/>
      <c r="L123" s="507">
        <v>37.299999999999997</v>
      </c>
      <c r="M123" s="505">
        <v>77.8</v>
      </c>
      <c r="N123" s="506">
        <f t="shared" si="334"/>
        <v>209.95</v>
      </c>
      <c r="O123" s="481">
        <f t="shared" si="335"/>
        <v>2.1417896363701287E-2</v>
      </c>
      <c r="P123" s="542"/>
      <c r="Q123" s="539"/>
      <c r="R123" s="545"/>
      <c r="S123" s="539"/>
      <c r="T123" s="545"/>
      <c r="U123" s="539"/>
      <c r="V123" s="550"/>
      <c r="W123" s="548"/>
      <c r="Y123" s="338"/>
      <c r="Z123" s="338"/>
      <c r="AA123" s="338"/>
      <c r="AB123" s="338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/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338"/>
      <c r="AY123" s="338"/>
      <c r="AZ123" s="338"/>
      <c r="BA123" s="338"/>
      <c r="BB123" s="338"/>
      <c r="BC123" s="338"/>
      <c r="BD123" s="338"/>
      <c r="BE123" s="338"/>
      <c r="BF123" s="338"/>
      <c r="BG123" s="352"/>
    </row>
    <row r="124" spans="1:59" ht="11.25" customHeight="1" x14ac:dyDescent="0.25">
      <c r="A124" s="455">
        <v>14000</v>
      </c>
      <c r="B124" s="456" t="s">
        <v>83</v>
      </c>
      <c r="C124" s="346"/>
      <c r="D124" s="487"/>
      <c r="E124" s="470"/>
      <c r="F124" s="481"/>
      <c r="G124" s="470">
        <v>332483.39</v>
      </c>
      <c r="H124" s="481">
        <f t="shared" si="336"/>
        <v>0.10807622743256855</v>
      </c>
      <c r="I124" s="346">
        <v>379812.75999999995</v>
      </c>
      <c r="J124" s="484">
        <f t="shared" si="333"/>
        <v>8.9414642928110327E-2</v>
      </c>
      <c r="K124" s="65"/>
      <c r="L124" s="507">
        <v>196.1</v>
      </c>
      <c r="M124" s="505">
        <v>303.3</v>
      </c>
      <c r="N124" s="506">
        <f t="shared" si="334"/>
        <v>945.2</v>
      </c>
      <c r="O124" s="481">
        <f t="shared" si="335"/>
        <v>9.6423889702169363E-2</v>
      </c>
      <c r="P124" s="542"/>
      <c r="Q124" s="539"/>
      <c r="R124" s="545"/>
      <c r="S124" s="539"/>
      <c r="T124" s="545"/>
      <c r="U124" s="539"/>
      <c r="V124" s="550"/>
      <c r="W124" s="548"/>
      <c r="Y124" s="338"/>
      <c r="Z124" s="338"/>
      <c r="AA124" s="338"/>
      <c r="AB124" s="338"/>
      <c r="AC124" s="338"/>
      <c r="AD124" s="338"/>
      <c r="AE124" s="338"/>
      <c r="AF124" s="338"/>
      <c r="AG124" s="338"/>
      <c r="AH124" s="338"/>
      <c r="AI124" s="338"/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8"/>
      <c r="AV124" s="338"/>
      <c r="AW124" s="338"/>
      <c r="AX124" s="338"/>
      <c r="AY124" s="338"/>
      <c r="AZ124" s="338"/>
      <c r="BA124" s="338"/>
      <c r="BB124" s="338"/>
      <c r="BC124" s="338"/>
      <c r="BD124" s="338"/>
      <c r="BE124" s="338"/>
      <c r="BF124" s="338"/>
      <c r="BG124" s="352"/>
    </row>
    <row r="125" spans="1:59" ht="11.25" customHeight="1" x14ac:dyDescent="0.25">
      <c r="A125" s="455">
        <v>15000</v>
      </c>
      <c r="B125" s="456" t="s">
        <v>84</v>
      </c>
      <c r="C125" s="346"/>
      <c r="D125" s="487"/>
      <c r="E125" s="470"/>
      <c r="F125" s="481"/>
      <c r="G125" s="470">
        <v>174126.3</v>
      </c>
      <c r="H125" s="481">
        <f t="shared" si="336"/>
        <v>5.660106389312157E-2</v>
      </c>
      <c r="I125" s="346">
        <v>191820.58000000002</v>
      </c>
      <c r="J125" s="484">
        <f t="shared" si="333"/>
        <v>4.5157958007948508E-2</v>
      </c>
      <c r="K125" s="65"/>
      <c r="L125" s="507">
        <v>128.6</v>
      </c>
      <c r="M125" s="505">
        <v>206.7</v>
      </c>
      <c r="N125" s="506">
        <f t="shared" si="334"/>
        <v>631.54999999999995</v>
      </c>
      <c r="O125" s="481">
        <f t="shared" si="335"/>
        <v>6.4427113353158122E-2</v>
      </c>
      <c r="P125" s="542"/>
      <c r="Q125" s="539"/>
      <c r="R125" s="545"/>
      <c r="S125" s="539"/>
      <c r="T125" s="545"/>
      <c r="U125" s="539"/>
      <c r="V125" s="550"/>
      <c r="W125" s="548"/>
      <c r="Y125" s="338"/>
      <c r="Z125" s="338"/>
      <c r="AA125" s="338"/>
      <c r="AB125" s="338"/>
      <c r="AC125" s="338"/>
      <c r="AD125" s="338"/>
      <c r="AE125" s="338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338"/>
      <c r="AZ125" s="338"/>
      <c r="BA125" s="338"/>
      <c r="BB125" s="338"/>
      <c r="BC125" s="338"/>
      <c r="BD125" s="338"/>
      <c r="BE125" s="338"/>
      <c r="BF125" s="338"/>
      <c r="BG125" s="352"/>
    </row>
    <row r="126" spans="1:59" ht="11.25" customHeight="1" x14ac:dyDescent="0.25">
      <c r="A126" s="455">
        <v>16000</v>
      </c>
      <c r="B126" s="456" t="s">
        <v>85</v>
      </c>
      <c r="C126" s="346"/>
      <c r="D126" s="487"/>
      <c r="E126" s="470"/>
      <c r="F126" s="481"/>
      <c r="G126" s="470">
        <v>26425</v>
      </c>
      <c r="H126" s="481">
        <f t="shared" si="336"/>
        <v>8.5896450643914088E-3</v>
      </c>
      <c r="I126" s="346">
        <v>83571</v>
      </c>
      <c r="J126" s="484">
        <f t="shared" si="333"/>
        <v>1.9674091845005705E-2</v>
      </c>
      <c r="K126" s="65"/>
      <c r="L126" s="507">
        <v>31.9</v>
      </c>
      <c r="M126" s="505">
        <v>39.1</v>
      </c>
      <c r="N126" s="506">
        <f t="shared" si="334"/>
        <v>138.4</v>
      </c>
      <c r="O126" s="481">
        <f t="shared" si="335"/>
        <v>1.4118775216652814E-2</v>
      </c>
      <c r="P126" s="542"/>
      <c r="Q126" s="539"/>
      <c r="R126" s="545"/>
      <c r="S126" s="539"/>
      <c r="T126" s="545"/>
      <c r="U126" s="539"/>
      <c r="V126" s="550"/>
      <c r="W126" s="548"/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38"/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8"/>
      <c r="AV126" s="338"/>
      <c r="AW126" s="338"/>
      <c r="AX126" s="338"/>
      <c r="AY126" s="338"/>
      <c r="AZ126" s="338"/>
      <c r="BA126" s="338"/>
      <c r="BB126" s="338"/>
      <c r="BC126" s="338"/>
      <c r="BD126" s="338"/>
      <c r="BE126" s="338"/>
      <c r="BF126" s="338"/>
      <c r="BG126" s="352"/>
    </row>
    <row r="127" spans="1:59" ht="11.25" customHeight="1" x14ac:dyDescent="0.25">
      <c r="A127" s="455">
        <v>17000</v>
      </c>
      <c r="B127" s="456" t="s">
        <v>86</v>
      </c>
      <c r="C127" s="346"/>
      <c r="D127" s="487"/>
      <c r="E127" s="470"/>
      <c r="F127" s="481"/>
      <c r="G127" s="470">
        <v>9265.7800000000007</v>
      </c>
      <c r="H127" s="481">
        <f t="shared" si="336"/>
        <v>3.0119115021660027E-3</v>
      </c>
      <c r="I127" s="346">
        <v>71125.67</v>
      </c>
      <c r="J127" s="484">
        <f t="shared" si="333"/>
        <v>1.6744240994095643E-2</v>
      </c>
      <c r="K127" s="65"/>
      <c r="L127" s="507">
        <v>37.1</v>
      </c>
      <c r="M127" s="505">
        <v>91.9</v>
      </c>
      <c r="N127" s="506">
        <f t="shared" si="334"/>
        <v>230.60000000000002</v>
      </c>
      <c r="O127" s="481">
        <f t="shared" si="335"/>
        <v>2.3524491076301585E-2</v>
      </c>
      <c r="P127" s="542"/>
      <c r="Q127" s="539"/>
      <c r="R127" s="545"/>
      <c r="S127" s="539"/>
      <c r="T127" s="545"/>
      <c r="U127" s="539"/>
      <c r="V127" s="550"/>
      <c r="W127" s="54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8"/>
      <c r="AJ127" s="338"/>
      <c r="AK127" s="338"/>
      <c r="AL127" s="338"/>
      <c r="AM127" s="338"/>
      <c r="AN127" s="338"/>
      <c r="AO127" s="338"/>
      <c r="AP127" s="338"/>
      <c r="AQ127" s="338"/>
      <c r="AR127" s="338"/>
      <c r="AS127" s="338"/>
      <c r="AT127" s="338"/>
      <c r="AU127" s="338"/>
      <c r="AV127" s="338"/>
      <c r="AW127" s="338"/>
      <c r="AX127" s="338"/>
      <c r="AY127" s="338"/>
      <c r="AZ127" s="338"/>
      <c r="BA127" s="338"/>
      <c r="BB127" s="338"/>
      <c r="BC127" s="338"/>
      <c r="BD127" s="338"/>
      <c r="BE127" s="338"/>
      <c r="BF127" s="338"/>
      <c r="BG127" s="352"/>
    </row>
    <row r="128" spans="1:59" ht="11.25" customHeight="1" x14ac:dyDescent="0.25">
      <c r="A128" s="455">
        <v>18000</v>
      </c>
      <c r="B128" s="456" t="s">
        <v>87</v>
      </c>
      <c r="C128" s="346"/>
      <c r="D128" s="487"/>
      <c r="E128" s="470"/>
      <c r="F128" s="481"/>
      <c r="G128" s="470">
        <v>3418.7</v>
      </c>
      <c r="H128" s="481">
        <f t="shared" si="336"/>
        <v>1.1112741563532604E-3</v>
      </c>
      <c r="I128" s="346">
        <v>40659.56</v>
      </c>
      <c r="J128" s="484">
        <f t="shared" si="333"/>
        <v>9.5719797276270502E-3</v>
      </c>
      <c r="K128" s="65"/>
      <c r="L128" s="507">
        <v>30.3</v>
      </c>
      <c r="M128" s="505">
        <v>68.599999999999994</v>
      </c>
      <c r="N128" s="506">
        <f t="shared" si="334"/>
        <v>178.64999999999998</v>
      </c>
      <c r="O128" s="481">
        <f t="shared" si="335"/>
        <v>1.8224849656466941E-2</v>
      </c>
      <c r="P128" s="542"/>
      <c r="Q128" s="539"/>
      <c r="R128" s="545"/>
      <c r="S128" s="539"/>
      <c r="T128" s="545"/>
      <c r="U128" s="539"/>
      <c r="V128" s="550"/>
      <c r="W128" s="548"/>
      <c r="Y128" s="338"/>
      <c r="Z128" s="338"/>
      <c r="AA128" s="338"/>
      <c r="AB128" s="338"/>
      <c r="AC128" s="338"/>
      <c r="AD128" s="338"/>
      <c r="AE128" s="338"/>
      <c r="AF128" s="338"/>
      <c r="AG128" s="338"/>
      <c r="AH128" s="338"/>
      <c r="AI128" s="338"/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338"/>
      <c r="AY128" s="338"/>
      <c r="AZ128" s="338"/>
      <c r="BA128" s="338"/>
      <c r="BB128" s="338"/>
      <c r="BC128" s="338"/>
      <c r="BD128" s="338"/>
      <c r="BE128" s="338"/>
      <c r="BF128" s="338"/>
      <c r="BG128" s="352"/>
    </row>
    <row r="129" spans="1:59" ht="11.25" customHeight="1" x14ac:dyDescent="0.25">
      <c r="A129" s="455">
        <v>19000</v>
      </c>
      <c r="B129" s="456" t="s">
        <v>88</v>
      </c>
      <c r="C129" s="346"/>
      <c r="D129" s="487"/>
      <c r="E129" s="470"/>
      <c r="F129" s="481"/>
      <c r="G129" s="470">
        <v>3056</v>
      </c>
      <c r="H129" s="481">
        <f t="shared" si="336"/>
        <v>9.9337579249877549E-4</v>
      </c>
      <c r="I129" s="346">
        <v>47552.639999999999</v>
      </c>
      <c r="J129" s="484">
        <f t="shared" si="333"/>
        <v>1.1194732704317194E-2</v>
      </c>
      <c r="K129" s="65"/>
      <c r="L129" s="507">
        <v>16.899999999999999</v>
      </c>
      <c r="M129" s="505">
        <v>37.5</v>
      </c>
      <c r="N129" s="506">
        <f t="shared" si="334"/>
        <v>98.5</v>
      </c>
      <c r="O129" s="481">
        <f t="shared" si="335"/>
        <v>1.00484057719675E-2</v>
      </c>
      <c r="P129" s="542"/>
      <c r="Q129" s="539"/>
      <c r="R129" s="545"/>
      <c r="S129" s="539"/>
      <c r="T129" s="545"/>
      <c r="U129" s="539"/>
      <c r="V129" s="550"/>
      <c r="W129" s="548"/>
      <c r="Y129" s="338"/>
      <c r="Z129" s="338"/>
      <c r="AA129" s="338"/>
      <c r="AB129" s="338"/>
      <c r="AC129" s="338"/>
      <c r="AD129" s="338"/>
      <c r="AE129" s="338"/>
      <c r="AF129" s="338"/>
      <c r="AG129" s="338"/>
      <c r="AH129" s="338"/>
      <c r="AI129" s="338"/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  <c r="AW129" s="338"/>
      <c r="AX129" s="338"/>
      <c r="AY129" s="338"/>
      <c r="AZ129" s="338"/>
      <c r="BA129" s="338"/>
      <c r="BB129" s="338"/>
      <c r="BC129" s="338"/>
      <c r="BD129" s="338"/>
      <c r="BE129" s="338"/>
      <c r="BF129" s="338"/>
      <c r="BG129" s="352"/>
    </row>
    <row r="130" spans="1:59" ht="11.25" customHeight="1" x14ac:dyDescent="0.25">
      <c r="A130" s="455">
        <v>21000</v>
      </c>
      <c r="B130" s="456" t="s">
        <v>89</v>
      </c>
      <c r="C130" s="346"/>
      <c r="D130" s="487"/>
      <c r="E130" s="470"/>
      <c r="F130" s="481"/>
      <c r="G130" s="470">
        <v>545824.80000000005</v>
      </c>
      <c r="H130" s="481">
        <f t="shared" si="336"/>
        <v>0.17742445787483171</v>
      </c>
      <c r="I130" s="346">
        <v>538048.14</v>
      </c>
      <c r="J130" s="484">
        <f t="shared" si="333"/>
        <v>0.1266660507041257</v>
      </c>
      <c r="K130" s="65"/>
      <c r="L130" s="507">
        <v>176</v>
      </c>
      <c r="M130" s="505">
        <v>342.6</v>
      </c>
      <c r="N130" s="506">
        <f t="shared" si="334"/>
        <v>953.90000000000009</v>
      </c>
      <c r="O130" s="481">
        <f t="shared" si="335"/>
        <v>9.7311413866800006E-2</v>
      </c>
      <c r="P130" s="542"/>
      <c r="Q130" s="539"/>
      <c r="R130" s="545"/>
      <c r="S130" s="539"/>
      <c r="T130" s="545"/>
      <c r="U130" s="539"/>
      <c r="V130" s="550"/>
      <c r="W130" s="548"/>
      <c r="Y130" s="338"/>
      <c r="Z130" s="338"/>
      <c r="AA130" s="338"/>
      <c r="AB130" s="338"/>
      <c r="AC130" s="338"/>
      <c r="AD130" s="338"/>
      <c r="AE130" s="338"/>
      <c r="AF130" s="338"/>
      <c r="AG130" s="338"/>
      <c r="AH130" s="338"/>
      <c r="AI130" s="338"/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8"/>
      <c r="AX130" s="338"/>
      <c r="AY130" s="338"/>
      <c r="AZ130" s="338"/>
      <c r="BA130" s="338"/>
      <c r="BB130" s="338"/>
      <c r="BC130" s="338"/>
      <c r="BD130" s="338"/>
      <c r="BE130" s="338"/>
      <c r="BF130" s="338"/>
      <c r="BG130" s="352"/>
    </row>
    <row r="131" spans="1:59" ht="11.25" customHeight="1" x14ac:dyDescent="0.25">
      <c r="A131" s="455">
        <v>22000</v>
      </c>
      <c r="B131" s="456" t="s">
        <v>90</v>
      </c>
      <c r="C131" s="346"/>
      <c r="D131" s="487"/>
      <c r="E131" s="470"/>
      <c r="F131" s="481"/>
      <c r="G131" s="470">
        <v>148469.51</v>
      </c>
      <c r="H131" s="481">
        <f t="shared" si="336"/>
        <v>4.8261131269029742E-2</v>
      </c>
      <c r="I131" s="346">
        <v>122556.71</v>
      </c>
      <c r="J131" s="484">
        <f t="shared" si="333"/>
        <v>2.8852017670743791E-2</v>
      </c>
      <c r="K131" s="65"/>
      <c r="L131" s="507">
        <v>58.7</v>
      </c>
      <c r="M131" s="505">
        <v>95.9</v>
      </c>
      <c r="N131" s="506">
        <f t="shared" si="334"/>
        <v>290.60000000000002</v>
      </c>
      <c r="O131" s="481">
        <f t="shared" si="335"/>
        <v>2.9645347384099047E-2</v>
      </c>
      <c r="P131" s="542"/>
      <c r="Q131" s="539"/>
      <c r="R131" s="545"/>
      <c r="S131" s="539"/>
      <c r="T131" s="545"/>
      <c r="U131" s="539"/>
      <c r="V131" s="550"/>
      <c r="W131" s="548"/>
      <c r="Y131" s="338"/>
      <c r="Z131" s="338"/>
      <c r="AA131" s="338"/>
      <c r="AB131" s="338"/>
      <c r="AC131" s="338"/>
      <c r="AD131" s="338"/>
      <c r="AE131" s="338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  <c r="AY131" s="338"/>
      <c r="AZ131" s="338"/>
      <c r="BA131" s="338"/>
      <c r="BB131" s="338"/>
      <c r="BC131" s="338"/>
      <c r="BD131" s="338"/>
      <c r="BE131" s="338"/>
      <c r="BF131" s="338"/>
      <c r="BG131" s="352"/>
    </row>
    <row r="132" spans="1:59" ht="11.25" customHeight="1" x14ac:dyDescent="0.25">
      <c r="A132" s="455">
        <v>23000</v>
      </c>
      <c r="B132" s="456" t="s">
        <v>91</v>
      </c>
      <c r="C132" s="346"/>
      <c r="D132" s="487"/>
      <c r="E132" s="470"/>
      <c r="F132" s="481"/>
      <c r="G132" s="470">
        <v>129513.48</v>
      </c>
      <c r="H132" s="481">
        <f t="shared" si="336"/>
        <v>4.2099331097602846E-2</v>
      </c>
      <c r="I132" s="346">
        <v>104273.4</v>
      </c>
      <c r="J132" s="484">
        <f t="shared" si="333"/>
        <v>2.4547803048797046E-2</v>
      </c>
      <c r="K132" s="65"/>
      <c r="L132" s="507">
        <v>67.7</v>
      </c>
      <c r="M132" s="505">
        <v>139.5</v>
      </c>
      <c r="N132" s="506">
        <f t="shared" si="334"/>
        <v>378.5</v>
      </c>
      <c r="O132" s="481">
        <f t="shared" si="335"/>
        <v>3.8612401875022323E-2</v>
      </c>
      <c r="P132" s="542"/>
      <c r="Q132" s="539"/>
      <c r="R132" s="545"/>
      <c r="S132" s="539"/>
      <c r="T132" s="545"/>
      <c r="U132" s="539"/>
      <c r="V132" s="550"/>
      <c r="W132" s="548"/>
      <c r="Y132" s="338"/>
      <c r="Z132" s="338"/>
      <c r="AA132" s="338"/>
      <c r="AB132" s="338"/>
      <c r="AC132" s="338"/>
      <c r="AD132" s="338"/>
      <c r="AE132" s="338"/>
      <c r="AF132" s="338"/>
      <c r="AG132" s="338"/>
      <c r="AH132" s="338"/>
      <c r="AI132" s="338"/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8"/>
      <c r="AU132" s="338"/>
      <c r="AV132" s="338"/>
      <c r="AW132" s="338"/>
      <c r="AX132" s="338"/>
      <c r="AY132" s="338"/>
      <c r="AZ132" s="338"/>
      <c r="BA132" s="338"/>
      <c r="BB132" s="338"/>
      <c r="BC132" s="338"/>
      <c r="BD132" s="338"/>
      <c r="BE132" s="338"/>
      <c r="BF132" s="338"/>
      <c r="BG132" s="352"/>
    </row>
    <row r="133" spans="1:59" ht="11.25" customHeight="1" x14ac:dyDescent="0.25">
      <c r="A133" s="455">
        <v>24000</v>
      </c>
      <c r="B133" s="456" t="s">
        <v>92</v>
      </c>
      <c r="C133" s="346"/>
      <c r="D133" s="487"/>
      <c r="E133" s="470"/>
      <c r="F133" s="481"/>
      <c r="G133" s="470">
        <v>104997.63</v>
      </c>
      <c r="H133" s="481">
        <f t="shared" si="336"/>
        <v>3.4130269604628012E-2</v>
      </c>
      <c r="I133" s="346">
        <v>125160.48999999999</v>
      </c>
      <c r="J133" s="484">
        <f t="shared" si="333"/>
        <v>2.9464993545918059E-2</v>
      </c>
      <c r="K133" s="65"/>
      <c r="L133" s="507">
        <v>50.7</v>
      </c>
      <c r="M133" s="505">
        <v>105.8</v>
      </c>
      <c r="N133" s="506">
        <f t="shared" si="334"/>
        <v>285.45</v>
      </c>
      <c r="O133" s="481">
        <f t="shared" si="335"/>
        <v>2.9119973884346426E-2</v>
      </c>
      <c r="P133" s="542"/>
      <c r="Q133" s="539"/>
      <c r="R133" s="545"/>
      <c r="S133" s="539"/>
      <c r="T133" s="545"/>
      <c r="U133" s="539"/>
      <c r="V133" s="550"/>
      <c r="W133" s="548"/>
      <c r="Y133" s="338"/>
      <c r="Z133" s="338"/>
      <c r="AA133" s="338"/>
      <c r="AB133" s="338"/>
      <c r="AC133" s="338"/>
      <c r="AD133" s="338"/>
      <c r="AE133" s="338"/>
      <c r="AF133" s="338"/>
      <c r="AG133" s="338"/>
      <c r="AH133" s="338"/>
      <c r="AI133" s="338"/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338"/>
      <c r="AY133" s="338"/>
      <c r="AZ133" s="338"/>
      <c r="BA133" s="338"/>
      <c r="BB133" s="338"/>
      <c r="BC133" s="338"/>
      <c r="BD133" s="338"/>
      <c r="BE133" s="338"/>
      <c r="BF133" s="338"/>
      <c r="BG133" s="352"/>
    </row>
    <row r="134" spans="1:59" ht="11.25" customHeight="1" x14ac:dyDescent="0.25">
      <c r="A134" s="455">
        <v>25000</v>
      </c>
      <c r="B134" s="456" t="s">
        <v>93</v>
      </c>
      <c r="C134" s="346"/>
      <c r="D134" s="487"/>
      <c r="E134" s="470"/>
      <c r="F134" s="481"/>
      <c r="G134" s="470">
        <v>41502.81</v>
      </c>
      <c r="H134" s="481">
        <f t="shared" si="336"/>
        <v>1.3490800646163646E-2</v>
      </c>
      <c r="I134" s="346">
        <v>70134.880000000005</v>
      </c>
      <c r="J134" s="484">
        <f t="shared" si="333"/>
        <v>1.6510991500143037E-2</v>
      </c>
      <c r="K134" s="65"/>
      <c r="L134" s="507">
        <v>51.4</v>
      </c>
      <c r="M134" s="505">
        <v>98.6</v>
      </c>
      <c r="N134" s="506">
        <f t="shared" si="334"/>
        <v>276.39999999999998</v>
      </c>
      <c r="O134" s="481">
        <f t="shared" si="335"/>
        <v>2.8196744724586973E-2</v>
      </c>
      <c r="P134" s="542"/>
      <c r="Q134" s="539"/>
      <c r="R134" s="545"/>
      <c r="S134" s="539"/>
      <c r="T134" s="545"/>
      <c r="U134" s="539"/>
      <c r="V134" s="550"/>
      <c r="W134" s="548"/>
      <c r="Y134" s="338"/>
      <c r="Z134" s="338"/>
      <c r="AA134" s="338"/>
      <c r="AB134" s="338"/>
      <c r="AC134" s="338"/>
      <c r="AD134" s="338"/>
      <c r="AE134" s="338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8"/>
      <c r="BE134" s="338"/>
      <c r="BF134" s="338"/>
      <c r="BG134" s="352"/>
    </row>
    <row r="135" spans="1:59" ht="11.25" customHeight="1" x14ac:dyDescent="0.25">
      <c r="A135" s="455">
        <v>26000</v>
      </c>
      <c r="B135" s="456" t="s">
        <v>94</v>
      </c>
      <c r="C135" s="346"/>
      <c r="D135" s="487"/>
      <c r="E135" s="470"/>
      <c r="F135" s="481"/>
      <c r="G135" s="470">
        <v>270870.78000000003</v>
      </c>
      <c r="H135" s="481">
        <f t="shared" si="336"/>
        <v>8.8048584995831639E-2</v>
      </c>
      <c r="I135" s="346">
        <v>362765.72</v>
      </c>
      <c r="J135" s="484">
        <f t="shared" si="333"/>
        <v>8.5401468134874814E-2</v>
      </c>
      <c r="K135" s="65"/>
      <c r="L135" s="507">
        <v>115.2</v>
      </c>
      <c r="M135" s="505">
        <v>256.2</v>
      </c>
      <c r="N135" s="506">
        <f t="shared" si="334"/>
        <v>672.3</v>
      </c>
      <c r="O135" s="481">
        <f t="shared" si="335"/>
        <v>6.8584194928870565E-2</v>
      </c>
      <c r="P135" s="542"/>
      <c r="Q135" s="539"/>
      <c r="R135" s="545"/>
      <c r="S135" s="539"/>
      <c r="T135" s="545"/>
      <c r="U135" s="539"/>
      <c r="V135" s="550"/>
      <c r="W135" s="548"/>
      <c r="Y135" s="338"/>
      <c r="Z135" s="338"/>
      <c r="AA135" s="338"/>
      <c r="AB135" s="338"/>
      <c r="AC135" s="338"/>
      <c r="AD135" s="338"/>
      <c r="AE135" s="338"/>
      <c r="AF135" s="338"/>
      <c r="AG135" s="338"/>
      <c r="AH135" s="338"/>
      <c r="AI135" s="338"/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338"/>
      <c r="AY135" s="338"/>
      <c r="AZ135" s="338"/>
      <c r="BA135" s="338"/>
      <c r="BB135" s="338"/>
      <c r="BC135" s="338"/>
      <c r="BD135" s="338"/>
      <c r="BE135" s="338"/>
      <c r="BF135" s="338"/>
      <c r="BG135" s="352"/>
    </row>
    <row r="136" spans="1:59" ht="11.25" customHeight="1" x14ac:dyDescent="0.25">
      <c r="A136" s="455">
        <v>27000</v>
      </c>
      <c r="B136" s="456" t="s">
        <v>95</v>
      </c>
      <c r="C136" s="346"/>
      <c r="D136" s="487"/>
      <c r="E136" s="470"/>
      <c r="F136" s="481"/>
      <c r="G136" s="470">
        <v>144033.22</v>
      </c>
      <c r="H136" s="481">
        <f t="shared" si="336"/>
        <v>4.681908182711076E-2</v>
      </c>
      <c r="I136" s="346">
        <v>193332.83000000002</v>
      </c>
      <c r="J136" s="484">
        <f t="shared" si="333"/>
        <v>4.5513968410990355E-2</v>
      </c>
      <c r="K136" s="65"/>
      <c r="L136" s="507">
        <v>111.8</v>
      </c>
      <c r="M136" s="505">
        <v>178.2</v>
      </c>
      <c r="N136" s="506">
        <f t="shared" si="334"/>
        <v>546.79999999999995</v>
      </c>
      <c r="O136" s="481">
        <f t="shared" si="335"/>
        <v>5.57814038183942E-2</v>
      </c>
      <c r="P136" s="542"/>
      <c r="Q136" s="539"/>
      <c r="R136" s="545"/>
      <c r="S136" s="539"/>
      <c r="T136" s="545"/>
      <c r="U136" s="539"/>
      <c r="V136" s="550"/>
      <c r="W136" s="548"/>
      <c r="Y136" s="338"/>
      <c r="Z136" s="338"/>
      <c r="AA136" s="338"/>
      <c r="AB136" s="338"/>
      <c r="AC136" s="338"/>
      <c r="AD136" s="338"/>
      <c r="AE136" s="338"/>
      <c r="AF136" s="338"/>
      <c r="AG136" s="338"/>
      <c r="AH136" s="338"/>
      <c r="AI136" s="338"/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  <c r="AW136" s="338"/>
      <c r="AX136" s="338"/>
      <c r="AY136" s="338"/>
      <c r="AZ136" s="338"/>
      <c r="BA136" s="338"/>
      <c r="BB136" s="338"/>
      <c r="BC136" s="338"/>
      <c r="BD136" s="338"/>
      <c r="BE136" s="338"/>
      <c r="BF136" s="338"/>
      <c r="BG136" s="352"/>
    </row>
    <row r="137" spans="1:59" ht="11.25" customHeight="1" x14ac:dyDescent="0.25">
      <c r="A137" s="455">
        <v>28000</v>
      </c>
      <c r="B137" s="456" t="s">
        <v>96</v>
      </c>
      <c r="C137" s="346"/>
      <c r="D137" s="487"/>
      <c r="E137" s="470"/>
      <c r="F137" s="481"/>
      <c r="G137" s="470">
        <v>23693.26</v>
      </c>
      <c r="H137" s="481">
        <f t="shared" si="336"/>
        <v>7.7016724245351888E-3</v>
      </c>
      <c r="I137" s="346">
        <v>54285.440000000002</v>
      </c>
      <c r="J137" s="484">
        <f t="shared" si="333"/>
        <v>1.2779752933512183E-2</v>
      </c>
      <c r="K137" s="65"/>
      <c r="L137" s="507">
        <v>37.9</v>
      </c>
      <c r="M137" s="505">
        <v>77.7</v>
      </c>
      <c r="N137" s="506">
        <f t="shared" si="334"/>
        <v>211.3</v>
      </c>
      <c r="O137" s="481">
        <f t="shared" si="335"/>
        <v>2.1555615630626732E-2</v>
      </c>
      <c r="P137" s="542"/>
      <c r="Q137" s="539"/>
      <c r="R137" s="545"/>
      <c r="S137" s="539"/>
      <c r="T137" s="545"/>
      <c r="U137" s="539"/>
      <c r="V137" s="550"/>
      <c r="W137" s="548"/>
      <c r="Y137" s="338"/>
      <c r="Z137" s="338"/>
      <c r="AA137" s="338"/>
      <c r="AB137" s="338"/>
      <c r="AC137" s="338"/>
      <c r="AD137" s="338"/>
      <c r="AE137" s="338"/>
      <c r="AF137" s="338"/>
      <c r="AG137" s="338"/>
      <c r="AH137" s="338"/>
      <c r="AI137" s="338"/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  <c r="AW137" s="338"/>
      <c r="AX137" s="338"/>
      <c r="AY137" s="338"/>
      <c r="AZ137" s="338"/>
      <c r="BA137" s="338"/>
      <c r="BB137" s="338"/>
      <c r="BC137" s="338"/>
      <c r="BD137" s="338"/>
      <c r="BE137" s="338"/>
      <c r="BF137" s="338"/>
      <c r="BG137" s="352"/>
    </row>
    <row r="138" spans="1:59" ht="11.25" customHeight="1" x14ac:dyDescent="0.25">
      <c r="A138" s="455">
        <v>31000</v>
      </c>
      <c r="B138" s="456" t="s">
        <v>97</v>
      </c>
      <c r="C138" s="346"/>
      <c r="D138" s="487"/>
      <c r="E138" s="470"/>
      <c r="F138" s="481"/>
      <c r="G138" s="470">
        <v>26364</v>
      </c>
      <c r="H138" s="481">
        <f t="shared" si="336"/>
        <v>8.56981655544428E-3</v>
      </c>
      <c r="I138" s="346">
        <v>197597</v>
      </c>
      <c r="J138" s="484">
        <f t="shared" si="333"/>
        <v>4.6517829465934267E-2</v>
      </c>
      <c r="K138" s="65"/>
      <c r="L138" s="507">
        <v>66</v>
      </c>
      <c r="M138" s="505">
        <v>132.9</v>
      </c>
      <c r="N138" s="506">
        <f t="shared" si="334"/>
        <v>364.35</v>
      </c>
      <c r="O138" s="481">
        <f t="shared" si="335"/>
        <v>3.7168899929100094E-2</v>
      </c>
      <c r="P138" s="542"/>
      <c r="Q138" s="539"/>
      <c r="R138" s="545"/>
      <c r="S138" s="539"/>
      <c r="T138" s="545"/>
      <c r="U138" s="539"/>
      <c r="V138" s="550"/>
      <c r="W138" s="548"/>
      <c r="Y138" s="338"/>
      <c r="Z138" s="338"/>
      <c r="AA138" s="338"/>
      <c r="AB138" s="338"/>
      <c r="AC138" s="338"/>
      <c r="AD138" s="338"/>
      <c r="AE138" s="338"/>
      <c r="AF138" s="338"/>
      <c r="AG138" s="338"/>
      <c r="AH138" s="338"/>
      <c r="AI138" s="338"/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  <c r="AW138" s="338"/>
      <c r="AX138" s="338"/>
      <c r="AY138" s="338"/>
      <c r="AZ138" s="338"/>
      <c r="BA138" s="338"/>
      <c r="BB138" s="338"/>
      <c r="BC138" s="338"/>
      <c r="BD138" s="338"/>
      <c r="BE138" s="338"/>
      <c r="BF138" s="338"/>
      <c r="BG138" s="352"/>
    </row>
    <row r="139" spans="1:59" ht="11.25" customHeight="1" x14ac:dyDescent="0.25">
      <c r="A139" s="455">
        <v>41000</v>
      </c>
      <c r="B139" s="456" t="s">
        <v>98</v>
      </c>
      <c r="C139" s="346"/>
      <c r="D139" s="487"/>
      <c r="E139" s="470"/>
      <c r="F139" s="481"/>
      <c r="G139" s="470">
        <v>64753.75</v>
      </c>
      <c r="H139" s="481">
        <f t="shared" si="336"/>
        <v>2.1048693626805493E-2</v>
      </c>
      <c r="I139" s="346">
        <v>117806.11</v>
      </c>
      <c r="J139" s="484">
        <f t="shared" si="333"/>
        <v>2.7733642388422363E-2</v>
      </c>
      <c r="K139" s="65"/>
      <c r="L139" s="507">
        <v>61.2</v>
      </c>
      <c r="M139" s="505">
        <v>87.2</v>
      </c>
      <c r="N139" s="506">
        <f t="shared" si="334"/>
        <v>283.8</v>
      </c>
      <c r="O139" s="481">
        <f t="shared" si="335"/>
        <v>2.8951650335881998E-2</v>
      </c>
      <c r="P139" s="542"/>
      <c r="Q139" s="539"/>
      <c r="R139" s="545"/>
      <c r="S139" s="539"/>
      <c r="T139" s="545"/>
      <c r="U139" s="539"/>
      <c r="V139" s="550"/>
      <c r="W139" s="548"/>
      <c r="Y139" s="338"/>
      <c r="Z139" s="338"/>
      <c r="AA139" s="338"/>
      <c r="AB139" s="338"/>
      <c r="AC139" s="338"/>
      <c r="AD139" s="338"/>
      <c r="AE139" s="338"/>
      <c r="AF139" s="338"/>
      <c r="AG139" s="338"/>
      <c r="AH139" s="338"/>
      <c r="AI139" s="338"/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  <c r="AW139" s="338"/>
      <c r="AX139" s="338"/>
      <c r="AY139" s="338"/>
      <c r="AZ139" s="338"/>
      <c r="BA139" s="338"/>
      <c r="BB139" s="338"/>
      <c r="BC139" s="338"/>
      <c r="BD139" s="338"/>
      <c r="BE139" s="338"/>
      <c r="BF139" s="338"/>
      <c r="BG139" s="352"/>
    </row>
    <row r="140" spans="1:59" ht="11.25" customHeight="1" x14ac:dyDescent="0.25">
      <c r="A140" s="455">
        <v>43000</v>
      </c>
      <c r="B140" s="456" t="s">
        <v>99</v>
      </c>
      <c r="C140" s="346"/>
      <c r="D140" s="487"/>
      <c r="E140" s="470"/>
      <c r="F140" s="481"/>
      <c r="G140" s="470">
        <v>100312.52</v>
      </c>
      <c r="H140" s="481">
        <f t="shared" si="336"/>
        <v>3.2607339349656178E-2</v>
      </c>
      <c r="I140" s="346">
        <v>147099.75</v>
      </c>
      <c r="J140" s="484">
        <f t="shared" si="333"/>
        <v>3.4629883474858243E-2</v>
      </c>
      <c r="K140" s="65"/>
      <c r="L140" s="507">
        <v>57.1</v>
      </c>
      <c r="M140" s="505">
        <v>88.3</v>
      </c>
      <c r="N140" s="506">
        <f t="shared" si="334"/>
        <v>275.2</v>
      </c>
      <c r="O140" s="481">
        <f t="shared" si="335"/>
        <v>2.8074327598431027E-2</v>
      </c>
      <c r="P140" s="542"/>
      <c r="Q140" s="539"/>
      <c r="R140" s="545"/>
      <c r="S140" s="539"/>
      <c r="T140" s="545"/>
      <c r="U140" s="539"/>
      <c r="V140" s="550"/>
      <c r="W140" s="548"/>
      <c r="Y140" s="338"/>
      <c r="Z140" s="338"/>
      <c r="AA140" s="338"/>
      <c r="AB140" s="338"/>
      <c r="AC140" s="338"/>
      <c r="AD140" s="338"/>
      <c r="AE140" s="338"/>
      <c r="AF140" s="338"/>
      <c r="AG140" s="338"/>
      <c r="AH140" s="338"/>
      <c r="AI140" s="338"/>
      <c r="AJ140" s="338"/>
      <c r="AK140" s="338"/>
      <c r="AL140" s="338"/>
      <c r="AM140" s="338"/>
      <c r="AN140" s="338"/>
      <c r="AO140" s="338"/>
      <c r="AP140" s="338"/>
      <c r="AQ140" s="338"/>
      <c r="AR140" s="338"/>
      <c r="AS140" s="338"/>
      <c r="AT140" s="338"/>
      <c r="AU140" s="338"/>
      <c r="AV140" s="338"/>
      <c r="AW140" s="338"/>
      <c r="AX140" s="338"/>
      <c r="AY140" s="338"/>
      <c r="AZ140" s="338"/>
      <c r="BA140" s="338"/>
      <c r="BB140" s="338"/>
      <c r="BC140" s="338"/>
      <c r="BD140" s="338"/>
      <c r="BE140" s="338"/>
      <c r="BF140" s="338"/>
      <c r="BG140" s="352"/>
    </row>
    <row r="141" spans="1:59" ht="11.25" customHeight="1" x14ac:dyDescent="0.25">
      <c r="A141" s="455">
        <v>51000</v>
      </c>
      <c r="B141" s="456" t="s">
        <v>100</v>
      </c>
      <c r="C141" s="346"/>
      <c r="D141" s="487"/>
      <c r="E141" s="470"/>
      <c r="F141" s="481"/>
      <c r="G141" s="470">
        <v>22931.030000000002</v>
      </c>
      <c r="H141" s="481">
        <f t="shared" si="336"/>
        <v>7.4539038282274862E-3</v>
      </c>
      <c r="I141" s="346">
        <v>13115.630000000001</v>
      </c>
      <c r="J141" s="484">
        <f t="shared" si="333"/>
        <v>3.0876513291107229E-3</v>
      </c>
      <c r="K141" s="65"/>
      <c r="L141" s="507">
        <v>59.7</v>
      </c>
      <c r="M141" s="505">
        <v>70.2</v>
      </c>
      <c r="N141" s="506">
        <f t="shared" si="334"/>
        <v>254.55</v>
      </c>
      <c r="O141" s="481">
        <f t="shared" si="335"/>
        <v>2.5967732885830735E-2</v>
      </c>
      <c r="P141" s="542"/>
      <c r="Q141" s="539"/>
      <c r="R141" s="545"/>
      <c r="S141" s="539"/>
      <c r="T141" s="545"/>
      <c r="U141" s="539"/>
      <c r="V141" s="550"/>
      <c r="W141" s="548"/>
      <c r="Y141" s="338"/>
      <c r="Z141" s="338"/>
      <c r="AA141" s="338"/>
      <c r="AB141" s="338"/>
      <c r="AC141" s="338"/>
      <c r="AD141" s="338"/>
      <c r="AE141" s="338"/>
      <c r="AF141" s="338"/>
      <c r="AG141" s="338"/>
      <c r="AH141" s="338"/>
      <c r="AI141" s="338"/>
      <c r="AJ141" s="338"/>
      <c r="AK141" s="338"/>
      <c r="AL141" s="338"/>
      <c r="AM141" s="338"/>
      <c r="AN141" s="338"/>
      <c r="AO141" s="338"/>
      <c r="AP141" s="338"/>
      <c r="AQ141" s="338"/>
      <c r="AR141" s="338"/>
      <c r="AS141" s="338"/>
      <c r="AT141" s="338"/>
      <c r="AU141" s="338"/>
      <c r="AV141" s="338"/>
      <c r="AW141" s="338"/>
      <c r="AX141" s="338"/>
      <c r="AY141" s="338"/>
      <c r="AZ141" s="338"/>
      <c r="BA141" s="338"/>
      <c r="BB141" s="338"/>
      <c r="BC141" s="338"/>
      <c r="BD141" s="338"/>
      <c r="BE141" s="338"/>
      <c r="BF141" s="338"/>
      <c r="BG141" s="352"/>
    </row>
    <row r="142" spans="1:59" ht="11.25" customHeight="1" x14ac:dyDescent="0.25">
      <c r="A142" s="455">
        <v>52000</v>
      </c>
      <c r="B142" s="456" t="s">
        <v>101</v>
      </c>
      <c r="C142" s="346"/>
      <c r="D142" s="487"/>
      <c r="E142" s="470"/>
      <c r="F142" s="481"/>
      <c r="G142" s="470">
        <v>763</v>
      </c>
      <c r="H142" s="481">
        <f t="shared" si="336"/>
        <v>2.4801889060097044E-4</v>
      </c>
      <c r="I142" s="346">
        <v>4012.5699999999997</v>
      </c>
      <c r="J142" s="484">
        <f t="shared" si="333"/>
        <v>9.4462996391708298E-4</v>
      </c>
      <c r="K142" s="65"/>
      <c r="L142" s="507">
        <v>12.3</v>
      </c>
      <c r="M142" s="505">
        <v>8.4</v>
      </c>
      <c r="N142" s="506">
        <f t="shared" si="334"/>
        <v>43.35</v>
      </c>
      <c r="O142" s="481">
        <f t="shared" si="335"/>
        <v>4.4223186823836667E-3</v>
      </c>
      <c r="P142" s="542"/>
      <c r="Q142" s="539"/>
      <c r="R142" s="545"/>
      <c r="S142" s="539"/>
      <c r="T142" s="545"/>
      <c r="U142" s="539"/>
      <c r="V142" s="550"/>
      <c r="W142" s="548"/>
      <c r="Y142" s="338"/>
      <c r="Z142" s="338"/>
      <c r="AA142" s="338"/>
      <c r="AB142" s="338"/>
      <c r="AC142" s="338"/>
      <c r="AD142" s="338"/>
      <c r="AE142" s="338"/>
      <c r="AF142" s="338"/>
      <c r="AG142" s="338"/>
      <c r="AH142" s="338"/>
      <c r="AI142" s="338"/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  <c r="AW142" s="338"/>
      <c r="AX142" s="338"/>
      <c r="AY142" s="338"/>
      <c r="AZ142" s="338"/>
      <c r="BA142" s="338"/>
      <c r="BB142" s="338"/>
      <c r="BC142" s="338"/>
      <c r="BD142" s="338"/>
      <c r="BE142" s="338"/>
      <c r="BF142" s="338"/>
      <c r="BG142" s="352"/>
    </row>
    <row r="143" spans="1:59" ht="11.25" customHeight="1" x14ac:dyDescent="0.25">
      <c r="A143" s="455">
        <v>53000</v>
      </c>
      <c r="B143" s="456" t="s">
        <v>102</v>
      </c>
      <c r="C143" s="346"/>
      <c r="D143" s="487"/>
      <c r="E143" s="470"/>
      <c r="F143" s="481"/>
      <c r="G143" s="470">
        <v>468.4</v>
      </c>
      <c r="H143" s="481">
        <f t="shared" si="336"/>
        <v>1.5225694411205053E-4</v>
      </c>
      <c r="I143" s="346">
        <v>8635.98</v>
      </c>
      <c r="J143" s="484">
        <f t="shared" si="333"/>
        <v>2.033062470134764E-3</v>
      </c>
      <c r="K143" s="65"/>
      <c r="L143" s="507">
        <v>8.8000000000000007</v>
      </c>
      <c r="M143" s="505">
        <v>8.1</v>
      </c>
      <c r="N143" s="506">
        <f t="shared" si="334"/>
        <v>34.15</v>
      </c>
      <c r="O143" s="481">
        <f t="shared" si="335"/>
        <v>3.4837873818547222E-3</v>
      </c>
      <c r="P143" s="542"/>
      <c r="Q143" s="539"/>
      <c r="R143" s="545"/>
      <c r="S143" s="539"/>
      <c r="T143" s="545"/>
      <c r="U143" s="539"/>
      <c r="V143" s="550"/>
      <c r="W143" s="548"/>
      <c r="Y143" s="338"/>
      <c r="Z143" s="338"/>
      <c r="AA143" s="338"/>
      <c r="AB143" s="338"/>
      <c r="AC143" s="338"/>
      <c r="AD143" s="338"/>
      <c r="AE143" s="338"/>
      <c r="AF143" s="338"/>
      <c r="AG143" s="338"/>
      <c r="AH143" s="338"/>
      <c r="AI143" s="338"/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8"/>
      <c r="AX143" s="338"/>
      <c r="AY143" s="338"/>
      <c r="AZ143" s="338"/>
      <c r="BA143" s="338"/>
      <c r="BB143" s="338"/>
      <c r="BC143" s="338"/>
      <c r="BD143" s="338"/>
      <c r="BE143" s="338"/>
      <c r="BF143" s="338"/>
      <c r="BG143" s="352"/>
    </row>
    <row r="144" spans="1:59" ht="11.25" customHeight="1" x14ac:dyDescent="0.25">
      <c r="A144" s="455">
        <v>54000</v>
      </c>
      <c r="B144" s="456" t="s">
        <v>103</v>
      </c>
      <c r="C144" s="346"/>
      <c r="D144" s="487"/>
      <c r="E144" s="470"/>
      <c r="F144" s="481"/>
      <c r="G144" s="470">
        <v>1029.95</v>
      </c>
      <c r="H144" s="481">
        <f t="shared" si="336"/>
        <v>3.3479299655893779E-4</v>
      </c>
      <c r="I144" s="346">
        <v>8561.23</v>
      </c>
      <c r="J144" s="484">
        <f t="shared" si="333"/>
        <v>2.015464997741061E-3</v>
      </c>
      <c r="K144" s="65"/>
      <c r="L144" s="507">
        <v>21.7</v>
      </c>
      <c r="M144" s="505">
        <v>33.9</v>
      </c>
      <c r="N144" s="506">
        <f t="shared" si="334"/>
        <v>105.1</v>
      </c>
      <c r="O144" s="481">
        <f t="shared" si="335"/>
        <v>1.0721699965825221E-2</v>
      </c>
      <c r="P144" s="542"/>
      <c r="Q144" s="539"/>
      <c r="R144" s="545"/>
      <c r="S144" s="539"/>
      <c r="T144" s="545"/>
      <c r="U144" s="539"/>
      <c r="V144" s="550"/>
      <c r="W144" s="548"/>
      <c r="Y144" s="338"/>
      <c r="Z144" s="338"/>
      <c r="AA144" s="338"/>
      <c r="AB144" s="338"/>
      <c r="AC144" s="338"/>
      <c r="AD144" s="338"/>
      <c r="AE144" s="338"/>
      <c r="AF144" s="338"/>
      <c r="AG144" s="338"/>
      <c r="AH144" s="338"/>
      <c r="AI144" s="338"/>
      <c r="AJ144" s="338"/>
      <c r="AK144" s="338"/>
      <c r="AL144" s="338"/>
      <c r="AM144" s="338"/>
      <c r="AN144" s="338"/>
      <c r="AO144" s="338"/>
      <c r="AP144" s="338"/>
      <c r="AQ144" s="338"/>
      <c r="AR144" s="338"/>
      <c r="AS144" s="338"/>
      <c r="AT144" s="338"/>
      <c r="AU144" s="338"/>
      <c r="AV144" s="338"/>
      <c r="AW144" s="338"/>
      <c r="AX144" s="338"/>
      <c r="AY144" s="338"/>
      <c r="AZ144" s="338"/>
      <c r="BA144" s="338"/>
      <c r="BB144" s="338"/>
      <c r="BC144" s="338"/>
      <c r="BD144" s="338"/>
      <c r="BE144" s="338"/>
      <c r="BF144" s="338"/>
      <c r="BG144" s="352"/>
    </row>
    <row r="145" spans="1:58" ht="11.25" customHeight="1" x14ac:dyDescent="0.25">
      <c r="A145" s="455">
        <v>55000</v>
      </c>
      <c r="B145" s="456" t="s">
        <v>104</v>
      </c>
      <c r="C145" s="346"/>
      <c r="D145" s="487"/>
      <c r="E145" s="470"/>
      <c r="F145" s="481"/>
      <c r="G145" s="470">
        <v>0</v>
      </c>
      <c r="H145" s="481">
        <f t="shared" si="336"/>
        <v>0</v>
      </c>
      <c r="I145" s="346">
        <v>12698.66</v>
      </c>
      <c r="J145" s="484">
        <f t="shared" si="333"/>
        <v>2.9894892145421277E-3</v>
      </c>
      <c r="K145" s="65"/>
      <c r="L145" s="507">
        <v>2.5</v>
      </c>
      <c r="M145" s="505">
        <v>5.2</v>
      </c>
      <c r="N145" s="506">
        <f t="shared" si="334"/>
        <v>14.05</v>
      </c>
      <c r="O145" s="481">
        <f t="shared" si="335"/>
        <v>1.4333005187425725E-3</v>
      </c>
      <c r="P145" s="542"/>
      <c r="Q145" s="539"/>
      <c r="R145" s="545"/>
      <c r="S145" s="539"/>
      <c r="T145" s="545"/>
      <c r="U145" s="539"/>
      <c r="V145" s="550"/>
      <c r="W145" s="548"/>
      <c r="Y145" s="338"/>
      <c r="Z145" s="338"/>
      <c r="AA145" s="338"/>
      <c r="AB145" s="338"/>
      <c r="AC145" s="338"/>
      <c r="AD145" s="338"/>
      <c r="AE145" s="338"/>
      <c r="AF145" s="338"/>
      <c r="AG145" s="338"/>
      <c r="AH145" s="338"/>
      <c r="AI145" s="338"/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  <c r="AW145" s="338"/>
      <c r="AX145" s="338"/>
      <c r="AY145" s="338"/>
      <c r="AZ145" s="338"/>
      <c r="BA145" s="338"/>
      <c r="BB145" s="338"/>
      <c r="BC145" s="338"/>
      <c r="BD145" s="338"/>
      <c r="BE145" s="338"/>
      <c r="BF145" s="338"/>
    </row>
    <row r="146" spans="1:58" ht="11.25" customHeight="1" thickBot="1" x14ac:dyDescent="0.3">
      <c r="A146" s="457">
        <v>56000</v>
      </c>
      <c r="B146" s="458" t="s">
        <v>105</v>
      </c>
      <c r="C146" s="493"/>
      <c r="D146" s="494"/>
      <c r="E146" s="495"/>
      <c r="F146" s="496"/>
      <c r="G146" s="495">
        <v>0</v>
      </c>
      <c r="H146" s="496">
        <f t="shared" si="336"/>
        <v>0</v>
      </c>
      <c r="I146" s="497">
        <v>2838.5899999999997</v>
      </c>
      <c r="J146" s="498">
        <f t="shared" si="333"/>
        <v>6.682543031711328E-4</v>
      </c>
      <c r="K146" s="65"/>
      <c r="L146" s="523">
        <v>2.5</v>
      </c>
      <c r="M146" s="524">
        <v>2.5</v>
      </c>
      <c r="N146" s="525">
        <f t="shared" si="334"/>
        <v>10</v>
      </c>
      <c r="O146" s="496">
        <f t="shared" si="335"/>
        <v>1.0201427179662437E-3</v>
      </c>
      <c r="P146" s="552"/>
      <c r="Q146" s="553"/>
      <c r="R146" s="554"/>
      <c r="S146" s="553"/>
      <c r="T146" s="554"/>
      <c r="U146" s="553"/>
      <c r="V146" s="555"/>
      <c r="W146" s="556"/>
      <c r="Y146" s="338"/>
      <c r="Z146" s="338"/>
      <c r="AA146" s="338"/>
      <c r="AB146" s="338"/>
      <c r="AC146" s="338"/>
      <c r="AD146" s="338"/>
      <c r="AE146" s="338"/>
      <c r="AF146" s="338"/>
      <c r="AG146" s="338"/>
      <c r="AH146" s="338"/>
      <c r="AI146" s="338"/>
      <c r="AJ146" s="338"/>
      <c r="AK146" s="338"/>
      <c r="AL146" s="338"/>
      <c r="AM146" s="338"/>
      <c r="AN146" s="338"/>
      <c r="AO146" s="338"/>
      <c r="AP146" s="338"/>
      <c r="AQ146" s="338"/>
      <c r="AR146" s="338"/>
      <c r="AS146" s="338"/>
      <c r="AT146" s="338"/>
      <c r="AU146" s="338"/>
      <c r="AV146" s="338"/>
      <c r="AW146" s="338"/>
      <c r="AX146" s="338"/>
      <c r="AY146" s="338"/>
      <c r="AZ146" s="338"/>
      <c r="BA146" s="338"/>
      <c r="BB146" s="338"/>
      <c r="BC146" s="338"/>
      <c r="BD146" s="338"/>
      <c r="BE146" s="338"/>
      <c r="BF146" s="338"/>
    </row>
    <row r="147" spans="1:58" x14ac:dyDescent="0.25">
      <c r="G147" s="353"/>
      <c r="H147" s="29"/>
      <c r="L147" s="348"/>
      <c r="M147" s="348"/>
      <c r="N147" s="348"/>
      <c r="O147" s="349"/>
      <c r="T147" s="343"/>
      <c r="U147" s="343"/>
      <c r="V147" s="343"/>
      <c r="W147" s="343"/>
      <c r="AG147" s="338"/>
      <c r="AH147" s="338"/>
      <c r="AI147" s="338"/>
      <c r="AJ147" s="338"/>
      <c r="AK147" s="338"/>
      <c r="AL147" s="338"/>
      <c r="AM147" s="338"/>
      <c r="AN147" s="338"/>
      <c r="BE147" s="338"/>
      <c r="BF147" s="338"/>
    </row>
  </sheetData>
  <mergeCells count="39">
    <mergeCell ref="AO5:AT5"/>
    <mergeCell ref="AG5:AL5"/>
    <mergeCell ref="Y4:BD4"/>
    <mergeCell ref="BF4:BF6"/>
    <mergeCell ref="BG4:BG6"/>
    <mergeCell ref="BC5:BD6"/>
    <mergeCell ref="AI6:AJ6"/>
    <mergeCell ref="P5:U5"/>
    <mergeCell ref="V5:W6"/>
    <mergeCell ref="AW5:BB5"/>
    <mergeCell ref="AS6:AT6"/>
    <mergeCell ref="AW6:AX6"/>
    <mergeCell ref="AY6:AZ6"/>
    <mergeCell ref="AU5:AV6"/>
    <mergeCell ref="BA6:BB6"/>
    <mergeCell ref="P6:Q6"/>
    <mergeCell ref="R6:S6"/>
    <mergeCell ref="T6:U6"/>
    <mergeCell ref="AO6:AP6"/>
    <mergeCell ref="AQ6:AR6"/>
    <mergeCell ref="AA6:AB6"/>
    <mergeCell ref="AC6:AD6"/>
    <mergeCell ref="AG6:AH6"/>
    <mergeCell ref="O5:O6"/>
    <mergeCell ref="L5:N5"/>
    <mergeCell ref="AM5:AN6"/>
    <mergeCell ref="A8:B8"/>
    <mergeCell ref="Y6:Z6"/>
    <mergeCell ref="Y5:AD5"/>
    <mergeCell ref="AE5:AF6"/>
    <mergeCell ref="A7:B7"/>
    <mergeCell ref="AK6:AL6"/>
    <mergeCell ref="A4:B6"/>
    <mergeCell ref="C4:J4"/>
    <mergeCell ref="C5:D6"/>
    <mergeCell ref="E5:F6"/>
    <mergeCell ref="G5:H6"/>
    <mergeCell ref="L4:W4"/>
    <mergeCell ref="I5:J6"/>
  </mergeCells>
  <pageMargins left="0.19685039370078741" right="0.19685039370078741" top="0.78740157480314965" bottom="0.78740157480314965" header="0.51181102362204722" footer="0.51181102362204722"/>
  <pageSetup paperSize="9" scale="75" orientation="landscape" r:id="rId1"/>
  <headerFooter alignWithMargins="0"/>
  <ignoredErrors>
    <ignoredError sqref="S36:T36 U36 V37:V62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2"/>
  <sheetViews>
    <sheetView zoomScaleNormal="100" workbookViewId="0">
      <selection activeCell="D27" sqref="D27"/>
    </sheetView>
  </sheetViews>
  <sheetFormatPr defaultRowHeight="12" x14ac:dyDescent="0.2"/>
  <cols>
    <col min="1" max="1" width="3.42578125" style="35" customWidth="1"/>
    <col min="2" max="2" width="48.85546875" style="35" customWidth="1"/>
    <col min="3" max="3" width="11.5703125" style="35" customWidth="1"/>
    <col min="4" max="4" width="11.42578125" style="35" bestFit="1" customWidth="1"/>
    <col min="5" max="16384" width="9.140625" style="35"/>
  </cols>
  <sheetData>
    <row r="2" spans="1:5" s="34" customFormat="1" ht="39.75" customHeight="1" x14ac:dyDescent="0.25">
      <c r="A2" s="33"/>
      <c r="B2" s="1037" t="s">
        <v>328</v>
      </c>
      <c r="C2" s="1037"/>
    </row>
    <row r="3" spans="1:5" s="34" customFormat="1" ht="15" customHeight="1" x14ac:dyDescent="0.25">
      <c r="A3" s="33"/>
      <c r="B3" s="1038" t="s">
        <v>329</v>
      </c>
      <c r="C3" s="1038"/>
    </row>
    <row r="4" spans="1:5" ht="12.75" thickBot="1" x14ac:dyDescent="0.25">
      <c r="B4" s="33"/>
      <c r="C4" s="36"/>
    </row>
    <row r="5" spans="1:5" ht="12.95" customHeight="1" x14ac:dyDescent="0.2">
      <c r="B5" s="1035" t="s">
        <v>109</v>
      </c>
      <c r="C5" s="1033" t="s">
        <v>6</v>
      </c>
    </row>
    <row r="6" spans="1:5" ht="12.95" customHeight="1" x14ac:dyDescent="0.2">
      <c r="B6" s="1036"/>
      <c r="C6" s="1034"/>
    </row>
    <row r="7" spans="1:5" ht="12.95" customHeight="1" x14ac:dyDescent="0.25">
      <c r="B7" s="443" t="s">
        <v>71</v>
      </c>
      <c r="C7" s="444">
        <f>C8+C13+C16</f>
        <v>1</v>
      </c>
      <c r="E7"/>
    </row>
    <row r="8" spans="1:5" ht="12.95" customHeight="1" x14ac:dyDescent="0.25">
      <c r="B8" s="449" t="s">
        <v>308</v>
      </c>
      <c r="C8" s="450">
        <f>SUM(C9:C12)</f>
        <v>0.39</v>
      </c>
      <c r="E8"/>
    </row>
    <row r="9" spans="1:5" ht="12.95" customHeight="1" x14ac:dyDescent="0.25">
      <c r="B9" s="445" t="s">
        <v>111</v>
      </c>
      <c r="C9" s="446">
        <v>0.29299999999999998</v>
      </c>
      <c r="E9"/>
    </row>
    <row r="10" spans="1:5" ht="12.95" customHeight="1" x14ac:dyDescent="0.25">
      <c r="B10" s="445" t="s">
        <v>60</v>
      </c>
      <c r="C10" s="67">
        <v>1.7000000000000001E-2</v>
      </c>
      <c r="E10"/>
    </row>
    <row r="11" spans="1:5" ht="12.95" customHeight="1" x14ac:dyDescent="0.25">
      <c r="B11" s="445" t="s">
        <v>61</v>
      </c>
      <c r="C11" s="446">
        <v>0.05</v>
      </c>
      <c r="E11"/>
    </row>
    <row r="12" spans="1:5" ht="12.95" customHeight="1" x14ac:dyDescent="0.25">
      <c r="B12" s="445" t="s">
        <v>313</v>
      </c>
      <c r="C12" s="446">
        <v>0.03</v>
      </c>
      <c r="E12"/>
    </row>
    <row r="13" spans="1:5" ht="12.95" customHeight="1" x14ac:dyDescent="0.25">
      <c r="B13" s="451" t="s">
        <v>309</v>
      </c>
      <c r="C13" s="452">
        <f>SUM(C14:C15)</f>
        <v>0.34</v>
      </c>
      <c r="E13"/>
    </row>
    <row r="14" spans="1:5" ht="12.95" customHeight="1" x14ac:dyDescent="0.25">
      <c r="B14" s="445" t="s">
        <v>63</v>
      </c>
      <c r="C14" s="446">
        <v>0.02</v>
      </c>
      <c r="E14"/>
    </row>
    <row r="15" spans="1:5" ht="12.95" customHeight="1" x14ac:dyDescent="0.25">
      <c r="B15" s="445" t="s">
        <v>112</v>
      </c>
      <c r="C15" s="446">
        <v>0.32</v>
      </c>
      <c r="E15"/>
    </row>
    <row r="16" spans="1:5" ht="12.95" customHeight="1" x14ac:dyDescent="0.25">
      <c r="B16" s="453" t="s">
        <v>113</v>
      </c>
      <c r="C16" s="454">
        <f>SUM(C17:C20)</f>
        <v>0.27</v>
      </c>
      <c r="E16"/>
    </row>
    <row r="17" spans="2:5" ht="23.25" customHeight="1" x14ac:dyDescent="0.25">
      <c r="B17" s="445" t="s">
        <v>114</v>
      </c>
      <c r="C17" s="446">
        <v>0.02</v>
      </c>
      <c r="E17"/>
    </row>
    <row r="18" spans="2:5" ht="24" customHeight="1" x14ac:dyDescent="0.25">
      <c r="B18" s="445" t="s">
        <v>115</v>
      </c>
      <c r="C18" s="446">
        <v>0.03</v>
      </c>
      <c r="E18"/>
    </row>
    <row r="19" spans="2:5" ht="12.95" customHeight="1" x14ac:dyDescent="0.25">
      <c r="B19" s="445" t="s">
        <v>116</v>
      </c>
      <c r="C19" s="446">
        <v>0.11</v>
      </c>
      <c r="E19"/>
    </row>
    <row r="20" spans="2:5" ht="12.95" customHeight="1" thickBot="1" x14ac:dyDescent="0.3">
      <c r="B20" s="447" t="s">
        <v>117</v>
      </c>
      <c r="C20" s="448">
        <v>0.11</v>
      </c>
      <c r="E20"/>
    </row>
    <row r="21" spans="2:5" ht="12.95" customHeight="1" x14ac:dyDescent="0.25">
      <c r="B21" s="37"/>
      <c r="C21" s="38"/>
      <c r="E21"/>
    </row>
    <row r="22" spans="2:5" ht="12.95" customHeight="1" x14ac:dyDescent="0.2">
      <c r="B22" s="39"/>
      <c r="C22" s="39"/>
    </row>
  </sheetData>
  <mergeCells count="4">
    <mergeCell ref="C5:C6"/>
    <mergeCell ref="B5:B6"/>
    <mergeCell ref="B2:C2"/>
    <mergeCell ref="B3:C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87" zoomScaleNormal="87" workbookViewId="0">
      <selection activeCell="A2" sqref="A2"/>
    </sheetView>
  </sheetViews>
  <sheetFormatPr defaultRowHeight="15" x14ac:dyDescent="0.25"/>
  <cols>
    <col min="1" max="1" width="9.28515625" style="58" bestFit="1" customWidth="1"/>
    <col min="2" max="2" width="54.28515625" style="58" customWidth="1"/>
    <col min="3" max="3" width="11.5703125" style="58" customWidth="1"/>
    <col min="4" max="4" width="13.28515625" style="58" customWidth="1"/>
    <col min="5" max="5" width="15.28515625" style="58" customWidth="1"/>
    <col min="6" max="6" width="9.140625" style="58"/>
    <col min="7" max="7" width="48.42578125" style="58" customWidth="1"/>
    <col min="8" max="16384" width="9.140625" style="58"/>
  </cols>
  <sheetData>
    <row r="1" spans="1:6" ht="19.5" x14ac:dyDescent="0.25">
      <c r="A1" s="1039" t="s">
        <v>406</v>
      </c>
      <c r="B1" s="1039"/>
      <c r="C1" s="1039"/>
      <c r="D1" s="1039"/>
      <c r="E1" s="1039"/>
    </row>
    <row r="2" spans="1:6" ht="15.75" customHeight="1" x14ac:dyDescent="0.25">
      <c r="A2" s="252"/>
      <c r="B2" s="252"/>
      <c r="C2" s="252"/>
      <c r="D2" s="252"/>
      <c r="E2" s="252"/>
    </row>
    <row r="3" spans="1:6" x14ac:dyDescent="0.25">
      <c r="A3" s="310" t="s">
        <v>178</v>
      </c>
      <c r="B3" s="253"/>
      <c r="C3" s="253"/>
      <c r="D3" s="253"/>
      <c r="E3" s="253"/>
    </row>
    <row r="4" spans="1:6" ht="15.75" thickBot="1" x14ac:dyDescent="0.3">
      <c r="A4" s="260"/>
      <c r="B4" s="260"/>
      <c r="C4" s="260"/>
      <c r="D4" s="261"/>
      <c r="E4" s="260"/>
    </row>
    <row r="5" spans="1:6" ht="26.25" thickBot="1" x14ac:dyDescent="0.3">
      <c r="A5" s="59" t="s">
        <v>175</v>
      </c>
      <c r="B5" s="60" t="s">
        <v>176</v>
      </c>
      <c r="C5" s="60" t="s">
        <v>177</v>
      </c>
      <c r="D5" s="262" t="s">
        <v>187</v>
      </c>
      <c r="E5" s="263" t="s">
        <v>302</v>
      </c>
      <c r="F5" s="311"/>
    </row>
    <row r="6" spans="1:6" ht="12.75" customHeight="1" x14ac:dyDescent="0.25">
      <c r="A6" s="307">
        <v>11000</v>
      </c>
      <c r="B6" s="308" t="s">
        <v>144</v>
      </c>
      <c r="C6" s="307">
        <v>3088</v>
      </c>
      <c r="D6" s="312">
        <f t="shared" ref="D6:D31" si="0">ROUND(C6*$D$34/$C$32,0)</f>
        <v>256432</v>
      </c>
      <c r="E6" s="313">
        <f>ROUNDDOWN(D6/4,0)</f>
        <v>64108</v>
      </c>
    </row>
    <row r="7" spans="1:6" ht="12.75" customHeight="1" x14ac:dyDescent="0.25">
      <c r="A7" s="307">
        <v>12000</v>
      </c>
      <c r="B7" s="308" t="s">
        <v>145</v>
      </c>
      <c r="C7" s="307">
        <v>343</v>
      </c>
      <c r="D7" s="314">
        <f t="shared" si="0"/>
        <v>28483</v>
      </c>
      <c r="E7" s="315">
        <f t="shared" ref="E7:E31" si="1">ROUNDDOWN(D7/4,0)</f>
        <v>7120</v>
      </c>
    </row>
    <row r="8" spans="1:6" ht="12.75" customHeight="1" x14ac:dyDescent="0.25">
      <c r="A8" s="307">
        <v>13000</v>
      </c>
      <c r="B8" s="308" t="s">
        <v>146</v>
      </c>
      <c r="C8" s="307">
        <v>57</v>
      </c>
      <c r="D8" s="314">
        <f t="shared" si="0"/>
        <v>4733</v>
      </c>
      <c r="E8" s="315">
        <f t="shared" si="1"/>
        <v>1183</v>
      </c>
    </row>
    <row r="9" spans="1:6" ht="12.75" customHeight="1" x14ac:dyDescent="0.25">
      <c r="A9" s="307">
        <v>14000</v>
      </c>
      <c r="B9" s="308" t="s">
        <v>147</v>
      </c>
      <c r="C9" s="307">
        <v>1725</v>
      </c>
      <c r="D9" s="314">
        <f t="shared" si="0"/>
        <v>143246</v>
      </c>
      <c r="E9" s="315">
        <f t="shared" si="1"/>
        <v>35811</v>
      </c>
    </row>
    <row r="10" spans="1:6" ht="12.75" customHeight="1" x14ac:dyDescent="0.25">
      <c r="A10" s="307">
        <v>15000</v>
      </c>
      <c r="B10" s="308" t="s">
        <v>148</v>
      </c>
      <c r="C10" s="307">
        <v>689</v>
      </c>
      <c r="D10" s="314">
        <f t="shared" si="0"/>
        <v>57215</v>
      </c>
      <c r="E10" s="315">
        <f t="shared" si="1"/>
        <v>14303</v>
      </c>
    </row>
    <row r="11" spans="1:6" ht="12.75" customHeight="1" x14ac:dyDescent="0.25">
      <c r="A11" s="307">
        <v>16000</v>
      </c>
      <c r="B11" s="308" t="s">
        <v>149</v>
      </c>
      <c r="C11" s="307">
        <v>160</v>
      </c>
      <c r="D11" s="314">
        <f t="shared" si="0"/>
        <v>13287</v>
      </c>
      <c r="E11" s="315">
        <f t="shared" si="1"/>
        <v>3321</v>
      </c>
    </row>
    <row r="12" spans="1:6" ht="12.75" customHeight="1" x14ac:dyDescent="0.25">
      <c r="A12" s="307">
        <v>17000</v>
      </c>
      <c r="B12" s="308" t="s">
        <v>150</v>
      </c>
      <c r="C12" s="307">
        <v>136</v>
      </c>
      <c r="D12" s="314">
        <f t="shared" si="0"/>
        <v>11294</v>
      </c>
      <c r="E12" s="315">
        <f t="shared" si="1"/>
        <v>2823</v>
      </c>
    </row>
    <row r="13" spans="1:6" ht="12.75" customHeight="1" x14ac:dyDescent="0.25">
      <c r="A13" s="307">
        <v>18000</v>
      </c>
      <c r="B13" s="308" t="s">
        <v>151</v>
      </c>
      <c r="C13" s="307">
        <v>56</v>
      </c>
      <c r="D13" s="314">
        <f t="shared" si="0"/>
        <v>4650</v>
      </c>
      <c r="E13" s="315">
        <f t="shared" si="1"/>
        <v>1162</v>
      </c>
    </row>
    <row r="14" spans="1:6" ht="12.75" customHeight="1" x14ac:dyDescent="0.25">
      <c r="A14" s="307">
        <v>19000</v>
      </c>
      <c r="B14" s="308" t="s">
        <v>152</v>
      </c>
      <c r="C14" s="307">
        <v>78</v>
      </c>
      <c r="D14" s="314">
        <f t="shared" si="0"/>
        <v>6477</v>
      </c>
      <c r="E14" s="315">
        <f t="shared" si="1"/>
        <v>1619</v>
      </c>
    </row>
    <row r="15" spans="1:6" ht="12.75" customHeight="1" x14ac:dyDescent="0.25">
      <c r="A15" s="307">
        <v>21000</v>
      </c>
      <c r="B15" s="308" t="s">
        <v>153</v>
      </c>
      <c r="C15" s="307">
        <v>1166</v>
      </c>
      <c r="D15" s="314">
        <f t="shared" si="0"/>
        <v>96826</v>
      </c>
      <c r="E15" s="315">
        <f t="shared" si="1"/>
        <v>24206</v>
      </c>
    </row>
    <row r="16" spans="1:6" ht="12.75" customHeight="1" x14ac:dyDescent="0.25">
      <c r="A16" s="307">
        <v>22000</v>
      </c>
      <c r="B16" s="308" t="s">
        <v>154</v>
      </c>
      <c r="C16" s="307">
        <v>478</v>
      </c>
      <c r="D16" s="314">
        <f t="shared" si="0"/>
        <v>39694</v>
      </c>
      <c r="E16" s="315">
        <f t="shared" si="1"/>
        <v>9923</v>
      </c>
    </row>
    <row r="17" spans="1:5" ht="12.75" customHeight="1" x14ac:dyDescent="0.25">
      <c r="A17" s="307">
        <v>23000</v>
      </c>
      <c r="B17" s="308" t="s">
        <v>155</v>
      </c>
      <c r="C17" s="307">
        <v>377</v>
      </c>
      <c r="D17" s="314">
        <f t="shared" si="0"/>
        <v>31307</v>
      </c>
      <c r="E17" s="315">
        <f t="shared" si="1"/>
        <v>7826</v>
      </c>
    </row>
    <row r="18" spans="1:5" ht="12.75" customHeight="1" x14ac:dyDescent="0.25">
      <c r="A18" s="307">
        <v>24000</v>
      </c>
      <c r="B18" s="308" t="s">
        <v>156</v>
      </c>
      <c r="C18" s="307">
        <v>186</v>
      </c>
      <c r="D18" s="314">
        <f t="shared" si="0"/>
        <v>15446</v>
      </c>
      <c r="E18" s="315">
        <f t="shared" si="1"/>
        <v>3861</v>
      </c>
    </row>
    <row r="19" spans="1:5" ht="12.75" customHeight="1" x14ac:dyDescent="0.25">
      <c r="A19" s="307">
        <v>25000</v>
      </c>
      <c r="B19" s="308" t="s">
        <v>157</v>
      </c>
      <c r="C19" s="307">
        <v>226</v>
      </c>
      <c r="D19" s="314">
        <f t="shared" si="0"/>
        <v>18767</v>
      </c>
      <c r="E19" s="315">
        <f t="shared" si="1"/>
        <v>4691</v>
      </c>
    </row>
    <row r="20" spans="1:5" ht="12.75" customHeight="1" x14ac:dyDescent="0.25">
      <c r="A20" s="307">
        <v>26000</v>
      </c>
      <c r="B20" s="308" t="s">
        <v>158</v>
      </c>
      <c r="C20" s="307">
        <v>1120</v>
      </c>
      <c r="D20" s="314">
        <f t="shared" si="0"/>
        <v>93006</v>
      </c>
      <c r="E20" s="315">
        <f t="shared" si="1"/>
        <v>23251</v>
      </c>
    </row>
    <row r="21" spans="1:5" ht="12.75" customHeight="1" x14ac:dyDescent="0.25">
      <c r="A21" s="307">
        <v>27000</v>
      </c>
      <c r="B21" s="308" t="s">
        <v>159</v>
      </c>
      <c r="C21" s="307">
        <v>603</v>
      </c>
      <c r="D21" s="314">
        <f t="shared" si="0"/>
        <v>50074</v>
      </c>
      <c r="E21" s="315">
        <f t="shared" si="1"/>
        <v>12518</v>
      </c>
    </row>
    <row r="22" spans="1:5" ht="12.75" customHeight="1" x14ac:dyDescent="0.25">
      <c r="A22" s="307">
        <v>28000</v>
      </c>
      <c r="B22" s="308" t="s">
        <v>160</v>
      </c>
      <c r="C22" s="307">
        <v>237</v>
      </c>
      <c r="D22" s="314">
        <f t="shared" si="0"/>
        <v>19681</v>
      </c>
      <c r="E22" s="315">
        <f t="shared" si="1"/>
        <v>4920</v>
      </c>
    </row>
    <row r="23" spans="1:5" ht="12.75" customHeight="1" x14ac:dyDescent="0.25">
      <c r="A23" s="307">
        <v>31000</v>
      </c>
      <c r="B23" s="308" t="s">
        <v>161</v>
      </c>
      <c r="C23" s="307">
        <v>310</v>
      </c>
      <c r="D23" s="314">
        <f t="shared" si="0"/>
        <v>25743</v>
      </c>
      <c r="E23" s="315">
        <f t="shared" si="1"/>
        <v>6435</v>
      </c>
    </row>
    <row r="24" spans="1:5" ht="12.75" customHeight="1" x14ac:dyDescent="0.25">
      <c r="A24" s="307">
        <v>41000</v>
      </c>
      <c r="B24" s="308" t="s">
        <v>162</v>
      </c>
      <c r="C24" s="307">
        <v>536</v>
      </c>
      <c r="D24" s="314">
        <f t="shared" si="0"/>
        <v>44510</v>
      </c>
      <c r="E24" s="315">
        <f t="shared" si="1"/>
        <v>11127</v>
      </c>
    </row>
    <row r="25" spans="1:5" ht="12.75" customHeight="1" x14ac:dyDescent="0.25">
      <c r="A25" s="307">
        <v>43000</v>
      </c>
      <c r="B25" s="308" t="s">
        <v>163</v>
      </c>
      <c r="C25" s="307">
        <v>336</v>
      </c>
      <c r="D25" s="314">
        <f>ROUND(C25*$D$34/$C$32,0)</f>
        <v>27902</v>
      </c>
      <c r="E25" s="315">
        <f t="shared" si="1"/>
        <v>6975</v>
      </c>
    </row>
    <row r="26" spans="1:5" ht="12.75" customHeight="1" x14ac:dyDescent="0.25">
      <c r="A26" s="307">
        <v>51000</v>
      </c>
      <c r="B26" s="308" t="s">
        <v>164</v>
      </c>
      <c r="C26" s="307">
        <v>52</v>
      </c>
      <c r="D26" s="314">
        <f t="shared" si="0"/>
        <v>4318</v>
      </c>
      <c r="E26" s="315">
        <f t="shared" si="1"/>
        <v>1079</v>
      </c>
    </row>
    <row r="27" spans="1:5" ht="12.75" customHeight="1" x14ac:dyDescent="0.25">
      <c r="A27" s="307">
        <v>52000</v>
      </c>
      <c r="B27" s="308" t="s">
        <v>165</v>
      </c>
      <c r="C27" s="307">
        <v>16</v>
      </c>
      <c r="D27" s="314">
        <f t="shared" si="0"/>
        <v>1329</v>
      </c>
      <c r="E27" s="315">
        <f t="shared" si="1"/>
        <v>332</v>
      </c>
    </row>
    <row r="28" spans="1:5" ht="12.75" customHeight="1" x14ac:dyDescent="0.25">
      <c r="A28" s="307">
        <v>53000</v>
      </c>
      <c r="B28" s="308" t="s">
        <v>166</v>
      </c>
      <c r="C28" s="307">
        <v>17</v>
      </c>
      <c r="D28" s="314">
        <f t="shared" si="0"/>
        <v>1412</v>
      </c>
      <c r="E28" s="315">
        <f t="shared" si="1"/>
        <v>353</v>
      </c>
    </row>
    <row r="29" spans="1:5" ht="12.75" customHeight="1" x14ac:dyDescent="0.25">
      <c r="A29" s="307">
        <v>54000</v>
      </c>
      <c r="B29" s="308" t="s">
        <v>167</v>
      </c>
      <c r="C29" s="307">
        <v>36</v>
      </c>
      <c r="D29" s="314">
        <f t="shared" si="0"/>
        <v>2989</v>
      </c>
      <c r="E29" s="315">
        <f t="shared" si="1"/>
        <v>747</v>
      </c>
    </row>
    <row r="30" spans="1:5" ht="12.75" customHeight="1" x14ac:dyDescent="0.25">
      <c r="A30" s="307">
        <v>55000</v>
      </c>
      <c r="B30" s="308" t="s">
        <v>168</v>
      </c>
      <c r="C30" s="307">
        <v>0</v>
      </c>
      <c r="D30" s="314">
        <f t="shared" si="0"/>
        <v>0</v>
      </c>
      <c r="E30" s="315">
        <f t="shared" si="1"/>
        <v>0</v>
      </c>
    </row>
    <row r="31" spans="1:5" ht="12.75" customHeight="1" thickBot="1" x14ac:dyDescent="0.3">
      <c r="A31" s="316">
        <v>56000</v>
      </c>
      <c r="B31" s="317" t="s">
        <v>169</v>
      </c>
      <c r="C31" s="316">
        <v>0</v>
      </c>
      <c r="D31" s="318">
        <f t="shared" si="0"/>
        <v>0</v>
      </c>
      <c r="E31" s="319">
        <f t="shared" si="1"/>
        <v>0</v>
      </c>
    </row>
    <row r="32" spans="1:5" ht="15.75" thickBot="1" x14ac:dyDescent="0.3">
      <c r="A32" s="61" t="s">
        <v>71</v>
      </c>
      <c r="B32" s="62"/>
      <c r="C32" s="63">
        <f>SUM(C6:C31)</f>
        <v>12028</v>
      </c>
      <c r="D32" s="63"/>
      <c r="E32" s="64">
        <f>SUM(E6:E31)</f>
        <v>249694</v>
      </c>
    </row>
    <row r="33" spans="1:5" ht="15.75" thickBot="1" x14ac:dyDescent="0.3">
      <c r="A33" s="260"/>
      <c r="B33" s="260"/>
      <c r="C33" s="260"/>
      <c r="D33" s="260"/>
      <c r="E33" s="260"/>
    </row>
    <row r="34" spans="1:5" ht="15.75" thickBot="1" x14ac:dyDescent="0.3">
      <c r="A34" s="320"/>
      <c r="B34" s="321" t="s">
        <v>179</v>
      </c>
      <c r="C34" s="322"/>
      <c r="D34" s="64">
        <f>Tab.1_Bilance!L22</f>
        <v>998821</v>
      </c>
      <c r="E34" s="320"/>
    </row>
    <row r="35" spans="1:5" ht="24" customHeight="1" thickBot="1" x14ac:dyDescent="0.3">
      <c r="A35" s="260"/>
      <c r="B35" s="260"/>
      <c r="C35" s="260"/>
      <c r="D35" s="260"/>
      <c r="E35" s="260"/>
    </row>
    <row r="36" spans="1:5" ht="15.75" thickBot="1" x14ac:dyDescent="0.3">
      <c r="A36" s="1040" t="s">
        <v>170</v>
      </c>
      <c r="B36" s="1041"/>
      <c r="C36" s="265">
        <v>2010</v>
      </c>
      <c r="D36" s="265">
        <v>2011</v>
      </c>
      <c r="E36" s="266">
        <v>2012</v>
      </c>
    </row>
    <row r="37" spans="1:5" ht="12.75" customHeight="1" x14ac:dyDescent="0.25">
      <c r="A37" s="258" t="s">
        <v>171</v>
      </c>
      <c r="B37" s="259"/>
      <c r="C37" s="256">
        <v>93380</v>
      </c>
      <c r="D37" s="256">
        <v>89428.801628360612</v>
      </c>
      <c r="E37" s="580">
        <f>D34/C32*1000</f>
        <v>83041.320252743608</v>
      </c>
    </row>
    <row r="38" spans="1:5" ht="12.75" customHeight="1" x14ac:dyDescent="0.25">
      <c r="A38" s="281" t="s">
        <v>411</v>
      </c>
      <c r="B38" s="279"/>
      <c r="C38" s="280"/>
      <c r="D38" s="280">
        <f>D37/C37-1</f>
        <v>-4.2313111711709039E-2</v>
      </c>
      <c r="E38" s="282">
        <f>E37/D37-1</f>
        <v>-7.1425326732672434E-2</v>
      </c>
    </row>
    <row r="39" spans="1:5" ht="12.75" customHeight="1" x14ac:dyDescent="0.25">
      <c r="A39" s="283" t="s">
        <v>143</v>
      </c>
      <c r="B39" s="278"/>
      <c r="C39" s="267">
        <v>10851</v>
      </c>
      <c r="D39" s="267">
        <v>11791</v>
      </c>
      <c r="E39" s="284">
        <f>C32</f>
        <v>12028</v>
      </c>
    </row>
    <row r="40" spans="1:5" ht="12.75" customHeight="1" x14ac:dyDescent="0.25">
      <c r="A40" s="281" t="s">
        <v>172</v>
      </c>
      <c r="B40" s="279"/>
      <c r="C40" s="280"/>
      <c r="D40" s="280">
        <f>D39/C39-1</f>
        <v>8.662796055663069E-2</v>
      </c>
      <c r="E40" s="282">
        <f>E39/D39-1</f>
        <v>2.0100076329403693E-2</v>
      </c>
    </row>
    <row r="41" spans="1:5" s="323" customFormat="1" ht="12.75" customHeight="1" x14ac:dyDescent="0.25">
      <c r="A41" s="285" t="s">
        <v>173</v>
      </c>
      <c r="B41" s="278"/>
      <c r="C41" s="267">
        <v>1013279</v>
      </c>
      <c r="D41" s="267">
        <v>1054455</v>
      </c>
      <c r="E41" s="284">
        <f>D34</f>
        <v>998821</v>
      </c>
    </row>
    <row r="42" spans="1:5" ht="12.75" customHeight="1" thickBot="1" x14ac:dyDescent="0.3">
      <c r="A42" s="286" t="s">
        <v>174</v>
      </c>
      <c r="B42" s="287"/>
      <c r="C42" s="268"/>
      <c r="D42" s="268">
        <f>D41/C41-1</f>
        <v>4.0636389385351857E-2</v>
      </c>
      <c r="E42" s="269">
        <f>E41/D41-1</f>
        <v>-5.2760904922448115E-2</v>
      </c>
    </row>
    <row r="43" spans="1:5" x14ac:dyDescent="0.25">
      <c r="A43" s="260"/>
      <c r="B43" s="260"/>
      <c r="C43" s="260"/>
      <c r="D43" s="260"/>
      <c r="E43" s="260"/>
    </row>
    <row r="44" spans="1:5" x14ac:dyDescent="0.25">
      <c r="A44" s="260"/>
      <c r="B44" s="260"/>
      <c r="C44" s="260"/>
      <c r="D44" s="260"/>
      <c r="E44" s="260"/>
    </row>
    <row r="45" spans="1:5" x14ac:dyDescent="0.25">
      <c r="A45" s="260"/>
      <c r="B45" s="260"/>
      <c r="C45" s="260"/>
      <c r="D45" s="260"/>
      <c r="E45" s="260"/>
    </row>
    <row r="46" spans="1:5" x14ac:dyDescent="0.25">
      <c r="A46" s="260"/>
      <c r="B46" s="260"/>
      <c r="C46" s="260"/>
      <c r="D46" s="260"/>
      <c r="E46" s="260"/>
    </row>
    <row r="47" spans="1:5" x14ac:dyDescent="0.25">
      <c r="A47" s="260"/>
      <c r="B47" s="260"/>
      <c r="C47" s="260"/>
      <c r="D47" s="260"/>
      <c r="E47" s="260"/>
    </row>
    <row r="48" spans="1:5" x14ac:dyDescent="0.25">
      <c r="A48" s="260"/>
      <c r="B48" s="260"/>
      <c r="C48" s="260"/>
      <c r="D48" s="260"/>
      <c r="E48" s="260"/>
    </row>
    <row r="49" spans="1:5" x14ac:dyDescent="0.25">
      <c r="A49" s="260"/>
      <c r="B49" s="260"/>
      <c r="C49" s="260"/>
      <c r="D49" s="260"/>
      <c r="E49" s="260"/>
    </row>
    <row r="50" spans="1:5" x14ac:dyDescent="0.25">
      <c r="A50" s="260"/>
      <c r="B50" s="260"/>
      <c r="C50" s="260"/>
      <c r="D50" s="260"/>
      <c r="E50" s="260"/>
    </row>
    <row r="51" spans="1:5" x14ac:dyDescent="0.25">
      <c r="A51" s="260"/>
      <c r="B51" s="260"/>
      <c r="C51" s="260"/>
      <c r="D51" s="260"/>
      <c r="E51" s="260"/>
    </row>
    <row r="52" spans="1:5" x14ac:dyDescent="0.25">
      <c r="A52" s="260"/>
      <c r="B52" s="260"/>
      <c r="C52" s="260"/>
      <c r="D52" s="260"/>
      <c r="E52" s="260"/>
    </row>
    <row r="53" spans="1:5" x14ac:dyDescent="0.25">
      <c r="A53" s="253"/>
      <c r="B53" s="253"/>
      <c r="C53" s="253"/>
      <c r="D53" s="253"/>
      <c r="E53" s="253"/>
    </row>
    <row r="54" spans="1:5" x14ac:dyDescent="0.25">
      <c r="A54" s="253"/>
      <c r="B54" s="253"/>
      <c r="C54" s="253"/>
      <c r="D54" s="253"/>
      <c r="E54" s="253"/>
    </row>
    <row r="55" spans="1:5" x14ac:dyDescent="0.25">
      <c r="A55" s="253"/>
      <c r="B55" s="253"/>
      <c r="C55" s="253"/>
      <c r="D55" s="253"/>
      <c r="E55" s="253"/>
    </row>
  </sheetData>
  <mergeCells count="2">
    <mergeCell ref="A1:E1"/>
    <mergeCell ref="A36:B36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9" zoomScaleNormal="89" workbookViewId="0">
      <selection activeCell="A3" sqref="A3"/>
    </sheetView>
  </sheetViews>
  <sheetFormatPr defaultRowHeight="15" x14ac:dyDescent="0.25"/>
  <cols>
    <col min="1" max="1" width="11.7109375" customWidth="1"/>
    <col min="2" max="2" width="12.85546875" customWidth="1"/>
    <col min="3" max="3" width="12.7109375" customWidth="1"/>
    <col min="4" max="4" width="10.5703125" customWidth="1"/>
    <col min="5" max="5" width="12.7109375" customWidth="1"/>
    <col min="6" max="6" width="12.85546875" customWidth="1"/>
  </cols>
  <sheetData>
    <row r="1" spans="1:7" ht="43.5" customHeight="1" x14ac:dyDescent="0.25">
      <c r="A1" s="1042" t="s">
        <v>405</v>
      </c>
      <c r="B1" s="1042"/>
      <c r="C1" s="1042"/>
      <c r="D1" s="1042"/>
      <c r="E1" s="1042"/>
      <c r="F1" s="1042"/>
      <c r="G1" s="254"/>
    </row>
    <row r="2" spans="1:7" x14ac:dyDescent="0.25">
      <c r="A2" s="40"/>
      <c r="B2" s="40"/>
      <c r="C2" s="40"/>
      <c r="D2" s="40"/>
      <c r="E2" s="40"/>
      <c r="F2" s="40"/>
      <c r="G2" s="254"/>
    </row>
    <row r="3" spans="1:7" ht="15.75" thickBot="1" x14ac:dyDescent="0.3">
      <c r="A3" s="41"/>
      <c r="B3" s="41"/>
      <c r="C3" s="41"/>
      <c r="D3" s="41"/>
      <c r="E3" s="41"/>
      <c r="F3" s="41"/>
      <c r="G3" s="254"/>
    </row>
    <row r="4" spans="1:7" x14ac:dyDescent="0.25">
      <c r="A4" s="42" t="s">
        <v>118</v>
      </c>
      <c r="B4" s="43" t="s">
        <v>119</v>
      </c>
      <c r="C4" s="44"/>
      <c r="D4" s="44"/>
      <c r="E4" s="45"/>
      <c r="F4" s="46" t="s">
        <v>120</v>
      </c>
      <c r="G4" s="264"/>
    </row>
    <row r="5" spans="1:7" ht="26.25" thickBot="1" x14ac:dyDescent="0.3">
      <c r="A5" s="47"/>
      <c r="B5" s="48" t="s">
        <v>121</v>
      </c>
      <c r="C5" s="48" t="s">
        <v>122</v>
      </c>
      <c r="D5" s="48" t="s">
        <v>123</v>
      </c>
      <c r="E5" s="48" t="s">
        <v>124</v>
      </c>
      <c r="F5" s="49" t="s">
        <v>110</v>
      </c>
      <c r="G5" s="270"/>
    </row>
    <row r="6" spans="1:7" ht="12.75" customHeight="1" x14ac:dyDescent="0.25">
      <c r="A6" s="50" t="s">
        <v>125</v>
      </c>
      <c r="B6" s="51">
        <f>'[1]ORIPočty jídel 1.11.10-31.10.11'!C17</f>
        <v>1015459</v>
      </c>
      <c r="C6" s="51">
        <f>'[1]ORIPočty jídel 1.11.10-31.10.11'!D17</f>
        <v>237755</v>
      </c>
      <c r="D6" s="51">
        <f>C6*0.4</f>
        <v>95102</v>
      </c>
      <c r="E6" s="51">
        <f>B6+D6</f>
        <v>1110561</v>
      </c>
      <c r="F6" s="52">
        <f>ROUND(E6*$G$35/$E$32,0)</f>
        <v>19929</v>
      </c>
      <c r="G6" s="270"/>
    </row>
    <row r="7" spans="1:7" ht="12.75" customHeight="1" x14ac:dyDescent="0.25">
      <c r="A7" s="53" t="s">
        <v>81</v>
      </c>
      <c r="B7" s="51">
        <f>'[1]ORIPočty jídel 1.11.10-31.10.11'!C18</f>
        <v>421766</v>
      </c>
      <c r="C7" s="51">
        <f>'[1]ORIPočty jídel 1.11.10-31.10.11'!D18</f>
        <v>30359</v>
      </c>
      <c r="D7" s="51">
        <f t="shared" ref="D7:D32" si="0">C7*0.4</f>
        <v>12143.6</v>
      </c>
      <c r="E7" s="51">
        <f t="shared" ref="E7:E31" si="1">B7+D7</f>
        <v>433909.6</v>
      </c>
      <c r="F7" s="52">
        <f t="shared" ref="F7:F31" si="2">ROUND(E7*$G$35/$E$32,0)</f>
        <v>7787</v>
      </c>
      <c r="G7" s="270"/>
    </row>
    <row r="8" spans="1:7" ht="12.75" customHeight="1" x14ac:dyDescent="0.25">
      <c r="A8" s="53" t="s">
        <v>126</v>
      </c>
      <c r="B8" s="51">
        <f>'[1]ORIPočty jídel 1.11.10-31.10.11'!C19</f>
        <v>31807</v>
      </c>
      <c r="C8" s="51">
        <f>'[1]ORIPočty jídel 1.11.10-31.10.11'!D19</f>
        <v>1234</v>
      </c>
      <c r="D8" s="51">
        <f t="shared" si="0"/>
        <v>493.6</v>
      </c>
      <c r="E8" s="51">
        <f t="shared" si="1"/>
        <v>32300.6</v>
      </c>
      <c r="F8" s="52">
        <f t="shared" si="2"/>
        <v>580</v>
      </c>
      <c r="G8" s="270"/>
    </row>
    <row r="9" spans="1:7" ht="12.75" customHeight="1" x14ac:dyDescent="0.25">
      <c r="A9" s="53" t="s">
        <v>83</v>
      </c>
      <c r="B9" s="51">
        <f>'[1]ORIPočty jídel 1.11.10-31.10.11'!C20</f>
        <v>1506452</v>
      </c>
      <c r="C9" s="51">
        <f>'[1]ORIPočty jídel 1.11.10-31.10.11'!D20</f>
        <v>75372</v>
      </c>
      <c r="D9" s="51">
        <f t="shared" si="0"/>
        <v>30148.800000000003</v>
      </c>
      <c r="E9" s="51">
        <f t="shared" si="1"/>
        <v>1536600.8</v>
      </c>
      <c r="F9" s="52">
        <f t="shared" si="2"/>
        <v>27575</v>
      </c>
      <c r="G9" s="270"/>
    </row>
    <row r="10" spans="1:7" ht="12.75" customHeight="1" x14ac:dyDescent="0.25">
      <c r="A10" s="53" t="s">
        <v>127</v>
      </c>
      <c r="B10" s="51">
        <f>'[1]ORIPočty jídel 1.11.10-31.10.11'!C21</f>
        <v>481280</v>
      </c>
      <c r="C10" s="51">
        <f>'[1]ORIPočty jídel 1.11.10-31.10.11'!D21</f>
        <v>59451</v>
      </c>
      <c r="D10" s="51">
        <f t="shared" si="0"/>
        <v>23780.400000000001</v>
      </c>
      <c r="E10" s="51">
        <f t="shared" si="1"/>
        <v>505060.4</v>
      </c>
      <c r="F10" s="52">
        <f t="shared" si="2"/>
        <v>9064</v>
      </c>
      <c r="G10" s="270"/>
    </row>
    <row r="11" spans="1:7" ht="12.75" customHeight="1" x14ac:dyDescent="0.25">
      <c r="A11" s="53" t="s">
        <v>128</v>
      </c>
      <c r="B11" s="51">
        <f>'[1]ORIPočty jídel 1.11.10-31.10.11'!C22</f>
        <v>0</v>
      </c>
      <c r="C11" s="51">
        <f>'[1]ORIPočty jídel 1.11.10-31.10.11'!D22</f>
        <v>0</v>
      </c>
      <c r="D11" s="51">
        <f t="shared" si="0"/>
        <v>0</v>
      </c>
      <c r="E11" s="51">
        <f t="shared" si="1"/>
        <v>0</v>
      </c>
      <c r="F11" s="52">
        <f t="shared" si="2"/>
        <v>0</v>
      </c>
      <c r="G11" s="270"/>
    </row>
    <row r="12" spans="1:7" ht="12.75" customHeight="1" x14ac:dyDescent="0.25">
      <c r="A12" s="53" t="s">
        <v>86</v>
      </c>
      <c r="B12" s="51">
        <f>'[1]ORIPočty jídel 1.11.10-31.10.11'!C23</f>
        <v>117217</v>
      </c>
      <c r="C12" s="51">
        <f>'[1]ORIPočty jídel 1.11.10-31.10.11'!D23</f>
        <v>12016</v>
      </c>
      <c r="D12" s="51">
        <f t="shared" si="0"/>
        <v>4806.4000000000005</v>
      </c>
      <c r="E12" s="51">
        <f t="shared" si="1"/>
        <v>122023.4</v>
      </c>
      <c r="F12" s="52">
        <f t="shared" si="2"/>
        <v>2190</v>
      </c>
      <c r="G12" s="270"/>
    </row>
    <row r="13" spans="1:7" ht="12.75" customHeight="1" x14ac:dyDescent="0.25">
      <c r="A13" s="53" t="s">
        <v>87</v>
      </c>
      <c r="B13" s="51">
        <f>'[1]ORIPočty jídel 1.11.10-31.10.11'!C24</f>
        <v>21353</v>
      </c>
      <c r="C13" s="51">
        <f>'[1]ORIPočty jídel 1.11.10-31.10.11'!D24</f>
        <v>0</v>
      </c>
      <c r="D13" s="51">
        <f t="shared" si="0"/>
        <v>0</v>
      </c>
      <c r="E13" s="51">
        <f t="shared" si="1"/>
        <v>21353</v>
      </c>
      <c r="F13" s="52">
        <f t="shared" si="2"/>
        <v>383</v>
      </c>
      <c r="G13" s="270"/>
    </row>
    <row r="14" spans="1:7" ht="12.75" customHeight="1" x14ac:dyDescent="0.25">
      <c r="A14" s="53" t="s">
        <v>88</v>
      </c>
      <c r="B14" s="51">
        <f>'[1]ORIPočty jídel 1.11.10-31.10.11'!C25</f>
        <v>326063</v>
      </c>
      <c r="C14" s="51">
        <f>'[1]ORIPočty jídel 1.11.10-31.10.11'!D25</f>
        <v>11163</v>
      </c>
      <c r="D14" s="51">
        <f t="shared" si="0"/>
        <v>4465.2</v>
      </c>
      <c r="E14" s="51">
        <f t="shared" si="1"/>
        <v>330528.2</v>
      </c>
      <c r="F14" s="52">
        <f t="shared" si="2"/>
        <v>5931</v>
      </c>
      <c r="G14" s="270"/>
    </row>
    <row r="15" spans="1:7" ht="12.75" customHeight="1" x14ac:dyDescent="0.25">
      <c r="A15" s="53" t="s">
        <v>89</v>
      </c>
      <c r="B15" s="51">
        <f>'[1]ORIPočty jídel 1.11.10-31.10.11'!C26</f>
        <v>1151115</v>
      </c>
      <c r="C15" s="51">
        <f>'[1]ORIPočty jídel 1.11.10-31.10.11'!D26</f>
        <v>198682</v>
      </c>
      <c r="D15" s="51">
        <f t="shared" si="0"/>
        <v>79472.800000000003</v>
      </c>
      <c r="E15" s="51">
        <f t="shared" si="1"/>
        <v>1230587.8</v>
      </c>
      <c r="F15" s="52">
        <f t="shared" si="2"/>
        <v>22083</v>
      </c>
      <c r="G15" s="270"/>
    </row>
    <row r="16" spans="1:7" ht="12.75" customHeight="1" x14ac:dyDescent="0.25">
      <c r="A16" s="53" t="s">
        <v>129</v>
      </c>
      <c r="B16" s="51">
        <f>'[1]ORIPočty jídel 1.11.10-31.10.11'!C27</f>
        <v>103106</v>
      </c>
      <c r="C16" s="51">
        <f>'[1]ORIPočty jídel 1.11.10-31.10.11'!D27</f>
        <v>26733</v>
      </c>
      <c r="D16" s="51">
        <f t="shared" si="0"/>
        <v>10693.2</v>
      </c>
      <c r="E16" s="51">
        <f t="shared" si="1"/>
        <v>113799.2</v>
      </c>
      <c r="F16" s="52">
        <f t="shared" si="2"/>
        <v>2042</v>
      </c>
      <c r="G16" s="270"/>
    </row>
    <row r="17" spans="1:7" ht="12.75" customHeight="1" x14ac:dyDescent="0.25">
      <c r="A17" s="53" t="s">
        <v>130</v>
      </c>
      <c r="B17" s="51">
        <f>'[1]ORIPočty jídel 1.11.10-31.10.11'!C28</f>
        <v>543772</v>
      </c>
      <c r="C17" s="51">
        <f>'[1]ORIPočty jídel 1.11.10-31.10.11'!D28</f>
        <v>99159</v>
      </c>
      <c r="D17" s="51">
        <f t="shared" si="0"/>
        <v>39663.600000000006</v>
      </c>
      <c r="E17" s="51">
        <f t="shared" si="1"/>
        <v>583435.6</v>
      </c>
      <c r="F17" s="52">
        <f t="shared" si="2"/>
        <v>10470</v>
      </c>
      <c r="G17" s="270"/>
    </row>
    <row r="18" spans="1:7" ht="12.75" customHeight="1" x14ac:dyDescent="0.25">
      <c r="A18" s="53" t="s">
        <v>92</v>
      </c>
      <c r="B18" s="51">
        <f>'[1]ORIPočty jídel 1.11.10-31.10.11'!C29</f>
        <v>234680</v>
      </c>
      <c r="C18" s="51">
        <f>'[1]ORIPočty jídel 1.11.10-31.10.11'!D29</f>
        <v>40230</v>
      </c>
      <c r="D18" s="51">
        <f t="shared" si="0"/>
        <v>16092</v>
      </c>
      <c r="E18" s="51">
        <f t="shared" si="1"/>
        <v>250772</v>
      </c>
      <c r="F18" s="52">
        <f t="shared" si="2"/>
        <v>4500</v>
      </c>
      <c r="G18" s="270"/>
    </row>
    <row r="19" spans="1:7" ht="12.75" customHeight="1" x14ac:dyDescent="0.25">
      <c r="A19" s="53" t="s">
        <v>131</v>
      </c>
      <c r="B19" s="51">
        <f>'[1]ORIPočty jídel 1.11.10-31.10.11'!C30</f>
        <v>255894</v>
      </c>
      <c r="C19" s="51">
        <f>'[1]ORIPočty jídel 1.11.10-31.10.11'!D30</f>
        <v>25850</v>
      </c>
      <c r="D19" s="51">
        <f t="shared" si="0"/>
        <v>10340</v>
      </c>
      <c r="E19" s="51">
        <f t="shared" si="1"/>
        <v>266234</v>
      </c>
      <c r="F19" s="52">
        <f t="shared" si="2"/>
        <v>4778</v>
      </c>
      <c r="G19" s="270"/>
    </row>
    <row r="20" spans="1:7" ht="12.75" customHeight="1" x14ac:dyDescent="0.25">
      <c r="A20" s="53" t="s">
        <v>132</v>
      </c>
      <c r="B20" s="51">
        <f>'[1]ORIPočty jídel 1.11.10-31.10.11'!C31</f>
        <v>1655626</v>
      </c>
      <c r="C20" s="51">
        <f>'[1]ORIPočty jídel 1.11.10-31.10.11'!D31</f>
        <v>134809</v>
      </c>
      <c r="D20" s="51">
        <f t="shared" si="0"/>
        <v>53923.600000000006</v>
      </c>
      <c r="E20" s="51">
        <f t="shared" si="1"/>
        <v>1709549.6</v>
      </c>
      <c r="F20" s="52">
        <f t="shared" si="2"/>
        <v>30679</v>
      </c>
      <c r="G20" s="270"/>
    </row>
    <row r="21" spans="1:7" ht="12.75" customHeight="1" x14ac:dyDescent="0.25">
      <c r="A21" s="53" t="s">
        <v>133</v>
      </c>
      <c r="B21" s="51">
        <f>'[1]ORIPočty jídel 1.11.10-31.10.11'!C32</f>
        <v>472351</v>
      </c>
      <c r="C21" s="51">
        <f>'[1]ORIPočty jídel 1.11.10-31.10.11'!D32</f>
        <v>107016</v>
      </c>
      <c r="D21" s="51">
        <f t="shared" si="0"/>
        <v>42806.400000000001</v>
      </c>
      <c r="E21" s="51">
        <f t="shared" si="1"/>
        <v>515157.4</v>
      </c>
      <c r="F21" s="52">
        <f t="shared" si="2"/>
        <v>9245</v>
      </c>
      <c r="G21" s="270"/>
    </row>
    <row r="22" spans="1:7" ht="12.75" customHeight="1" x14ac:dyDescent="0.25">
      <c r="A22" s="53" t="s">
        <v>134</v>
      </c>
      <c r="B22" s="51">
        <f>'[1]ORIPočty jídel 1.11.10-31.10.11'!C33</f>
        <v>205005</v>
      </c>
      <c r="C22" s="51">
        <f>'[1]ORIPočty jídel 1.11.10-31.10.11'!D33</f>
        <v>30770</v>
      </c>
      <c r="D22" s="51">
        <f t="shared" si="0"/>
        <v>12308</v>
      </c>
      <c r="E22" s="51">
        <f t="shared" si="1"/>
        <v>217313</v>
      </c>
      <c r="F22" s="52">
        <f t="shared" si="2"/>
        <v>3900</v>
      </c>
      <c r="G22" s="270"/>
    </row>
    <row r="23" spans="1:7" ht="12.75" customHeight="1" x14ac:dyDescent="0.25">
      <c r="A23" s="53" t="s">
        <v>97</v>
      </c>
      <c r="B23" s="51">
        <f>'[1]ORIPočty jídel 1.11.10-31.10.11'!C34</f>
        <v>363695</v>
      </c>
      <c r="C23" s="51">
        <f>'[1]ORIPočty jídel 1.11.10-31.10.11'!D34</f>
        <v>6447</v>
      </c>
      <c r="D23" s="51">
        <f t="shared" si="0"/>
        <v>2578.8000000000002</v>
      </c>
      <c r="E23" s="51">
        <f t="shared" si="1"/>
        <v>366273.8</v>
      </c>
      <c r="F23" s="52">
        <f t="shared" si="2"/>
        <v>6573</v>
      </c>
      <c r="G23" s="270"/>
    </row>
    <row r="24" spans="1:7" ht="12.75" customHeight="1" x14ac:dyDescent="0.25">
      <c r="A24" s="53" t="s">
        <v>135</v>
      </c>
      <c r="B24" s="51">
        <f>'[1]ORIPočty jídel 1.11.10-31.10.11'!C35</f>
        <v>292301</v>
      </c>
      <c r="C24" s="51">
        <f>'[1]ORIPočty jídel 1.11.10-31.10.11'!D35</f>
        <v>3482</v>
      </c>
      <c r="D24" s="51">
        <f t="shared" si="0"/>
        <v>1392.8000000000002</v>
      </c>
      <c r="E24" s="51">
        <f t="shared" si="1"/>
        <v>293693.8</v>
      </c>
      <c r="F24" s="52">
        <f t="shared" si="2"/>
        <v>5270</v>
      </c>
      <c r="G24" s="270"/>
    </row>
    <row r="25" spans="1:7" ht="12.75" customHeight="1" x14ac:dyDescent="0.25">
      <c r="A25" s="53" t="s">
        <v>99</v>
      </c>
      <c r="B25" s="51">
        <f>'[1]ORIPočty jídel 1.11.10-31.10.11'!C36</f>
        <v>346517</v>
      </c>
      <c r="C25" s="51">
        <f>'[1]ORIPočty jídel 1.11.10-31.10.11'!D36</f>
        <v>27769</v>
      </c>
      <c r="D25" s="51">
        <f t="shared" si="0"/>
        <v>11107.6</v>
      </c>
      <c r="E25" s="51">
        <f t="shared" si="1"/>
        <v>357624.6</v>
      </c>
      <c r="F25" s="52">
        <f t="shared" si="2"/>
        <v>6418</v>
      </c>
      <c r="G25" s="270"/>
    </row>
    <row r="26" spans="1:7" ht="12.75" customHeight="1" x14ac:dyDescent="0.25">
      <c r="A26" s="53" t="s">
        <v>136</v>
      </c>
      <c r="B26" s="51">
        <f>'[1]ORIPočty jídel 1.11.10-31.10.11'!C37</f>
        <v>0</v>
      </c>
      <c r="C26" s="51">
        <f>'[1]ORIPočty jídel 1.11.10-31.10.11'!D37</f>
        <v>0</v>
      </c>
      <c r="D26" s="51">
        <f t="shared" si="0"/>
        <v>0</v>
      </c>
      <c r="E26" s="51">
        <f t="shared" si="1"/>
        <v>0</v>
      </c>
      <c r="F26" s="52">
        <f t="shared" si="2"/>
        <v>0</v>
      </c>
      <c r="G26" s="270"/>
    </row>
    <row r="27" spans="1:7" ht="12.75" customHeight="1" x14ac:dyDescent="0.25">
      <c r="A27" s="53" t="s">
        <v>137</v>
      </c>
      <c r="B27" s="51">
        <f>'[1]ORIPočty jídel 1.11.10-31.10.11'!C38</f>
        <v>0</v>
      </c>
      <c r="C27" s="51">
        <f>'[1]ORIPočty jídel 1.11.10-31.10.11'!D38</f>
        <v>0</v>
      </c>
      <c r="D27" s="51">
        <f t="shared" si="0"/>
        <v>0</v>
      </c>
      <c r="E27" s="51">
        <f t="shared" si="1"/>
        <v>0</v>
      </c>
      <c r="F27" s="52">
        <f t="shared" si="2"/>
        <v>0</v>
      </c>
      <c r="G27" s="270"/>
    </row>
    <row r="28" spans="1:7" ht="12.75" customHeight="1" x14ac:dyDescent="0.25">
      <c r="A28" s="53" t="s">
        <v>138</v>
      </c>
      <c r="B28" s="51">
        <f>'[1]ORIPočty jídel 1.11.10-31.10.11'!C39</f>
        <v>0</v>
      </c>
      <c r="C28" s="51">
        <f>'[1]ORIPočty jídel 1.11.10-31.10.11'!D39</f>
        <v>0</v>
      </c>
      <c r="D28" s="51">
        <f t="shared" si="0"/>
        <v>0</v>
      </c>
      <c r="E28" s="51">
        <f t="shared" si="1"/>
        <v>0</v>
      </c>
      <c r="F28" s="52">
        <f t="shared" si="2"/>
        <v>0</v>
      </c>
      <c r="G28" s="270"/>
    </row>
    <row r="29" spans="1:7" ht="12.75" customHeight="1" x14ac:dyDescent="0.25">
      <c r="A29" s="53" t="s">
        <v>103</v>
      </c>
      <c r="B29" s="51">
        <f>'[1]ORIPočty jídel 1.11.10-31.10.11'!C40</f>
        <v>0</v>
      </c>
      <c r="C29" s="51">
        <f>'[1]ORIPočty jídel 1.11.10-31.10.11'!D40</f>
        <v>0</v>
      </c>
      <c r="D29" s="51">
        <f t="shared" si="0"/>
        <v>0</v>
      </c>
      <c r="E29" s="51">
        <f t="shared" si="1"/>
        <v>0</v>
      </c>
      <c r="F29" s="52">
        <f t="shared" si="2"/>
        <v>0</v>
      </c>
      <c r="G29" s="270"/>
    </row>
    <row r="30" spans="1:7" ht="12.75" customHeight="1" x14ac:dyDescent="0.25">
      <c r="A30" s="53" t="s">
        <v>139</v>
      </c>
      <c r="B30" s="51">
        <f>'[1]ORIPočty jídel 1.11.10-31.10.11'!C41</f>
        <v>49906</v>
      </c>
      <c r="C30" s="51">
        <f>'[1]ORIPočty jídel 1.11.10-31.10.11'!D41</f>
        <v>0</v>
      </c>
      <c r="D30" s="51">
        <f t="shared" si="0"/>
        <v>0</v>
      </c>
      <c r="E30" s="51">
        <f t="shared" si="1"/>
        <v>49906</v>
      </c>
      <c r="F30" s="52">
        <f t="shared" si="2"/>
        <v>896</v>
      </c>
      <c r="G30" s="264"/>
    </row>
    <row r="31" spans="1:7" ht="12.75" customHeight="1" thickBot="1" x14ac:dyDescent="0.3">
      <c r="A31" s="273" t="s">
        <v>105</v>
      </c>
      <c r="B31" s="274">
        <f>'[1]ORIPočty jídel 1.11.10-31.10.11'!C42</f>
        <v>12799</v>
      </c>
      <c r="C31" s="274">
        <f>'[1]ORIPočty jídel 1.11.10-31.10.11'!D42</f>
        <v>14776</v>
      </c>
      <c r="D31" s="274">
        <f t="shared" si="0"/>
        <v>5910.4000000000005</v>
      </c>
      <c r="E31" s="274">
        <f t="shared" si="1"/>
        <v>18709.400000000001</v>
      </c>
      <c r="F31" s="52">
        <f t="shared" si="2"/>
        <v>336</v>
      </c>
      <c r="G31" s="264"/>
    </row>
    <row r="32" spans="1:7" ht="15.75" thickBot="1" x14ac:dyDescent="0.3">
      <c r="A32" s="275" t="s">
        <v>71</v>
      </c>
      <c r="B32" s="276">
        <f>SUM(B6:B31)</f>
        <v>9608164</v>
      </c>
      <c r="C32" s="276">
        <f>SUM(C6:C31)</f>
        <v>1143073</v>
      </c>
      <c r="D32" s="276">
        <f t="shared" si="0"/>
        <v>457229.2</v>
      </c>
      <c r="E32" s="276">
        <f>SUM(E6:E31)</f>
        <v>10065393.200000001</v>
      </c>
      <c r="F32" s="277">
        <f>SUM(F6:F31)</f>
        <v>180629</v>
      </c>
      <c r="G32" s="264"/>
    </row>
    <row r="33" spans="1:7" ht="15.75" thickBot="1" x14ac:dyDescent="0.3">
      <c r="A33" s="41"/>
      <c r="B33" s="41"/>
      <c r="C33" s="41"/>
      <c r="D33" s="41"/>
      <c r="E33" s="41"/>
      <c r="G33" s="264"/>
    </row>
    <row r="34" spans="1:7" ht="15.75" thickBot="1" x14ac:dyDescent="0.3">
      <c r="A34" s="54" t="s">
        <v>140</v>
      </c>
      <c r="B34" s="55"/>
      <c r="C34" s="55"/>
      <c r="D34" s="55"/>
      <c r="E34" s="55"/>
      <c r="F34" s="581">
        <f>F35*1000/E32</f>
        <v>17.945548316979806</v>
      </c>
      <c r="G34" s="271"/>
    </row>
    <row r="35" spans="1:7" ht="15.75" thickBot="1" x14ac:dyDescent="0.3">
      <c r="A35" s="41" t="s">
        <v>141</v>
      </c>
      <c r="B35" s="56"/>
      <c r="C35" s="56"/>
      <c r="D35" s="56"/>
      <c r="E35" s="56"/>
      <c r="F35" s="272">
        <f>Tab.1_Bilance!L23</f>
        <v>180629</v>
      </c>
      <c r="G35" s="586">
        <v>180627.6</v>
      </c>
    </row>
    <row r="36" spans="1:7" ht="15.75" thickBot="1" x14ac:dyDescent="0.3">
      <c r="A36" s="54" t="s">
        <v>142</v>
      </c>
      <c r="B36" s="55"/>
      <c r="C36" s="55"/>
      <c r="D36" s="55"/>
      <c r="E36" s="55"/>
      <c r="F36" s="57">
        <f>F32</f>
        <v>180629</v>
      </c>
      <c r="G36" s="264"/>
    </row>
    <row r="37" spans="1:7" x14ac:dyDescent="0.25">
      <c r="A37" s="264"/>
      <c r="B37" s="264"/>
      <c r="C37" s="264"/>
      <c r="D37" s="264"/>
      <c r="E37" s="264"/>
      <c r="F37" s="264"/>
      <c r="G37" s="264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="89" zoomScaleNormal="89" workbookViewId="0">
      <selection activeCell="G42" sqref="G42"/>
    </sheetView>
  </sheetViews>
  <sheetFormatPr defaultRowHeight="15" x14ac:dyDescent="0.25"/>
  <cols>
    <col min="1" max="1" width="10" style="58" bestFit="1" customWidth="1"/>
    <col min="2" max="2" width="52.140625" style="58" customWidth="1"/>
    <col min="3" max="3" width="11.7109375" style="58" customWidth="1"/>
    <col min="4" max="4" width="12.7109375" style="58" customWidth="1"/>
    <col min="5" max="5" width="12" style="58" customWidth="1"/>
    <col min="6" max="16384" width="9.140625" style="58"/>
  </cols>
  <sheetData>
    <row r="1" spans="1:5" ht="19.5" x14ac:dyDescent="0.25">
      <c r="A1" s="296" t="s">
        <v>404</v>
      </c>
      <c r="B1" s="260"/>
      <c r="C1" s="260"/>
      <c r="D1" s="260"/>
      <c r="E1" s="260"/>
    </row>
    <row r="2" spans="1:5" ht="9" customHeight="1" x14ac:dyDescent="0.25">
      <c r="A2" s="260"/>
      <c r="B2" s="260"/>
      <c r="C2" s="260"/>
      <c r="D2" s="260"/>
      <c r="E2" s="260"/>
    </row>
    <row r="3" spans="1:5" x14ac:dyDescent="0.25">
      <c r="A3" s="260" t="s">
        <v>188</v>
      </c>
      <c r="B3" s="260"/>
      <c r="C3" s="260"/>
      <c r="D3" s="260"/>
      <c r="E3" s="260"/>
    </row>
    <row r="4" spans="1:5" ht="15.75" thickBot="1" x14ac:dyDescent="0.3">
      <c r="A4" s="260"/>
      <c r="B4" s="260"/>
      <c r="C4" s="260"/>
      <c r="D4" s="260"/>
      <c r="E4" s="260"/>
    </row>
    <row r="5" spans="1:5" ht="12.75" customHeight="1" x14ac:dyDescent="0.25">
      <c r="A5" s="255" t="s">
        <v>180</v>
      </c>
      <c r="B5" s="288"/>
      <c r="C5" s="288"/>
      <c r="D5" s="257">
        <f>C43</f>
        <v>155631</v>
      </c>
      <c r="E5" s="260"/>
    </row>
    <row r="6" spans="1:5" ht="12.75" customHeight="1" x14ac:dyDescent="0.25">
      <c r="A6" s="289" t="s">
        <v>181</v>
      </c>
      <c r="B6" s="290"/>
      <c r="C6" s="290"/>
      <c r="D6" s="305">
        <f>11728*0.91</f>
        <v>10672.48</v>
      </c>
      <c r="E6" s="260"/>
    </row>
    <row r="7" spans="1:5" ht="12.75" customHeight="1" thickBot="1" x14ac:dyDescent="0.3">
      <c r="A7" s="298" t="s">
        <v>182</v>
      </c>
      <c r="B7" s="299"/>
      <c r="C7" s="299"/>
      <c r="D7" s="300">
        <f>SUM(D5:D6)</f>
        <v>166303.48000000001</v>
      </c>
      <c r="E7" s="260"/>
    </row>
    <row r="8" spans="1:5" ht="12.75" customHeight="1" thickBot="1" x14ac:dyDescent="0.3">
      <c r="A8" s="303" t="s">
        <v>189</v>
      </c>
      <c r="B8" s="304"/>
      <c r="C8" s="304"/>
      <c r="D8" s="584">
        <f>(Tab.1_Bilance!L26+Tab.1_Bilance!L27)</f>
        <v>892592</v>
      </c>
      <c r="E8" s="582">
        <v>892591.7</v>
      </c>
    </row>
    <row r="9" spans="1:5" ht="12.75" customHeight="1" x14ac:dyDescent="0.25">
      <c r="A9" s="301" t="s">
        <v>192</v>
      </c>
      <c r="B9" s="302"/>
      <c r="C9" s="302"/>
      <c r="D9" s="583">
        <f>1000*E8/D7</f>
        <v>5367.2460732631689</v>
      </c>
      <c r="E9" s="306"/>
    </row>
    <row r="10" spans="1:5" ht="12.75" customHeight="1" x14ac:dyDescent="0.25">
      <c r="A10" s="289" t="s">
        <v>183</v>
      </c>
      <c r="B10" s="290"/>
      <c r="C10" s="290"/>
      <c r="D10" s="284">
        <f>D43</f>
        <v>835310</v>
      </c>
      <c r="E10" s="260"/>
    </row>
    <row r="11" spans="1:5" ht="12.75" customHeight="1" x14ac:dyDescent="0.25">
      <c r="A11" s="289" t="s">
        <v>184</v>
      </c>
      <c r="B11" s="290"/>
      <c r="C11" s="290"/>
      <c r="D11" s="284">
        <f>D6*D9/1000</f>
        <v>57281.826371979703</v>
      </c>
      <c r="E11" s="260"/>
    </row>
    <row r="12" spans="1:5" ht="15.75" thickBot="1" x14ac:dyDescent="0.3">
      <c r="A12" s="291" t="s">
        <v>71</v>
      </c>
      <c r="B12" s="292"/>
      <c r="C12" s="292"/>
      <c r="D12" s="585">
        <f>SUM(D10:D11)</f>
        <v>892591.82637197967</v>
      </c>
      <c r="E12" s="306"/>
    </row>
    <row r="13" spans="1:5" x14ac:dyDescent="0.25">
      <c r="A13" s="293"/>
      <c r="B13" s="293"/>
      <c r="C13" s="293"/>
      <c r="D13" s="294"/>
      <c r="E13" s="260"/>
    </row>
    <row r="14" spans="1:5" ht="15.75" x14ac:dyDescent="0.25">
      <c r="A14" s="297" t="s">
        <v>57</v>
      </c>
      <c r="B14" s="293"/>
      <c r="C14" s="293"/>
      <c r="D14" s="295"/>
      <c r="E14" s="260"/>
    </row>
    <row r="15" spans="1:5" ht="9" customHeight="1" thickBot="1" x14ac:dyDescent="0.3">
      <c r="A15" s="260"/>
      <c r="B15" s="260"/>
      <c r="C15" s="260"/>
      <c r="D15" s="260"/>
      <c r="E15" s="260"/>
    </row>
    <row r="16" spans="1:5" ht="26.25" thickBot="1" x14ac:dyDescent="0.3">
      <c r="A16" s="324" t="s">
        <v>185</v>
      </c>
      <c r="B16" s="265" t="s">
        <v>176</v>
      </c>
      <c r="C16" s="265" t="s">
        <v>186</v>
      </c>
      <c r="D16" s="266" t="s">
        <v>187</v>
      </c>
      <c r="E16" s="260"/>
    </row>
    <row r="17" spans="1:5" ht="12.75" customHeight="1" x14ac:dyDescent="0.25">
      <c r="A17" s="325">
        <v>11000</v>
      </c>
      <c r="B17" s="326" t="s">
        <v>144</v>
      </c>
      <c r="C17" s="327">
        <v>19305</v>
      </c>
      <c r="D17" s="257">
        <f t="shared" ref="D17:D42" si="0">ROUND(C17/1000*$D$9,0)</f>
        <v>103615</v>
      </c>
      <c r="E17" s="260"/>
    </row>
    <row r="18" spans="1:5" ht="12.75" customHeight="1" x14ac:dyDescent="0.25">
      <c r="A18" s="328">
        <v>12000</v>
      </c>
      <c r="B18" s="308" t="s">
        <v>145</v>
      </c>
      <c r="C18" s="309">
        <v>5337</v>
      </c>
      <c r="D18" s="284">
        <f t="shared" si="0"/>
        <v>28645</v>
      </c>
      <c r="E18" s="260"/>
    </row>
    <row r="19" spans="1:5" ht="12.75" customHeight="1" x14ac:dyDescent="0.25">
      <c r="A19" s="328">
        <v>13000</v>
      </c>
      <c r="B19" s="308" t="s">
        <v>146</v>
      </c>
      <c r="C19" s="309">
        <v>4526</v>
      </c>
      <c r="D19" s="284">
        <f t="shared" si="0"/>
        <v>24292</v>
      </c>
      <c r="E19" s="260"/>
    </row>
    <row r="20" spans="1:5" ht="12.75" customHeight="1" x14ac:dyDescent="0.25">
      <c r="A20" s="328">
        <v>14000</v>
      </c>
      <c r="B20" s="308" t="s">
        <v>147</v>
      </c>
      <c r="C20" s="309">
        <v>18919</v>
      </c>
      <c r="D20" s="284">
        <f t="shared" si="0"/>
        <v>101543</v>
      </c>
      <c r="E20" s="260"/>
    </row>
    <row r="21" spans="1:5" ht="12.75" customHeight="1" x14ac:dyDescent="0.25">
      <c r="A21" s="328">
        <v>15000</v>
      </c>
      <c r="B21" s="308" t="s">
        <v>148</v>
      </c>
      <c r="C21" s="309">
        <v>10108</v>
      </c>
      <c r="D21" s="284">
        <f t="shared" si="0"/>
        <v>54252</v>
      </c>
      <c r="E21" s="260"/>
    </row>
    <row r="22" spans="1:5" ht="12.75" customHeight="1" x14ac:dyDescent="0.25">
      <c r="A22" s="328">
        <v>16000</v>
      </c>
      <c r="B22" s="308" t="s">
        <v>149</v>
      </c>
      <c r="C22" s="309">
        <v>1913</v>
      </c>
      <c r="D22" s="284">
        <f t="shared" si="0"/>
        <v>10268</v>
      </c>
      <c r="E22" s="260"/>
    </row>
    <row r="23" spans="1:5" ht="12.75" customHeight="1" x14ac:dyDescent="0.25">
      <c r="A23" s="328">
        <v>17000</v>
      </c>
      <c r="B23" s="308" t="s">
        <v>150</v>
      </c>
      <c r="C23" s="309">
        <v>4136</v>
      </c>
      <c r="D23" s="284">
        <f t="shared" si="0"/>
        <v>22199</v>
      </c>
      <c r="E23" s="260"/>
    </row>
    <row r="24" spans="1:5" ht="12.75" customHeight="1" x14ac:dyDescent="0.25">
      <c r="A24" s="328">
        <v>18000</v>
      </c>
      <c r="B24" s="308" t="s">
        <v>151</v>
      </c>
      <c r="C24" s="309">
        <v>3550</v>
      </c>
      <c r="D24" s="284">
        <f t="shared" si="0"/>
        <v>19054</v>
      </c>
      <c r="E24" s="260"/>
    </row>
    <row r="25" spans="1:5" ht="12.75" customHeight="1" x14ac:dyDescent="0.25">
      <c r="A25" s="328">
        <v>19000</v>
      </c>
      <c r="B25" s="308" t="s">
        <v>152</v>
      </c>
      <c r="C25" s="309">
        <v>2745</v>
      </c>
      <c r="D25" s="284">
        <f t="shared" si="0"/>
        <v>14733</v>
      </c>
      <c r="E25" s="260"/>
    </row>
    <row r="26" spans="1:5" ht="12.75" customHeight="1" x14ac:dyDescent="0.25">
      <c r="A26" s="328">
        <v>21000</v>
      </c>
      <c r="B26" s="308" t="s">
        <v>153</v>
      </c>
      <c r="C26" s="309">
        <v>12270</v>
      </c>
      <c r="D26" s="284">
        <f t="shared" si="0"/>
        <v>65856</v>
      </c>
      <c r="E26" s="260"/>
    </row>
    <row r="27" spans="1:5" ht="12.75" customHeight="1" x14ac:dyDescent="0.25">
      <c r="A27" s="328">
        <v>22000</v>
      </c>
      <c r="B27" s="308" t="s">
        <v>154</v>
      </c>
      <c r="C27" s="309">
        <v>1962</v>
      </c>
      <c r="D27" s="284">
        <f t="shared" si="0"/>
        <v>10531</v>
      </c>
      <c r="E27" s="260"/>
    </row>
    <row r="28" spans="1:5" ht="12.75" customHeight="1" x14ac:dyDescent="0.25">
      <c r="A28" s="328">
        <v>23000</v>
      </c>
      <c r="B28" s="308" t="s">
        <v>155</v>
      </c>
      <c r="C28" s="309">
        <v>7893</v>
      </c>
      <c r="D28" s="284">
        <f t="shared" si="0"/>
        <v>42364</v>
      </c>
      <c r="E28" s="260"/>
    </row>
    <row r="29" spans="1:5" ht="12.75" customHeight="1" x14ac:dyDescent="0.25">
      <c r="A29" s="328">
        <v>24000</v>
      </c>
      <c r="B29" s="308" t="s">
        <v>156</v>
      </c>
      <c r="C29" s="309">
        <v>3617</v>
      </c>
      <c r="D29" s="284">
        <f t="shared" si="0"/>
        <v>19413</v>
      </c>
      <c r="E29" s="260"/>
    </row>
    <row r="30" spans="1:5" ht="12.75" customHeight="1" x14ac:dyDescent="0.25">
      <c r="A30" s="328">
        <v>25000</v>
      </c>
      <c r="B30" s="308" t="s">
        <v>157</v>
      </c>
      <c r="C30" s="309">
        <v>5386</v>
      </c>
      <c r="D30" s="284">
        <f t="shared" si="0"/>
        <v>28908</v>
      </c>
      <c r="E30" s="260"/>
    </row>
    <row r="31" spans="1:5" ht="12.75" customHeight="1" x14ac:dyDescent="0.25">
      <c r="A31" s="328">
        <v>26000</v>
      </c>
      <c r="B31" s="308" t="s">
        <v>158</v>
      </c>
      <c r="C31" s="309">
        <v>14306</v>
      </c>
      <c r="D31" s="284">
        <f t="shared" si="0"/>
        <v>76784</v>
      </c>
      <c r="E31" s="260"/>
    </row>
    <row r="32" spans="1:5" ht="12.75" customHeight="1" x14ac:dyDescent="0.25">
      <c r="A32" s="328">
        <v>27000</v>
      </c>
      <c r="B32" s="308" t="s">
        <v>159</v>
      </c>
      <c r="C32" s="309">
        <v>9055</v>
      </c>
      <c r="D32" s="284">
        <f t="shared" si="0"/>
        <v>48600</v>
      </c>
      <c r="E32" s="260"/>
    </row>
    <row r="33" spans="1:5" ht="12.75" customHeight="1" x14ac:dyDescent="0.25">
      <c r="A33" s="328">
        <v>28000</v>
      </c>
      <c r="B33" s="308" t="s">
        <v>160</v>
      </c>
      <c r="C33" s="309">
        <v>4191</v>
      </c>
      <c r="D33" s="284">
        <f t="shared" si="0"/>
        <v>22494</v>
      </c>
      <c r="E33" s="260"/>
    </row>
    <row r="34" spans="1:5" ht="12.75" customHeight="1" x14ac:dyDescent="0.25">
      <c r="A34" s="328">
        <v>31000</v>
      </c>
      <c r="B34" s="308" t="s">
        <v>161</v>
      </c>
      <c r="C34" s="309">
        <v>9636</v>
      </c>
      <c r="D34" s="284">
        <f t="shared" si="0"/>
        <v>51719</v>
      </c>
      <c r="E34" s="260"/>
    </row>
    <row r="35" spans="1:5" ht="12.75" customHeight="1" x14ac:dyDescent="0.25">
      <c r="A35" s="328">
        <v>41000</v>
      </c>
      <c r="B35" s="308" t="s">
        <v>162</v>
      </c>
      <c r="C35" s="309">
        <v>7200</v>
      </c>
      <c r="D35" s="284">
        <f t="shared" si="0"/>
        <v>38644</v>
      </c>
      <c r="E35" s="260"/>
    </row>
    <row r="36" spans="1:5" ht="12.75" customHeight="1" x14ac:dyDescent="0.25">
      <c r="A36" s="328">
        <v>43000</v>
      </c>
      <c r="B36" s="308" t="s">
        <v>163</v>
      </c>
      <c r="C36" s="309">
        <v>5864</v>
      </c>
      <c r="D36" s="284">
        <f t="shared" si="0"/>
        <v>31474</v>
      </c>
      <c r="E36" s="260"/>
    </row>
    <row r="37" spans="1:5" ht="12.75" customHeight="1" x14ac:dyDescent="0.25">
      <c r="A37" s="328">
        <v>51000</v>
      </c>
      <c r="B37" s="308" t="s">
        <v>164</v>
      </c>
      <c r="C37" s="309">
        <v>543</v>
      </c>
      <c r="D37" s="284">
        <f t="shared" si="0"/>
        <v>2914</v>
      </c>
      <c r="E37" s="260"/>
    </row>
    <row r="38" spans="1:5" ht="12.75" customHeight="1" x14ac:dyDescent="0.25">
      <c r="A38" s="328">
        <v>52000</v>
      </c>
      <c r="B38" s="308" t="s">
        <v>165</v>
      </c>
      <c r="C38" s="309">
        <v>162</v>
      </c>
      <c r="D38" s="284">
        <f t="shared" si="0"/>
        <v>869</v>
      </c>
      <c r="E38" s="260"/>
    </row>
    <row r="39" spans="1:5" ht="12.75" customHeight="1" x14ac:dyDescent="0.25">
      <c r="A39" s="328">
        <v>53000</v>
      </c>
      <c r="B39" s="308" t="s">
        <v>166</v>
      </c>
      <c r="C39" s="309">
        <v>215</v>
      </c>
      <c r="D39" s="284">
        <f t="shared" si="0"/>
        <v>1154</v>
      </c>
      <c r="E39" s="260"/>
    </row>
    <row r="40" spans="1:5" ht="12.75" customHeight="1" x14ac:dyDescent="0.25">
      <c r="A40" s="328">
        <v>54000</v>
      </c>
      <c r="B40" s="308" t="s">
        <v>167</v>
      </c>
      <c r="C40" s="309">
        <v>414</v>
      </c>
      <c r="D40" s="284">
        <f t="shared" si="0"/>
        <v>2222</v>
      </c>
      <c r="E40" s="260"/>
    </row>
    <row r="41" spans="1:5" ht="12.75" customHeight="1" x14ac:dyDescent="0.25">
      <c r="A41" s="328">
        <v>55000</v>
      </c>
      <c r="B41" s="308" t="s">
        <v>168</v>
      </c>
      <c r="C41" s="309">
        <v>1433</v>
      </c>
      <c r="D41" s="284">
        <f t="shared" si="0"/>
        <v>7691</v>
      </c>
      <c r="E41" s="260"/>
    </row>
    <row r="42" spans="1:5" ht="12.75" customHeight="1" thickBot="1" x14ac:dyDescent="0.3">
      <c r="A42" s="329">
        <v>56000</v>
      </c>
      <c r="B42" s="330" t="s">
        <v>169</v>
      </c>
      <c r="C42" s="331">
        <v>945</v>
      </c>
      <c r="D42" s="332">
        <f t="shared" si="0"/>
        <v>5072</v>
      </c>
      <c r="E42" s="260"/>
    </row>
    <row r="43" spans="1:5" ht="15.75" thickBot="1" x14ac:dyDescent="0.3">
      <c r="A43" s="61" t="s">
        <v>71</v>
      </c>
      <c r="B43" s="62"/>
      <c r="C43" s="63">
        <f>SUM(C17:C42)</f>
        <v>155631</v>
      </c>
      <c r="D43" s="64">
        <f>SUM(D17:D42)</f>
        <v>835310</v>
      </c>
      <c r="E43" s="260"/>
    </row>
    <row r="44" spans="1:5" x14ac:dyDescent="0.25">
      <c r="A44" s="260"/>
      <c r="B44" s="260"/>
      <c r="C44" s="261"/>
      <c r="D44" s="261"/>
      <c r="E44" s="260"/>
    </row>
    <row r="45" spans="1:5" ht="15.75" x14ac:dyDescent="0.25">
      <c r="A45" s="297" t="s">
        <v>402</v>
      </c>
    </row>
    <row r="46" spans="1:5" ht="90" customHeight="1" x14ac:dyDescent="0.25">
      <c r="A46" s="1043" t="s">
        <v>403</v>
      </c>
      <c r="B46" s="1043"/>
      <c r="C46" s="1043"/>
      <c r="D46" s="1043"/>
    </row>
  </sheetData>
  <mergeCells count="1">
    <mergeCell ref="A46:D4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sqref="A1:E1"/>
    </sheetView>
  </sheetViews>
  <sheetFormatPr defaultRowHeight="15" x14ac:dyDescent="0.25"/>
  <cols>
    <col min="1" max="1" width="7.42578125" customWidth="1"/>
    <col min="2" max="2" width="44.42578125" style="588" customWidth="1"/>
    <col min="3" max="3" width="10.140625" customWidth="1"/>
    <col min="4" max="4" width="10.42578125" customWidth="1"/>
    <col min="5" max="5" width="10.140625" customWidth="1"/>
    <col min="6" max="6" width="10.5703125" customWidth="1"/>
    <col min="257" max="257" width="5.5703125" customWidth="1"/>
    <col min="258" max="258" width="8.5703125" customWidth="1"/>
    <col min="259" max="259" width="41.5703125" customWidth="1"/>
    <col min="260" max="260" width="10.28515625" customWidth="1"/>
    <col min="261" max="261" width="10.140625" customWidth="1"/>
    <col min="262" max="262" width="10.5703125" customWidth="1"/>
    <col min="513" max="513" width="5.5703125" customWidth="1"/>
    <col min="514" max="514" width="8.5703125" customWidth="1"/>
    <col min="515" max="515" width="41.5703125" customWidth="1"/>
    <col min="516" max="516" width="10.28515625" customWidth="1"/>
    <col min="517" max="517" width="10.140625" customWidth="1"/>
    <col min="518" max="518" width="10.5703125" customWidth="1"/>
    <col min="769" max="769" width="5.5703125" customWidth="1"/>
    <col min="770" max="770" width="8.5703125" customWidth="1"/>
    <col min="771" max="771" width="41.5703125" customWidth="1"/>
    <col min="772" max="772" width="10.28515625" customWidth="1"/>
    <col min="773" max="773" width="10.140625" customWidth="1"/>
    <col min="774" max="774" width="10.5703125" customWidth="1"/>
    <col min="1025" max="1025" width="5.5703125" customWidth="1"/>
    <col min="1026" max="1026" width="8.5703125" customWidth="1"/>
    <col min="1027" max="1027" width="41.5703125" customWidth="1"/>
    <col min="1028" max="1028" width="10.28515625" customWidth="1"/>
    <col min="1029" max="1029" width="10.140625" customWidth="1"/>
    <col min="1030" max="1030" width="10.5703125" customWidth="1"/>
    <col min="1281" max="1281" width="5.5703125" customWidth="1"/>
    <col min="1282" max="1282" width="8.5703125" customWidth="1"/>
    <col min="1283" max="1283" width="41.5703125" customWidth="1"/>
    <col min="1284" max="1284" width="10.28515625" customWidth="1"/>
    <col min="1285" max="1285" width="10.140625" customWidth="1"/>
    <col min="1286" max="1286" width="10.5703125" customWidth="1"/>
    <col min="1537" max="1537" width="5.5703125" customWidth="1"/>
    <col min="1538" max="1538" width="8.5703125" customWidth="1"/>
    <col min="1539" max="1539" width="41.5703125" customWidth="1"/>
    <col min="1540" max="1540" width="10.28515625" customWidth="1"/>
    <col min="1541" max="1541" width="10.140625" customWidth="1"/>
    <col min="1542" max="1542" width="10.5703125" customWidth="1"/>
    <col min="1793" max="1793" width="5.5703125" customWidth="1"/>
    <col min="1794" max="1794" width="8.5703125" customWidth="1"/>
    <col min="1795" max="1795" width="41.5703125" customWidth="1"/>
    <col min="1796" max="1796" width="10.28515625" customWidth="1"/>
    <col min="1797" max="1797" width="10.140625" customWidth="1"/>
    <col min="1798" max="1798" width="10.5703125" customWidth="1"/>
    <col min="2049" max="2049" width="5.5703125" customWidth="1"/>
    <col min="2050" max="2050" width="8.5703125" customWidth="1"/>
    <col min="2051" max="2051" width="41.5703125" customWidth="1"/>
    <col min="2052" max="2052" width="10.28515625" customWidth="1"/>
    <col min="2053" max="2053" width="10.140625" customWidth="1"/>
    <col min="2054" max="2054" width="10.5703125" customWidth="1"/>
    <col min="2305" max="2305" width="5.5703125" customWidth="1"/>
    <col min="2306" max="2306" width="8.5703125" customWidth="1"/>
    <col min="2307" max="2307" width="41.5703125" customWidth="1"/>
    <col min="2308" max="2308" width="10.28515625" customWidth="1"/>
    <col min="2309" max="2309" width="10.140625" customWidth="1"/>
    <col min="2310" max="2310" width="10.5703125" customWidth="1"/>
    <col min="2561" max="2561" width="5.5703125" customWidth="1"/>
    <col min="2562" max="2562" width="8.5703125" customWidth="1"/>
    <col min="2563" max="2563" width="41.5703125" customWidth="1"/>
    <col min="2564" max="2564" width="10.28515625" customWidth="1"/>
    <col min="2565" max="2565" width="10.140625" customWidth="1"/>
    <col min="2566" max="2566" width="10.5703125" customWidth="1"/>
    <col min="2817" max="2817" width="5.5703125" customWidth="1"/>
    <col min="2818" max="2818" width="8.5703125" customWidth="1"/>
    <col min="2819" max="2819" width="41.5703125" customWidth="1"/>
    <col min="2820" max="2820" width="10.28515625" customWidth="1"/>
    <col min="2821" max="2821" width="10.140625" customWidth="1"/>
    <col min="2822" max="2822" width="10.5703125" customWidth="1"/>
    <col min="3073" max="3073" width="5.5703125" customWidth="1"/>
    <col min="3074" max="3074" width="8.5703125" customWidth="1"/>
    <col min="3075" max="3075" width="41.5703125" customWidth="1"/>
    <col min="3076" max="3076" width="10.28515625" customWidth="1"/>
    <col min="3077" max="3077" width="10.140625" customWidth="1"/>
    <col min="3078" max="3078" width="10.5703125" customWidth="1"/>
    <col min="3329" max="3329" width="5.5703125" customWidth="1"/>
    <col min="3330" max="3330" width="8.5703125" customWidth="1"/>
    <col min="3331" max="3331" width="41.5703125" customWidth="1"/>
    <col min="3332" max="3332" width="10.28515625" customWidth="1"/>
    <col min="3333" max="3333" width="10.140625" customWidth="1"/>
    <col min="3334" max="3334" width="10.5703125" customWidth="1"/>
    <col min="3585" max="3585" width="5.5703125" customWidth="1"/>
    <col min="3586" max="3586" width="8.5703125" customWidth="1"/>
    <col min="3587" max="3587" width="41.5703125" customWidth="1"/>
    <col min="3588" max="3588" width="10.28515625" customWidth="1"/>
    <col min="3589" max="3589" width="10.140625" customWidth="1"/>
    <col min="3590" max="3590" width="10.5703125" customWidth="1"/>
    <col min="3841" max="3841" width="5.5703125" customWidth="1"/>
    <col min="3842" max="3842" width="8.5703125" customWidth="1"/>
    <col min="3843" max="3843" width="41.5703125" customWidth="1"/>
    <col min="3844" max="3844" width="10.28515625" customWidth="1"/>
    <col min="3845" max="3845" width="10.140625" customWidth="1"/>
    <col min="3846" max="3846" width="10.5703125" customWidth="1"/>
    <col min="4097" max="4097" width="5.5703125" customWidth="1"/>
    <col min="4098" max="4098" width="8.5703125" customWidth="1"/>
    <col min="4099" max="4099" width="41.5703125" customWidth="1"/>
    <col min="4100" max="4100" width="10.28515625" customWidth="1"/>
    <col min="4101" max="4101" width="10.140625" customWidth="1"/>
    <col min="4102" max="4102" width="10.5703125" customWidth="1"/>
    <col min="4353" max="4353" width="5.5703125" customWidth="1"/>
    <col min="4354" max="4354" width="8.5703125" customWidth="1"/>
    <col min="4355" max="4355" width="41.5703125" customWidth="1"/>
    <col min="4356" max="4356" width="10.28515625" customWidth="1"/>
    <col min="4357" max="4357" width="10.140625" customWidth="1"/>
    <col min="4358" max="4358" width="10.5703125" customWidth="1"/>
    <col min="4609" max="4609" width="5.5703125" customWidth="1"/>
    <col min="4610" max="4610" width="8.5703125" customWidth="1"/>
    <col min="4611" max="4611" width="41.5703125" customWidth="1"/>
    <col min="4612" max="4612" width="10.28515625" customWidth="1"/>
    <col min="4613" max="4613" width="10.140625" customWidth="1"/>
    <col min="4614" max="4614" width="10.5703125" customWidth="1"/>
    <col min="4865" max="4865" width="5.5703125" customWidth="1"/>
    <col min="4866" max="4866" width="8.5703125" customWidth="1"/>
    <col min="4867" max="4867" width="41.5703125" customWidth="1"/>
    <col min="4868" max="4868" width="10.28515625" customWidth="1"/>
    <col min="4869" max="4869" width="10.140625" customWidth="1"/>
    <col min="4870" max="4870" width="10.5703125" customWidth="1"/>
    <col min="5121" max="5121" width="5.5703125" customWidth="1"/>
    <col min="5122" max="5122" width="8.5703125" customWidth="1"/>
    <col min="5123" max="5123" width="41.5703125" customWidth="1"/>
    <col min="5124" max="5124" width="10.28515625" customWidth="1"/>
    <col min="5125" max="5125" width="10.140625" customWidth="1"/>
    <col min="5126" max="5126" width="10.5703125" customWidth="1"/>
    <col min="5377" max="5377" width="5.5703125" customWidth="1"/>
    <col min="5378" max="5378" width="8.5703125" customWidth="1"/>
    <col min="5379" max="5379" width="41.5703125" customWidth="1"/>
    <col min="5380" max="5380" width="10.28515625" customWidth="1"/>
    <col min="5381" max="5381" width="10.140625" customWidth="1"/>
    <col min="5382" max="5382" width="10.5703125" customWidth="1"/>
    <col min="5633" max="5633" width="5.5703125" customWidth="1"/>
    <col min="5634" max="5634" width="8.5703125" customWidth="1"/>
    <col min="5635" max="5635" width="41.5703125" customWidth="1"/>
    <col min="5636" max="5636" width="10.28515625" customWidth="1"/>
    <col min="5637" max="5637" width="10.140625" customWidth="1"/>
    <col min="5638" max="5638" width="10.5703125" customWidth="1"/>
    <col min="5889" max="5889" width="5.5703125" customWidth="1"/>
    <col min="5890" max="5890" width="8.5703125" customWidth="1"/>
    <col min="5891" max="5891" width="41.5703125" customWidth="1"/>
    <col min="5892" max="5892" width="10.28515625" customWidth="1"/>
    <col min="5893" max="5893" width="10.140625" customWidth="1"/>
    <col min="5894" max="5894" width="10.5703125" customWidth="1"/>
    <col min="6145" max="6145" width="5.5703125" customWidth="1"/>
    <col min="6146" max="6146" width="8.5703125" customWidth="1"/>
    <col min="6147" max="6147" width="41.5703125" customWidth="1"/>
    <col min="6148" max="6148" width="10.28515625" customWidth="1"/>
    <col min="6149" max="6149" width="10.140625" customWidth="1"/>
    <col min="6150" max="6150" width="10.5703125" customWidth="1"/>
    <col min="6401" max="6401" width="5.5703125" customWidth="1"/>
    <col min="6402" max="6402" width="8.5703125" customWidth="1"/>
    <col min="6403" max="6403" width="41.5703125" customWidth="1"/>
    <col min="6404" max="6404" width="10.28515625" customWidth="1"/>
    <col min="6405" max="6405" width="10.140625" customWidth="1"/>
    <col min="6406" max="6406" width="10.5703125" customWidth="1"/>
    <col min="6657" max="6657" width="5.5703125" customWidth="1"/>
    <col min="6658" max="6658" width="8.5703125" customWidth="1"/>
    <col min="6659" max="6659" width="41.5703125" customWidth="1"/>
    <col min="6660" max="6660" width="10.28515625" customWidth="1"/>
    <col min="6661" max="6661" width="10.140625" customWidth="1"/>
    <col min="6662" max="6662" width="10.5703125" customWidth="1"/>
    <col min="6913" max="6913" width="5.5703125" customWidth="1"/>
    <col min="6914" max="6914" width="8.5703125" customWidth="1"/>
    <col min="6915" max="6915" width="41.5703125" customWidth="1"/>
    <col min="6916" max="6916" width="10.28515625" customWidth="1"/>
    <col min="6917" max="6917" width="10.140625" customWidth="1"/>
    <col min="6918" max="6918" width="10.5703125" customWidth="1"/>
    <col min="7169" max="7169" width="5.5703125" customWidth="1"/>
    <col min="7170" max="7170" width="8.5703125" customWidth="1"/>
    <col min="7171" max="7171" width="41.5703125" customWidth="1"/>
    <col min="7172" max="7172" width="10.28515625" customWidth="1"/>
    <col min="7173" max="7173" width="10.140625" customWidth="1"/>
    <col min="7174" max="7174" width="10.5703125" customWidth="1"/>
    <col min="7425" max="7425" width="5.5703125" customWidth="1"/>
    <col min="7426" max="7426" width="8.5703125" customWidth="1"/>
    <col min="7427" max="7427" width="41.5703125" customWidth="1"/>
    <col min="7428" max="7428" width="10.28515625" customWidth="1"/>
    <col min="7429" max="7429" width="10.140625" customWidth="1"/>
    <col min="7430" max="7430" width="10.5703125" customWidth="1"/>
    <col min="7681" max="7681" width="5.5703125" customWidth="1"/>
    <col min="7682" max="7682" width="8.5703125" customWidth="1"/>
    <col min="7683" max="7683" width="41.5703125" customWidth="1"/>
    <col min="7684" max="7684" width="10.28515625" customWidth="1"/>
    <col min="7685" max="7685" width="10.140625" customWidth="1"/>
    <col min="7686" max="7686" width="10.5703125" customWidth="1"/>
    <col min="7937" max="7937" width="5.5703125" customWidth="1"/>
    <col min="7938" max="7938" width="8.5703125" customWidth="1"/>
    <col min="7939" max="7939" width="41.5703125" customWidth="1"/>
    <col min="7940" max="7940" width="10.28515625" customWidth="1"/>
    <col min="7941" max="7941" width="10.140625" customWidth="1"/>
    <col min="7942" max="7942" width="10.5703125" customWidth="1"/>
    <col min="8193" max="8193" width="5.5703125" customWidth="1"/>
    <col min="8194" max="8194" width="8.5703125" customWidth="1"/>
    <col min="8195" max="8195" width="41.5703125" customWidth="1"/>
    <col min="8196" max="8196" width="10.28515625" customWidth="1"/>
    <col min="8197" max="8197" width="10.140625" customWidth="1"/>
    <col min="8198" max="8198" width="10.5703125" customWidth="1"/>
    <col min="8449" max="8449" width="5.5703125" customWidth="1"/>
    <col min="8450" max="8450" width="8.5703125" customWidth="1"/>
    <col min="8451" max="8451" width="41.5703125" customWidth="1"/>
    <col min="8452" max="8452" width="10.28515625" customWidth="1"/>
    <col min="8453" max="8453" width="10.140625" customWidth="1"/>
    <col min="8454" max="8454" width="10.5703125" customWidth="1"/>
    <col min="8705" max="8705" width="5.5703125" customWidth="1"/>
    <col min="8706" max="8706" width="8.5703125" customWidth="1"/>
    <col min="8707" max="8707" width="41.5703125" customWidth="1"/>
    <col min="8708" max="8708" width="10.28515625" customWidth="1"/>
    <col min="8709" max="8709" width="10.140625" customWidth="1"/>
    <col min="8710" max="8710" width="10.5703125" customWidth="1"/>
    <col min="8961" max="8961" width="5.5703125" customWidth="1"/>
    <col min="8962" max="8962" width="8.5703125" customWidth="1"/>
    <col min="8963" max="8963" width="41.5703125" customWidth="1"/>
    <col min="8964" max="8964" width="10.28515625" customWidth="1"/>
    <col min="8965" max="8965" width="10.140625" customWidth="1"/>
    <col min="8966" max="8966" width="10.5703125" customWidth="1"/>
    <col min="9217" max="9217" width="5.5703125" customWidth="1"/>
    <col min="9218" max="9218" width="8.5703125" customWidth="1"/>
    <col min="9219" max="9219" width="41.5703125" customWidth="1"/>
    <col min="9220" max="9220" width="10.28515625" customWidth="1"/>
    <col min="9221" max="9221" width="10.140625" customWidth="1"/>
    <col min="9222" max="9222" width="10.5703125" customWidth="1"/>
    <col min="9473" max="9473" width="5.5703125" customWidth="1"/>
    <col min="9474" max="9474" width="8.5703125" customWidth="1"/>
    <col min="9475" max="9475" width="41.5703125" customWidth="1"/>
    <col min="9476" max="9476" width="10.28515625" customWidth="1"/>
    <col min="9477" max="9477" width="10.140625" customWidth="1"/>
    <col min="9478" max="9478" width="10.5703125" customWidth="1"/>
    <col min="9729" max="9729" width="5.5703125" customWidth="1"/>
    <col min="9730" max="9730" width="8.5703125" customWidth="1"/>
    <col min="9731" max="9731" width="41.5703125" customWidth="1"/>
    <col min="9732" max="9732" width="10.28515625" customWidth="1"/>
    <col min="9733" max="9733" width="10.140625" customWidth="1"/>
    <col min="9734" max="9734" width="10.5703125" customWidth="1"/>
    <col min="9985" max="9985" width="5.5703125" customWidth="1"/>
    <col min="9986" max="9986" width="8.5703125" customWidth="1"/>
    <col min="9987" max="9987" width="41.5703125" customWidth="1"/>
    <col min="9988" max="9988" width="10.28515625" customWidth="1"/>
    <col min="9989" max="9989" width="10.140625" customWidth="1"/>
    <col min="9990" max="9990" width="10.5703125" customWidth="1"/>
    <col min="10241" max="10241" width="5.5703125" customWidth="1"/>
    <col min="10242" max="10242" width="8.5703125" customWidth="1"/>
    <col min="10243" max="10243" width="41.5703125" customWidth="1"/>
    <col min="10244" max="10244" width="10.28515625" customWidth="1"/>
    <col min="10245" max="10245" width="10.140625" customWidth="1"/>
    <col min="10246" max="10246" width="10.5703125" customWidth="1"/>
    <col min="10497" max="10497" width="5.5703125" customWidth="1"/>
    <col min="10498" max="10498" width="8.5703125" customWidth="1"/>
    <col min="10499" max="10499" width="41.5703125" customWidth="1"/>
    <col min="10500" max="10500" width="10.28515625" customWidth="1"/>
    <col min="10501" max="10501" width="10.140625" customWidth="1"/>
    <col min="10502" max="10502" width="10.5703125" customWidth="1"/>
    <col min="10753" max="10753" width="5.5703125" customWidth="1"/>
    <col min="10754" max="10754" width="8.5703125" customWidth="1"/>
    <col min="10755" max="10755" width="41.5703125" customWidth="1"/>
    <col min="10756" max="10756" width="10.28515625" customWidth="1"/>
    <col min="10757" max="10757" width="10.140625" customWidth="1"/>
    <col min="10758" max="10758" width="10.5703125" customWidth="1"/>
    <col min="11009" max="11009" width="5.5703125" customWidth="1"/>
    <col min="11010" max="11010" width="8.5703125" customWidth="1"/>
    <col min="11011" max="11011" width="41.5703125" customWidth="1"/>
    <col min="11012" max="11012" width="10.28515625" customWidth="1"/>
    <col min="11013" max="11013" width="10.140625" customWidth="1"/>
    <col min="11014" max="11014" width="10.5703125" customWidth="1"/>
    <col min="11265" max="11265" width="5.5703125" customWidth="1"/>
    <col min="11266" max="11266" width="8.5703125" customWidth="1"/>
    <col min="11267" max="11267" width="41.5703125" customWidth="1"/>
    <col min="11268" max="11268" width="10.28515625" customWidth="1"/>
    <col min="11269" max="11269" width="10.140625" customWidth="1"/>
    <col min="11270" max="11270" width="10.5703125" customWidth="1"/>
    <col min="11521" max="11521" width="5.5703125" customWidth="1"/>
    <col min="11522" max="11522" width="8.5703125" customWidth="1"/>
    <col min="11523" max="11523" width="41.5703125" customWidth="1"/>
    <col min="11524" max="11524" width="10.28515625" customWidth="1"/>
    <col min="11525" max="11525" width="10.140625" customWidth="1"/>
    <col min="11526" max="11526" width="10.5703125" customWidth="1"/>
    <col min="11777" max="11777" width="5.5703125" customWidth="1"/>
    <col min="11778" max="11778" width="8.5703125" customWidth="1"/>
    <col min="11779" max="11779" width="41.5703125" customWidth="1"/>
    <col min="11780" max="11780" width="10.28515625" customWidth="1"/>
    <col min="11781" max="11781" width="10.140625" customWidth="1"/>
    <col min="11782" max="11782" width="10.5703125" customWidth="1"/>
    <col min="12033" max="12033" width="5.5703125" customWidth="1"/>
    <col min="12034" max="12034" width="8.5703125" customWidth="1"/>
    <col min="12035" max="12035" width="41.5703125" customWidth="1"/>
    <col min="12036" max="12036" width="10.28515625" customWidth="1"/>
    <col min="12037" max="12037" width="10.140625" customWidth="1"/>
    <col min="12038" max="12038" width="10.5703125" customWidth="1"/>
    <col min="12289" max="12289" width="5.5703125" customWidth="1"/>
    <col min="12290" max="12290" width="8.5703125" customWidth="1"/>
    <col min="12291" max="12291" width="41.5703125" customWidth="1"/>
    <col min="12292" max="12292" width="10.28515625" customWidth="1"/>
    <col min="12293" max="12293" width="10.140625" customWidth="1"/>
    <col min="12294" max="12294" width="10.5703125" customWidth="1"/>
    <col min="12545" max="12545" width="5.5703125" customWidth="1"/>
    <col min="12546" max="12546" width="8.5703125" customWidth="1"/>
    <col min="12547" max="12547" width="41.5703125" customWidth="1"/>
    <col min="12548" max="12548" width="10.28515625" customWidth="1"/>
    <col min="12549" max="12549" width="10.140625" customWidth="1"/>
    <col min="12550" max="12550" width="10.5703125" customWidth="1"/>
    <col min="12801" max="12801" width="5.5703125" customWidth="1"/>
    <col min="12802" max="12802" width="8.5703125" customWidth="1"/>
    <col min="12803" max="12803" width="41.5703125" customWidth="1"/>
    <col min="12804" max="12804" width="10.28515625" customWidth="1"/>
    <col min="12805" max="12805" width="10.140625" customWidth="1"/>
    <col min="12806" max="12806" width="10.5703125" customWidth="1"/>
    <col min="13057" max="13057" width="5.5703125" customWidth="1"/>
    <col min="13058" max="13058" width="8.5703125" customWidth="1"/>
    <col min="13059" max="13059" width="41.5703125" customWidth="1"/>
    <col min="13060" max="13060" width="10.28515625" customWidth="1"/>
    <col min="13061" max="13061" width="10.140625" customWidth="1"/>
    <col min="13062" max="13062" width="10.5703125" customWidth="1"/>
    <col min="13313" max="13313" width="5.5703125" customWidth="1"/>
    <col min="13314" max="13314" width="8.5703125" customWidth="1"/>
    <col min="13315" max="13315" width="41.5703125" customWidth="1"/>
    <col min="13316" max="13316" width="10.28515625" customWidth="1"/>
    <col min="13317" max="13317" width="10.140625" customWidth="1"/>
    <col min="13318" max="13318" width="10.5703125" customWidth="1"/>
    <col min="13569" max="13569" width="5.5703125" customWidth="1"/>
    <col min="13570" max="13570" width="8.5703125" customWidth="1"/>
    <col min="13571" max="13571" width="41.5703125" customWidth="1"/>
    <col min="13572" max="13572" width="10.28515625" customWidth="1"/>
    <col min="13573" max="13573" width="10.140625" customWidth="1"/>
    <col min="13574" max="13574" width="10.5703125" customWidth="1"/>
    <col min="13825" max="13825" width="5.5703125" customWidth="1"/>
    <col min="13826" max="13826" width="8.5703125" customWidth="1"/>
    <col min="13827" max="13827" width="41.5703125" customWidth="1"/>
    <col min="13828" max="13828" width="10.28515625" customWidth="1"/>
    <col min="13829" max="13829" width="10.140625" customWidth="1"/>
    <col min="13830" max="13830" width="10.5703125" customWidth="1"/>
    <col min="14081" max="14081" width="5.5703125" customWidth="1"/>
    <col min="14082" max="14082" width="8.5703125" customWidth="1"/>
    <col min="14083" max="14083" width="41.5703125" customWidth="1"/>
    <col min="14084" max="14084" width="10.28515625" customWidth="1"/>
    <col min="14085" max="14085" width="10.140625" customWidth="1"/>
    <col min="14086" max="14086" width="10.5703125" customWidth="1"/>
    <col min="14337" max="14337" width="5.5703125" customWidth="1"/>
    <col min="14338" max="14338" width="8.5703125" customWidth="1"/>
    <col min="14339" max="14339" width="41.5703125" customWidth="1"/>
    <col min="14340" max="14340" width="10.28515625" customWidth="1"/>
    <col min="14341" max="14341" width="10.140625" customWidth="1"/>
    <col min="14342" max="14342" width="10.5703125" customWidth="1"/>
    <col min="14593" max="14593" width="5.5703125" customWidth="1"/>
    <col min="14594" max="14594" width="8.5703125" customWidth="1"/>
    <col min="14595" max="14595" width="41.5703125" customWidth="1"/>
    <col min="14596" max="14596" width="10.28515625" customWidth="1"/>
    <col min="14597" max="14597" width="10.140625" customWidth="1"/>
    <col min="14598" max="14598" width="10.5703125" customWidth="1"/>
    <col min="14849" max="14849" width="5.5703125" customWidth="1"/>
    <col min="14850" max="14850" width="8.5703125" customWidth="1"/>
    <col min="14851" max="14851" width="41.5703125" customWidth="1"/>
    <col min="14852" max="14852" width="10.28515625" customWidth="1"/>
    <col min="14853" max="14853" width="10.140625" customWidth="1"/>
    <col min="14854" max="14854" width="10.5703125" customWidth="1"/>
    <col min="15105" max="15105" width="5.5703125" customWidth="1"/>
    <col min="15106" max="15106" width="8.5703125" customWidth="1"/>
    <col min="15107" max="15107" width="41.5703125" customWidth="1"/>
    <col min="15108" max="15108" width="10.28515625" customWidth="1"/>
    <col min="15109" max="15109" width="10.140625" customWidth="1"/>
    <col min="15110" max="15110" width="10.5703125" customWidth="1"/>
    <col min="15361" max="15361" width="5.5703125" customWidth="1"/>
    <col min="15362" max="15362" width="8.5703125" customWidth="1"/>
    <col min="15363" max="15363" width="41.5703125" customWidth="1"/>
    <col min="15364" max="15364" width="10.28515625" customWidth="1"/>
    <col min="15365" max="15365" width="10.140625" customWidth="1"/>
    <col min="15366" max="15366" width="10.5703125" customWidth="1"/>
    <col min="15617" max="15617" width="5.5703125" customWidth="1"/>
    <col min="15618" max="15618" width="8.5703125" customWidth="1"/>
    <col min="15619" max="15619" width="41.5703125" customWidth="1"/>
    <col min="15620" max="15620" width="10.28515625" customWidth="1"/>
    <col min="15621" max="15621" width="10.140625" customWidth="1"/>
    <col min="15622" max="15622" width="10.5703125" customWidth="1"/>
    <col min="15873" max="15873" width="5.5703125" customWidth="1"/>
    <col min="15874" max="15874" width="8.5703125" customWidth="1"/>
    <col min="15875" max="15875" width="41.5703125" customWidth="1"/>
    <col min="15876" max="15876" width="10.28515625" customWidth="1"/>
    <col min="15877" max="15877" width="10.140625" customWidth="1"/>
    <col min="15878" max="15878" width="10.5703125" customWidth="1"/>
    <col min="16129" max="16129" width="5.5703125" customWidth="1"/>
    <col min="16130" max="16130" width="8.5703125" customWidth="1"/>
    <col min="16131" max="16131" width="41.5703125" customWidth="1"/>
    <col min="16132" max="16132" width="10.28515625" customWidth="1"/>
    <col min="16133" max="16133" width="10.140625" customWidth="1"/>
    <col min="16134" max="16134" width="10.5703125" customWidth="1"/>
  </cols>
  <sheetData>
    <row r="1" spans="1:7" s="254" customFormat="1" ht="41.25" customHeight="1" x14ac:dyDescent="0.3">
      <c r="A1" s="1052" t="s">
        <v>401</v>
      </c>
      <c r="B1" s="1052"/>
      <c r="C1" s="1052"/>
      <c r="D1" s="1052"/>
      <c r="E1" s="1052"/>
      <c r="F1" s="599"/>
    </row>
    <row r="2" spans="1:7" s="254" customFormat="1" ht="14.25" x14ac:dyDescent="0.2"/>
    <row r="3" spans="1:7" s="264" customFormat="1" ht="12.75" x14ac:dyDescent="0.2">
      <c r="A3" s="600" t="s">
        <v>367</v>
      </c>
      <c r="B3" s="601"/>
      <c r="C3" s="601"/>
      <c r="D3" s="602"/>
      <c r="E3" s="603">
        <v>19000</v>
      </c>
    </row>
    <row r="4" spans="1:7" s="264" customFormat="1" ht="12.75" x14ac:dyDescent="0.2">
      <c r="A4" s="600" t="s">
        <v>368</v>
      </c>
      <c r="B4" s="601"/>
      <c r="C4" s="601"/>
      <c r="D4" s="602"/>
      <c r="E4" s="604">
        <f>E3*1000/D36</f>
        <v>28.761992994184023</v>
      </c>
    </row>
    <row r="5" spans="1:7" s="264" customFormat="1" ht="12.75" x14ac:dyDescent="0.2">
      <c r="A5" s="605"/>
      <c r="B5" s="605"/>
      <c r="C5" s="605"/>
      <c r="D5" s="605"/>
      <c r="E5" s="606"/>
    </row>
    <row r="6" spans="1:7" s="264" customFormat="1" ht="12.75" x14ac:dyDescent="0.2">
      <c r="A6" s="714" t="s">
        <v>369</v>
      </c>
      <c r="B6" s="714"/>
      <c r="C6" s="714"/>
      <c r="D6" s="714"/>
      <c r="E6" s="715">
        <v>19002.099999999999</v>
      </c>
    </row>
    <row r="7" spans="1:7" s="264" customFormat="1" ht="13.5" thickBot="1" x14ac:dyDescent="0.25"/>
    <row r="8" spans="1:7" s="264" customFormat="1" ht="18.75" customHeight="1" x14ac:dyDescent="0.2">
      <c r="A8" s="1044" t="s">
        <v>185</v>
      </c>
      <c r="B8" s="1046" t="s">
        <v>360</v>
      </c>
      <c r="C8" s="1048" t="s">
        <v>370</v>
      </c>
      <c r="D8" s="1049"/>
      <c r="E8" s="1050" t="s">
        <v>371</v>
      </c>
    </row>
    <row r="9" spans="1:7" s="264" customFormat="1" ht="50.25" customHeight="1" thickBot="1" x14ac:dyDescent="0.25">
      <c r="A9" s="1045"/>
      <c r="B9" s="1047"/>
      <c r="C9" s="607" t="s">
        <v>372</v>
      </c>
      <c r="D9" s="608" t="s">
        <v>373</v>
      </c>
      <c r="E9" s="1051"/>
    </row>
    <row r="10" spans="1:7" s="264" customFormat="1" ht="12.75" x14ac:dyDescent="0.2">
      <c r="A10" s="609" t="s">
        <v>331</v>
      </c>
      <c r="B10" s="589" t="s">
        <v>144</v>
      </c>
      <c r="C10" s="610">
        <v>5228</v>
      </c>
      <c r="D10" s="611">
        <v>130975</v>
      </c>
      <c r="E10" s="612">
        <f t="shared" ref="E10:E29" si="0">ROUND(E$6/D$36*D10,0)</f>
        <v>3768</v>
      </c>
      <c r="G10" s="613"/>
    </row>
    <row r="11" spans="1:7" s="264" customFormat="1" ht="12.75" x14ac:dyDescent="0.2">
      <c r="A11" s="614" t="s">
        <v>332</v>
      </c>
      <c r="B11" s="590" t="s">
        <v>145</v>
      </c>
      <c r="C11" s="615">
        <v>1141</v>
      </c>
      <c r="D11" s="616">
        <v>34141</v>
      </c>
      <c r="E11" s="612">
        <f t="shared" si="0"/>
        <v>982</v>
      </c>
      <c r="G11" s="617"/>
    </row>
    <row r="12" spans="1:7" s="264" customFormat="1" ht="12.75" x14ac:dyDescent="0.2">
      <c r="A12" s="614" t="s">
        <v>333</v>
      </c>
      <c r="B12" s="590" t="s">
        <v>334</v>
      </c>
      <c r="C12" s="615">
        <v>1763</v>
      </c>
      <c r="D12" s="616">
        <v>27539</v>
      </c>
      <c r="E12" s="612">
        <f t="shared" si="0"/>
        <v>792</v>
      </c>
      <c r="G12" s="617"/>
    </row>
    <row r="13" spans="1:7" s="264" customFormat="1" ht="12.75" x14ac:dyDescent="0.2">
      <c r="A13" s="614" t="s">
        <v>336</v>
      </c>
      <c r="B13" s="590" t="s">
        <v>147</v>
      </c>
      <c r="C13" s="615">
        <v>3873</v>
      </c>
      <c r="D13" s="616">
        <v>51273</v>
      </c>
      <c r="E13" s="612">
        <f t="shared" si="0"/>
        <v>1475</v>
      </c>
      <c r="G13" s="617"/>
    </row>
    <row r="14" spans="1:7" s="264" customFormat="1" ht="12.75" x14ac:dyDescent="0.2">
      <c r="A14" s="614" t="s">
        <v>337</v>
      </c>
      <c r="B14" s="590" t="s">
        <v>148</v>
      </c>
      <c r="C14" s="615">
        <v>2266</v>
      </c>
      <c r="D14" s="616">
        <v>27886</v>
      </c>
      <c r="E14" s="612">
        <f t="shared" si="0"/>
        <v>802</v>
      </c>
      <c r="G14" s="617"/>
    </row>
    <row r="15" spans="1:7" s="264" customFormat="1" ht="12.75" x14ac:dyDescent="0.2">
      <c r="A15" s="614" t="s">
        <v>338</v>
      </c>
      <c r="B15" s="590" t="s">
        <v>149</v>
      </c>
      <c r="C15" s="615">
        <v>564</v>
      </c>
      <c r="D15" s="616">
        <v>6049</v>
      </c>
      <c r="E15" s="612">
        <f t="shared" si="0"/>
        <v>174</v>
      </c>
      <c r="G15" s="617"/>
    </row>
    <row r="16" spans="1:7" s="264" customFormat="1" ht="12.75" x14ac:dyDescent="0.2">
      <c r="A16" s="614" t="s">
        <v>339</v>
      </c>
      <c r="B16" s="590" t="s">
        <v>150</v>
      </c>
      <c r="C16" s="615">
        <f>578-22</f>
        <v>556</v>
      </c>
      <c r="D16" s="616">
        <v>23337</v>
      </c>
      <c r="E16" s="612">
        <f t="shared" si="0"/>
        <v>671</v>
      </c>
      <c r="G16" s="617"/>
    </row>
    <row r="17" spans="1:7" s="264" customFormat="1" ht="12.75" x14ac:dyDescent="0.2">
      <c r="A17" s="614" t="s">
        <v>340</v>
      </c>
      <c r="B17" s="590" t="s">
        <v>151</v>
      </c>
      <c r="C17" s="615">
        <v>480</v>
      </c>
      <c r="D17" s="616">
        <v>11455</v>
      </c>
      <c r="E17" s="612">
        <f t="shared" si="0"/>
        <v>330</v>
      </c>
      <c r="G17" s="617"/>
    </row>
    <row r="18" spans="1:7" s="264" customFormat="1" ht="12.75" x14ac:dyDescent="0.2">
      <c r="A18" s="614" t="s">
        <v>341</v>
      </c>
      <c r="B18" s="590" t="s">
        <v>152</v>
      </c>
      <c r="C18" s="615">
        <v>1019</v>
      </c>
      <c r="D18" s="616">
        <v>28288</v>
      </c>
      <c r="E18" s="612">
        <f t="shared" si="0"/>
        <v>814</v>
      </c>
      <c r="G18" s="617"/>
    </row>
    <row r="19" spans="1:7" s="264" customFormat="1" ht="12.75" x14ac:dyDescent="0.2">
      <c r="A19" s="614" t="s">
        <v>342</v>
      </c>
      <c r="B19" s="590" t="s">
        <v>153</v>
      </c>
      <c r="C19" s="615">
        <v>1111</v>
      </c>
      <c r="D19" s="616">
        <v>28405</v>
      </c>
      <c r="E19" s="612">
        <f t="shared" si="0"/>
        <v>817</v>
      </c>
      <c r="G19" s="617"/>
    </row>
    <row r="20" spans="1:7" s="264" customFormat="1" ht="12.75" x14ac:dyDescent="0.2">
      <c r="A20" s="614" t="s">
        <v>343</v>
      </c>
      <c r="B20" s="590" t="s">
        <v>374</v>
      </c>
      <c r="C20" s="615">
        <v>368</v>
      </c>
      <c r="D20" s="616">
        <v>11209</v>
      </c>
      <c r="E20" s="612">
        <f t="shared" si="0"/>
        <v>322</v>
      </c>
      <c r="G20" s="617"/>
    </row>
    <row r="21" spans="1:7" s="264" customFormat="1" ht="12.75" x14ac:dyDescent="0.2">
      <c r="A21" s="614" t="s">
        <v>344</v>
      </c>
      <c r="B21" s="590" t="s">
        <v>155</v>
      </c>
      <c r="C21" s="615">
        <v>2972</v>
      </c>
      <c r="D21" s="616">
        <v>45906</v>
      </c>
      <c r="E21" s="612">
        <f t="shared" si="0"/>
        <v>1320</v>
      </c>
      <c r="G21" s="617"/>
    </row>
    <row r="22" spans="1:7" s="264" customFormat="1" ht="12.75" x14ac:dyDescent="0.2">
      <c r="A22" s="614" t="s">
        <v>345</v>
      </c>
      <c r="B22" s="590" t="s">
        <v>156</v>
      </c>
      <c r="C22" s="615">
        <v>886</v>
      </c>
      <c r="D22" s="616">
        <v>21566</v>
      </c>
      <c r="E22" s="612">
        <f t="shared" si="0"/>
        <v>620</v>
      </c>
      <c r="G22" s="617"/>
    </row>
    <row r="23" spans="1:7" s="264" customFormat="1" ht="12.75" x14ac:dyDescent="0.2">
      <c r="A23" s="614" t="s">
        <v>346</v>
      </c>
      <c r="B23" s="590" t="s">
        <v>157</v>
      </c>
      <c r="C23" s="615">
        <v>420</v>
      </c>
      <c r="D23" s="616">
        <v>7584</v>
      </c>
      <c r="E23" s="612">
        <f t="shared" si="0"/>
        <v>218</v>
      </c>
      <c r="G23" s="617"/>
    </row>
    <row r="24" spans="1:7" s="264" customFormat="1" ht="12.75" x14ac:dyDescent="0.2">
      <c r="A24" s="614" t="s">
        <v>347</v>
      </c>
      <c r="B24" s="590" t="s">
        <v>158</v>
      </c>
      <c r="C24" s="615">
        <v>1984</v>
      </c>
      <c r="D24" s="616">
        <v>36428</v>
      </c>
      <c r="E24" s="612">
        <f t="shared" si="0"/>
        <v>1048</v>
      </c>
      <c r="G24" s="617"/>
    </row>
    <row r="25" spans="1:7" s="264" customFormat="1" ht="12.75" x14ac:dyDescent="0.2">
      <c r="A25" s="614" t="s">
        <v>348</v>
      </c>
      <c r="B25" s="590" t="s">
        <v>375</v>
      </c>
      <c r="C25" s="615">
        <v>990</v>
      </c>
      <c r="D25" s="616">
        <v>18917</v>
      </c>
      <c r="E25" s="612">
        <f t="shared" si="0"/>
        <v>544</v>
      </c>
      <c r="G25" s="617"/>
    </row>
    <row r="26" spans="1:7" s="264" customFormat="1" ht="12.75" x14ac:dyDescent="0.2">
      <c r="A26" s="614" t="s">
        <v>349</v>
      </c>
      <c r="B26" s="590" t="s">
        <v>160</v>
      </c>
      <c r="C26" s="615">
        <v>1163</v>
      </c>
      <c r="D26" s="616">
        <v>16380</v>
      </c>
      <c r="E26" s="612">
        <f t="shared" si="0"/>
        <v>471</v>
      </c>
      <c r="G26" s="617"/>
    </row>
    <row r="27" spans="1:7" s="264" customFormat="1" ht="12.75" x14ac:dyDescent="0.2">
      <c r="A27" s="614" t="s">
        <v>350</v>
      </c>
      <c r="B27" s="590" t="s">
        <v>161</v>
      </c>
      <c r="C27" s="615">
        <v>2035</v>
      </c>
      <c r="D27" s="616">
        <v>44722</v>
      </c>
      <c r="E27" s="612">
        <f t="shared" si="0"/>
        <v>1286</v>
      </c>
      <c r="G27" s="617"/>
    </row>
    <row r="28" spans="1:7" s="264" customFormat="1" ht="12.75" x14ac:dyDescent="0.2">
      <c r="A28" s="614" t="s">
        <v>351</v>
      </c>
      <c r="B28" s="590" t="s">
        <v>162</v>
      </c>
      <c r="C28" s="615">
        <v>1713</v>
      </c>
      <c r="D28" s="616">
        <v>29080</v>
      </c>
      <c r="E28" s="612">
        <f t="shared" si="0"/>
        <v>836</v>
      </c>
      <c r="G28" s="617"/>
    </row>
    <row r="29" spans="1:7" s="264" customFormat="1" ht="12.75" x14ac:dyDescent="0.2">
      <c r="A29" s="614" t="s">
        <v>352</v>
      </c>
      <c r="B29" s="590" t="s">
        <v>163</v>
      </c>
      <c r="C29" s="615">
        <v>3242</v>
      </c>
      <c r="D29" s="616">
        <v>48321</v>
      </c>
      <c r="E29" s="612">
        <f t="shared" si="0"/>
        <v>1390</v>
      </c>
      <c r="G29" s="617"/>
    </row>
    <row r="30" spans="1:7" s="264" customFormat="1" ht="12.75" x14ac:dyDescent="0.2">
      <c r="A30" s="614" t="s">
        <v>353</v>
      </c>
      <c r="B30" s="590" t="s">
        <v>164</v>
      </c>
      <c r="C30" s="618" t="s">
        <v>335</v>
      </c>
      <c r="D30" s="619" t="s">
        <v>335</v>
      </c>
      <c r="E30" s="612"/>
      <c r="G30" s="617"/>
    </row>
    <row r="31" spans="1:7" s="264" customFormat="1" ht="12.75" x14ac:dyDescent="0.2">
      <c r="A31" s="614" t="s">
        <v>354</v>
      </c>
      <c r="B31" s="590" t="s">
        <v>165</v>
      </c>
      <c r="C31" s="618" t="s">
        <v>335</v>
      </c>
      <c r="D31" s="619" t="s">
        <v>335</v>
      </c>
      <c r="E31" s="612"/>
      <c r="G31" s="617"/>
    </row>
    <row r="32" spans="1:7" s="264" customFormat="1" ht="12.75" x14ac:dyDescent="0.2">
      <c r="A32" s="614" t="s">
        <v>355</v>
      </c>
      <c r="B32" s="590" t="s">
        <v>166</v>
      </c>
      <c r="C32" s="618" t="s">
        <v>335</v>
      </c>
      <c r="D32" s="619" t="s">
        <v>335</v>
      </c>
      <c r="E32" s="612"/>
      <c r="G32" s="617"/>
    </row>
    <row r="33" spans="1:7" s="264" customFormat="1" ht="12.75" x14ac:dyDescent="0.2">
      <c r="A33" s="614" t="s">
        <v>356</v>
      </c>
      <c r="B33" s="590" t="s">
        <v>357</v>
      </c>
      <c r="C33" s="618" t="s">
        <v>335</v>
      </c>
      <c r="D33" s="619" t="s">
        <v>335</v>
      </c>
      <c r="E33" s="612"/>
      <c r="G33" s="617"/>
    </row>
    <row r="34" spans="1:7" s="264" customFormat="1" ht="12.75" x14ac:dyDescent="0.2">
      <c r="A34" s="614" t="s">
        <v>358</v>
      </c>
      <c r="B34" s="590" t="s">
        <v>168</v>
      </c>
      <c r="C34" s="615">
        <v>496</v>
      </c>
      <c r="D34" s="616">
        <v>11133</v>
      </c>
      <c r="E34" s="612">
        <f>ROUND(E$6/D$36*D34,0)</f>
        <v>320</v>
      </c>
      <c r="G34" s="617"/>
    </row>
    <row r="35" spans="1:7" s="264" customFormat="1" ht="13.5" thickBot="1" x14ac:dyDescent="0.25">
      <c r="A35" s="620" t="s">
        <v>359</v>
      </c>
      <c r="B35" s="621" t="s">
        <v>376</v>
      </c>
      <c r="C35" s="622" t="s">
        <v>335</v>
      </c>
      <c r="D35" s="623" t="s">
        <v>335</v>
      </c>
      <c r="E35" s="612"/>
      <c r="G35" s="617"/>
    </row>
    <row r="36" spans="1:7" s="264" customFormat="1" ht="13.5" thickBot="1" x14ac:dyDescent="0.25">
      <c r="A36" s="624" t="s">
        <v>71</v>
      </c>
      <c r="B36" s="625"/>
      <c r="C36" s="626">
        <f>SUM(C10:C35)</f>
        <v>34270</v>
      </c>
      <c r="D36" s="627">
        <f>SUM(D10:D35)</f>
        <v>660594</v>
      </c>
      <c r="E36" s="628">
        <f>SUM(E10:E35)</f>
        <v>19000</v>
      </c>
      <c r="G36" s="617"/>
    </row>
    <row r="37" spans="1:7" s="629" customFormat="1" ht="12.75" x14ac:dyDescent="0.2">
      <c r="B37" s="630"/>
    </row>
    <row r="38" spans="1:7" ht="15.75" x14ac:dyDescent="0.25">
      <c r="A38" s="592"/>
      <c r="B38" s="593"/>
      <c r="C38" s="592"/>
      <c r="D38" s="592"/>
      <c r="E38" s="592"/>
      <c r="F38" s="592"/>
    </row>
    <row r="39" spans="1:7" ht="15.75" x14ac:dyDescent="0.25">
      <c r="A39" s="592"/>
      <c r="B39" s="593"/>
      <c r="C39" s="592"/>
      <c r="D39" s="594"/>
      <c r="E39" s="593"/>
      <c r="F39" s="592"/>
    </row>
    <row r="40" spans="1:7" ht="15.75" x14ac:dyDescent="0.25">
      <c r="A40" s="592"/>
      <c r="B40" s="593"/>
      <c r="C40" s="592"/>
      <c r="D40" s="592"/>
      <c r="E40" s="592"/>
      <c r="F40" s="592"/>
    </row>
    <row r="41" spans="1:7" ht="15.75" x14ac:dyDescent="0.25">
      <c r="A41" s="592"/>
      <c r="B41" s="593"/>
      <c r="C41" s="592"/>
      <c r="D41" s="592"/>
      <c r="E41" s="592"/>
      <c r="F41" s="592"/>
    </row>
    <row r="42" spans="1:7" ht="15.75" x14ac:dyDescent="0.25">
      <c r="A42" s="592"/>
      <c r="B42" s="593"/>
      <c r="C42" s="592"/>
      <c r="D42" s="592"/>
      <c r="E42" s="592"/>
      <c r="F42" s="592"/>
    </row>
    <row r="43" spans="1:7" ht="15.75" x14ac:dyDescent="0.25">
      <c r="A43" s="592"/>
      <c r="B43" s="593"/>
      <c r="C43" s="592"/>
      <c r="D43" s="592"/>
      <c r="E43" s="592"/>
      <c r="F43" s="592"/>
    </row>
    <row r="44" spans="1:7" ht="15.75" x14ac:dyDescent="0.25">
      <c r="A44" s="592"/>
      <c r="B44" s="593"/>
      <c r="C44" s="592"/>
      <c r="D44" s="592"/>
      <c r="E44" s="592"/>
      <c r="F44" s="592"/>
    </row>
    <row r="45" spans="1:7" ht="15.75" x14ac:dyDescent="0.25">
      <c r="A45" s="592"/>
      <c r="B45" s="593"/>
      <c r="C45" s="592"/>
      <c r="D45" s="592"/>
      <c r="E45" s="592"/>
      <c r="F45" s="592"/>
    </row>
    <row r="46" spans="1:7" ht="15.75" x14ac:dyDescent="0.25">
      <c r="A46" s="592"/>
      <c r="B46" s="593"/>
      <c r="C46" s="592"/>
      <c r="D46" s="594"/>
      <c r="E46" s="592"/>
      <c r="F46" s="592"/>
    </row>
    <row r="47" spans="1:7" ht="15.75" x14ac:dyDescent="0.25">
      <c r="A47" s="592"/>
      <c r="B47" s="593"/>
      <c r="C47" s="592"/>
      <c r="D47" s="592"/>
      <c r="E47" s="592"/>
      <c r="F47" s="592"/>
    </row>
  </sheetData>
  <mergeCells count="5">
    <mergeCell ref="A8:A9"/>
    <mergeCell ref="B8:B9"/>
    <mergeCell ref="C8:D8"/>
    <mergeCell ref="E8:E9"/>
    <mergeCell ref="A1:E1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7</vt:i4>
      </vt:variant>
    </vt:vector>
  </HeadingPairs>
  <TitlesOfParts>
    <vt:vector size="18" baseType="lpstr">
      <vt:lpstr>Tab.1_Bilance</vt:lpstr>
      <vt:lpstr>Tab.2_ROZPOČET 2012</vt:lpstr>
      <vt:lpstr>Tab.3_A</vt:lpstr>
      <vt:lpstr>Tab.4_K</vt:lpstr>
      <vt:lpstr>Tab.5_VKM pro K</vt:lpstr>
      <vt:lpstr>Tab.6_C</vt:lpstr>
      <vt:lpstr>Tab.7_J</vt:lpstr>
      <vt:lpstr>Tab.8_U</vt:lpstr>
      <vt:lpstr> Tab.9_U3V </vt:lpstr>
      <vt:lpstr>Tab.10_Studium SSP</vt:lpstr>
      <vt:lpstr>Tab.11_FRVŠ</vt:lpstr>
      <vt:lpstr>Tab.3_A!Názvy_tisku</vt:lpstr>
      <vt:lpstr>Tab.1_Bilance!Oblast_tisku</vt:lpstr>
      <vt:lpstr>Tab.3_A!Oblast_tisku</vt:lpstr>
      <vt:lpstr>Tab.4_K!Oblast_tisku</vt:lpstr>
      <vt:lpstr>Tab.6_C!Oblast_tisku</vt:lpstr>
      <vt:lpstr>Tab.7_J!Oblast_tisku</vt:lpstr>
      <vt:lpstr>Tab.8_U!Oblast_tisku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dobisek</dc:creator>
  <cp:lastModifiedBy>Pospíšilová Lenka</cp:lastModifiedBy>
  <cp:lastPrinted>2012-01-13T16:40:55Z</cp:lastPrinted>
  <dcterms:created xsi:type="dcterms:W3CDTF">2011-11-22T09:53:10Z</dcterms:created>
  <dcterms:modified xsi:type="dcterms:W3CDTF">2012-01-18T16:42:31Z</dcterms:modified>
</cp:coreProperties>
</file>