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440" windowHeight="7755" activeTab="1"/>
  </bookViews>
  <sheets>
    <sheet name="Odpovědi na formulář" sheetId="1" r:id="rId1"/>
    <sheet name="Grafy" sheetId="2" r:id="rId2"/>
  </sheets>
  <definedNames>
    <definedName name="_xlnm._FilterDatabase" localSheetId="0" hidden="1">'Odpovědi na formulář'!$A$1:$V$360</definedName>
  </definedNames>
  <calcPr calcId="145621"/>
</workbook>
</file>

<file path=xl/calcChain.xml><?xml version="1.0" encoding="utf-8"?>
<calcChain xmlns="http://schemas.openxmlformats.org/spreadsheetml/2006/main">
  <c r="AP361" i="2" l="1"/>
  <c r="Q361" i="2"/>
  <c r="AJ361" i="2"/>
  <c r="AF361" i="2"/>
  <c r="R361" i="2"/>
  <c r="AD361" i="2"/>
  <c r="AA361" i="2"/>
  <c r="M361" i="2"/>
  <c r="X361" i="2"/>
  <c r="AE361" i="2"/>
  <c r="S361" i="2"/>
  <c r="J361" i="2"/>
  <c r="I361" i="2"/>
  <c r="K361" i="2"/>
  <c r="L361" i="2"/>
  <c r="E437" i="2"/>
  <c r="D437" i="2"/>
  <c r="C437" i="2"/>
  <c r="F337" i="2"/>
  <c r="E337" i="2"/>
  <c r="D337" i="2"/>
  <c r="C337" i="2"/>
  <c r="C309" i="2"/>
  <c r="D309" i="2"/>
  <c r="E309" i="2"/>
  <c r="F309" i="2"/>
  <c r="H287" i="2"/>
  <c r="G287" i="2"/>
  <c r="F287" i="2"/>
  <c r="E287" i="2"/>
  <c r="D287" i="2"/>
  <c r="C287" i="2"/>
  <c r="H262" i="2"/>
  <c r="G262" i="2"/>
  <c r="F262" i="2"/>
  <c r="E262" i="2"/>
  <c r="D262" i="2"/>
  <c r="C262" i="2"/>
  <c r="H241" i="2"/>
  <c r="G241" i="2"/>
  <c r="F241" i="2"/>
  <c r="E241" i="2"/>
  <c r="D241" i="2"/>
  <c r="C241" i="2"/>
  <c r="F220" i="2"/>
  <c r="C220" i="2"/>
  <c r="E220" i="2"/>
  <c r="D220" i="2"/>
  <c r="D199" i="2" l="1"/>
  <c r="C199" i="2"/>
  <c r="E199" i="2"/>
  <c r="F50" i="2"/>
  <c r="G50" i="2"/>
  <c r="E50" i="2"/>
  <c r="C50" i="2"/>
  <c r="D50" i="2"/>
  <c r="C29" i="2"/>
  <c r="E29" i="2"/>
  <c r="D29" i="2"/>
  <c r="F29" i="2"/>
  <c r="G29" i="2"/>
  <c r="AD3" i="2"/>
  <c r="H3" i="2"/>
  <c r="P3" i="2"/>
  <c r="Q3" i="2"/>
  <c r="W3" i="2"/>
  <c r="R3" i="2"/>
  <c r="D3" i="2"/>
  <c r="F3" i="2"/>
  <c r="G3" i="2"/>
  <c r="C3" i="2"/>
  <c r="AN3" i="2"/>
  <c r="V3" i="2"/>
  <c r="AF3" i="2"/>
  <c r="AM3" i="2"/>
  <c r="S3" i="2"/>
  <c r="T3" i="2"/>
  <c r="K3" i="2"/>
  <c r="E3" i="2"/>
  <c r="D308" i="1"/>
  <c r="E308" i="1"/>
  <c r="B358" i="1"/>
  <c r="B357" i="1"/>
  <c r="B359"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5" i="1"/>
  <c r="B326" i="1"/>
  <c r="B324" i="1"/>
  <c r="B323" i="1"/>
  <c r="B322" i="1"/>
  <c r="B321" i="1"/>
  <c r="B319" i="1"/>
  <c r="B316" i="1"/>
  <c r="B315" i="1"/>
  <c r="B314" i="1"/>
  <c r="B313" i="1"/>
  <c r="B312" i="1"/>
  <c r="B311" i="1"/>
  <c r="B310" i="1"/>
  <c r="B309" i="1"/>
  <c r="B308" i="1"/>
  <c r="U359" i="1"/>
  <c r="U327" i="1"/>
  <c r="U358" i="1"/>
  <c r="U360"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6" i="1"/>
  <c r="U309" i="1"/>
  <c r="U308" i="1"/>
  <c r="U325" i="1"/>
  <c r="U324" i="1"/>
  <c r="U323" i="1"/>
  <c r="U322" i="1"/>
  <c r="U321" i="1"/>
  <c r="U320" i="1"/>
  <c r="U319" i="1"/>
  <c r="U318" i="1"/>
  <c r="U317" i="1"/>
  <c r="U316" i="1"/>
  <c r="U315" i="1"/>
  <c r="U314" i="1"/>
  <c r="U313" i="1"/>
  <c r="U312" i="1"/>
  <c r="U311" i="1"/>
  <c r="U310" i="1"/>
  <c r="T328" i="1"/>
  <c r="T327" i="1"/>
  <c r="T326" i="1"/>
  <c r="S327" i="1"/>
  <c r="S328" i="1"/>
  <c r="S326" i="1"/>
  <c r="S329" i="1"/>
  <c r="R359" i="1"/>
  <c r="R358" i="1"/>
  <c r="R357" i="1"/>
  <c r="R356" i="1"/>
  <c r="R355" i="1"/>
  <c r="R354" i="1"/>
  <c r="R353" i="1"/>
  <c r="R352" i="1"/>
  <c r="R351" i="1"/>
  <c r="R350" i="1"/>
  <c r="R349" i="1"/>
  <c r="R348" i="1"/>
  <c r="R347" i="1"/>
  <c r="R346" i="1"/>
  <c r="R326" i="1"/>
  <c r="R345" i="1"/>
  <c r="R344" i="1"/>
  <c r="R343" i="1"/>
  <c r="R342" i="1"/>
  <c r="R341" i="1"/>
  <c r="R340" i="1"/>
  <c r="R339" i="1"/>
  <c r="R338" i="1"/>
  <c r="R337" i="1"/>
  <c r="R336" i="1"/>
  <c r="R335" i="1"/>
  <c r="R334" i="1"/>
  <c r="R333" i="1"/>
  <c r="R332" i="1"/>
  <c r="R331" i="1"/>
  <c r="R330" i="1"/>
  <c r="R329" i="1"/>
  <c r="R328" i="1"/>
  <c r="R327" i="1"/>
  <c r="R325" i="1"/>
  <c r="R324" i="1"/>
  <c r="R323" i="1"/>
  <c r="R322" i="1"/>
  <c r="R321" i="1"/>
  <c r="R320" i="1"/>
  <c r="R319" i="1"/>
  <c r="R318" i="1"/>
  <c r="R317" i="1"/>
  <c r="R316" i="1"/>
  <c r="R315" i="1"/>
  <c r="R314" i="1"/>
  <c r="R313" i="1"/>
  <c r="R312" i="1"/>
  <c r="R311" i="1"/>
  <c r="R310" i="1"/>
  <c r="R309" i="1"/>
  <c r="R308" i="1"/>
  <c r="P311" i="1"/>
  <c r="P310" i="1"/>
  <c r="P309" i="1"/>
  <c r="G337" i="2"/>
  <c r="P308" i="1"/>
  <c r="N309" i="1"/>
  <c r="N308" i="1"/>
  <c r="N310" i="1"/>
  <c r="N311" i="1"/>
  <c r="N312" i="1"/>
  <c r="L313" i="1"/>
  <c r="L312" i="1"/>
  <c r="L311" i="1"/>
  <c r="L310" i="1"/>
  <c r="L309" i="1"/>
  <c r="L308" i="1"/>
  <c r="K313" i="1"/>
  <c r="K312" i="1"/>
  <c r="K311" i="1"/>
  <c r="K310" i="1"/>
  <c r="K309" i="1"/>
  <c r="K308" i="1"/>
  <c r="J313" i="1"/>
  <c r="J312" i="1"/>
  <c r="J311" i="1"/>
  <c r="J310" i="1"/>
  <c r="J309" i="1"/>
  <c r="J308" i="1"/>
  <c r="H310" i="1"/>
  <c r="H311" i="1"/>
  <c r="H309" i="1"/>
  <c r="H308" i="1"/>
  <c r="G323" i="1"/>
  <c r="G322" i="1"/>
  <c r="G325" i="1"/>
  <c r="G324" i="1"/>
  <c r="G321" i="1"/>
  <c r="G320" i="1"/>
  <c r="G319" i="1"/>
  <c r="G318" i="1"/>
  <c r="G317" i="1"/>
  <c r="G316" i="1"/>
  <c r="G315" i="1"/>
  <c r="G314" i="1"/>
  <c r="G313" i="1"/>
  <c r="G312" i="1"/>
  <c r="G311" i="1"/>
  <c r="G310" i="1"/>
  <c r="G309" i="1"/>
  <c r="G308" i="1"/>
  <c r="F308" i="1"/>
  <c r="F309" i="1" s="1"/>
  <c r="D313" i="1"/>
  <c r="D312" i="1"/>
  <c r="D311" i="1"/>
  <c r="D310" i="1"/>
  <c r="D309" i="1"/>
  <c r="C312" i="1"/>
  <c r="C311" i="1"/>
  <c r="C310" i="1"/>
  <c r="C309" i="1"/>
  <c r="C308" i="1"/>
  <c r="F310" i="1" l="1"/>
  <c r="F311" i="1" s="1"/>
</calcChain>
</file>

<file path=xl/sharedStrings.xml><?xml version="1.0" encoding="utf-8"?>
<sst xmlns="http://schemas.openxmlformats.org/spreadsheetml/2006/main" count="3769" uniqueCount="787">
  <si>
    <t>Časová značka</t>
  </si>
  <si>
    <t>Jsem zaměstnavatel či podnikatel v oboru</t>
  </si>
  <si>
    <t>Zaměstnávám</t>
  </si>
  <si>
    <t>Zaměstnávám pracovníky, na jejichž kvalifikaci zákon klade požadavky (vykonávají tzv. regulovanou profesi)</t>
  </si>
  <si>
    <t>Pokud ano, jmenujte prosím tři nejvíce zastoupené regulované profese, které Vaši zaměstnanci vykonávají</t>
  </si>
  <si>
    <t>Zaměstnávám i pracovníky z jiných členských států EU (pokud jste živnostník, vztáhněte otázku na sebe)</t>
  </si>
  <si>
    <t>Pokud ano, o které povolání se převážně jedná?</t>
  </si>
  <si>
    <t>Při výběru vhodného pracovníka vnímám požadavky zákona na výkon jeho profese jako</t>
  </si>
  <si>
    <t>Máte-li na mysli něco konkrétního, budeme rádi za váš názor</t>
  </si>
  <si>
    <t>Pokud bych nebyl při výběru kandidátů omezen zákonnými požadavky, rozhodujícími faktory by pro mě byly [osvědčení o formálním vzdělání]</t>
  </si>
  <si>
    <t>Pokud bych nebyl při výběru kandidátů omezen zákonnými požadavky, rozhodujícími faktory by pro mě byly [doložená praxe a znalosti]</t>
  </si>
  <si>
    <t>Pokud bych nebyl při výběru kandidátů omezen zákonnými požadavky, rozhodujícími faktory by pro mě byly [ověření faktických schopností]</t>
  </si>
  <si>
    <t>Pokud jsou pro vás důležité i jiné okolnosti při výběru kandidáta, můžete je zmínit zde i s případným komentářem</t>
  </si>
  <si>
    <t>Setkal jsem se se zákonnými požadavky na kvalifikaci pracovníka, které mi působily potíže při výběru vhodného pracovníka</t>
  </si>
  <si>
    <t>Pokud ano, prosím, specifikujte, která povolání a požadavky na výkon máte na mysli</t>
  </si>
  <si>
    <t>Snížení či odstranění zákonných požadavků na výkon povolání v mém oboru bych</t>
  </si>
  <si>
    <t>Pokud máte na mysli něco konkrétního, můžete svůj názor vyjádřit zde</t>
  </si>
  <si>
    <t>Snížení či odstranění požadavků na výkon regulovaných povolání by dle mého názoru vedlo k</t>
  </si>
  <si>
    <t>Mám dostatek informací o Národní soustavě kvalifikací</t>
  </si>
  <si>
    <t>Domnívám se, že by dobrovolné získávání profesních kvalifikací mohlo nahradit některé kvalifikace ze seznamu regulací, tedy místo zákonné povinnosti by mohla být daná kvalifikační oblast nahrazena dobrovolným osvědčením o profesní kvalifikaci</t>
  </si>
  <si>
    <t>Pokud ano, u kterých regulovaných povolání byste tuto změnu doporučoval/a?</t>
  </si>
  <si>
    <t>Zde můžete svůj obor blíže specifikovat</t>
  </si>
  <si>
    <t>Zemědělství</t>
  </si>
  <si>
    <t>11-50 zaměstnanců</t>
  </si>
  <si>
    <t>Ano, jejich podíl ze všech zaměstnanců je 51-100%</t>
  </si>
  <si>
    <t>test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looooooooooooooooooooooooooooooooooooooooooooooooooooooooooooooooooooooooooooooooooooooooooooooooooooooooooooooooooooooooooooooooooooooooooooooooooooooooooooooooooojjjjjjjjjjjjjjjjjjjjjjjjjjjjjjjjjjjjjjjjjjjjjjjjjjjjjjjjjjjjjjjjjjjjjjjjjjjjjjjjjjjjjjjjjjjjjjjjjjjjjjjjjjjjjjjjjjjooooooooooooooooooooooooooooooooooooooooooooooooooooooooooooooooooooooooooooooooooooooooooooooooooooooooooooooooooooooooooooooooooooooooooooooooooooooooooooooooooooooooooooooo</t>
  </si>
  <si>
    <t>Ano, zaměstnávám pracovníky z jiných členských států EU, jejichž kvalifikace musí být v ČR úředně uznána (vykonávají regulované povolání)</t>
  </si>
  <si>
    <t>test</t>
  </si>
  <si>
    <t>Nepřiměřené omezení </t>
  </si>
  <si>
    <t>Ano, potíže mi způsobily požadavky na výkon profese</t>
  </si>
  <si>
    <t>Nesouhlasím se snížením požadavků na výkon profesí</t>
  </si>
  <si>
    <t>Snížení kvality výrobků a služeb, Zvýšení flexibility pracovního trhu, Snížení konkurence, test</t>
  </si>
  <si>
    <t>O systému nic nevím</t>
  </si>
  <si>
    <t>Ne</t>
  </si>
  <si>
    <t>Služby</t>
  </si>
  <si>
    <t>Jsem OSVČ</t>
  </si>
  <si>
    <t>Jsem OSVČ; na mou kvalifikaci zákon neklade žádné požadavky</t>
  </si>
  <si>
    <t>Nezaměstnávám zahraniční pracovníky</t>
  </si>
  <si>
    <t>Požadavky zákona na výkon profese mi nevadí</t>
  </si>
  <si>
    <t>Snížení kvality výrobků a služeb</t>
  </si>
  <si>
    <t>Národní soustavu kvalifikací a profesní kvalifikace jsou součástí personální politiky firmy</t>
  </si>
  <si>
    <t>Ano</t>
  </si>
  <si>
    <t>Sport, volný čas a vzdělávání</t>
  </si>
  <si>
    <t>Hornictví</t>
  </si>
  <si>
    <t>báňský projektant, geologické práce</t>
  </si>
  <si>
    <t>Nemám názor</t>
  </si>
  <si>
    <t>Snížení kvality výrobků a služeb, Zvýšení konkurence</t>
  </si>
  <si>
    <t>projektování</t>
  </si>
  <si>
    <t>Administrativa/finanční sektor</t>
  </si>
  <si>
    <t>1-10 zaměstnanců</t>
  </si>
  <si>
    <t>Ano; jejich podíl ze všech zaměstnanců je 1-50%</t>
  </si>
  <si>
    <t>danove poradenstci</t>
  </si>
  <si>
    <t>Školství</t>
  </si>
  <si>
    <t>51-250 zaměstnanců</t>
  </si>
  <si>
    <t>učitel střední školy, asistent zubního technika, všeobecná sestra, laboratorní asistent, farmaceutický asistent</t>
  </si>
  <si>
    <t>učitel střední školy, farmaceutický asistent</t>
  </si>
  <si>
    <t>Požadavky zákona na výkon profese mi pomáhají při výběru pracovníka</t>
  </si>
  <si>
    <t>schopnost dále se průběžně vzdělávat a prohlubovat svoji kvalifikaci</t>
  </si>
  <si>
    <t>Jsem OSVČ; na mou kvalifikaci zákon klade požadavky</t>
  </si>
  <si>
    <t>Mám několik informací o Národní soustavě kvalifikací, ale nepracuji s ní</t>
  </si>
  <si>
    <t>Konzultant pro oblast řízení školství</t>
  </si>
  <si>
    <t>Strojní průmysl</t>
  </si>
  <si>
    <t>Nezaměstnávám takové pracovníky</t>
  </si>
  <si>
    <t>Ano, ale zaměstnávám pouze pracovníky z jiných členských států EU, jejichž kvalifikace nemusí být v ČR úředně uznána (nevykonávají regulované povolání)</t>
  </si>
  <si>
    <t>Snížení kvality výrobků a služeb, Snížení konkurence</t>
  </si>
  <si>
    <t>UČITEL MATEŘSKÉ ŠKOLY , KUCHAŘKY A VEDOUCÍ ŠKOLNÍ JÍDELNY</t>
  </si>
  <si>
    <t>ŘEDITELKA MŠ</t>
  </si>
  <si>
    <t>zdravotnictví</t>
  </si>
  <si>
    <t>Stavební průmysl</t>
  </si>
  <si>
    <t>Příprava  a inženýring</t>
  </si>
  <si>
    <t>251 a více zaměstnanců</t>
  </si>
  <si>
    <t>Montáž, opravy, revize a zkoušky plynových zařízení a plnění nádob plyny 
Montáž, opravy, revize a zkoušky tlakových zařízení a nádob na plyny 
Montáž, opravy, revize a zkoušky elektrických zařízení</t>
  </si>
  <si>
    <t>Snížení kvality výrobků a služeb, Snížení cen produktů či služeb, Zvýšení konkurence</t>
  </si>
  <si>
    <t>výroba průmyslových armatur</t>
  </si>
  <si>
    <t>reference předchozího zaměstnavatele nebo klientů</t>
  </si>
  <si>
    <t>pekařství, cukrářství - péct se člověk může naučit sám, není nutné k tomu studovat příslušný obor, podstatné je spíš dodržování hygienických předpisů</t>
  </si>
  <si>
    <t>dotační poradenství není regulováno, u ostatních profesí je nutno zvážit každou jednotlivou zvlášť - např. lékař nebo projektant nemůže být každý, je nutná široká škála znalostí a dovedností, péct se ale každý může naučit sám, není nutné mít vzdělání v oboru pekař
významné rozvolnění regulace v odvětvích, kde je odpovídající vzdělání žádoucí, dle mého názoru povede k akorát k tomu, že se budou vytvářet seznamy kvalitních pracovníků v daných odvětvích (se vzděláním, referencemi), kteří budou poptáváni, a ostatní, kteří se dané profesi věnují bez splnění původních požadavků, stejně nebudou mít v konkurenci šanci uspět</t>
  </si>
  <si>
    <t>Snížení kvality výrobků a služeb, Zvýšení cen produktů či služeb</t>
  </si>
  <si>
    <t>u povolání, jejichž neodborný výkon nebude mít závažné následky - pokud pekař zkazí chleba, nic se nestane, pokud zkazí lékař operaci, zemře pacient</t>
  </si>
  <si>
    <t>dotační poradenství</t>
  </si>
  <si>
    <t>Znalosti a vědomosti v mém oboru zákon neřeší.</t>
  </si>
  <si>
    <t>komunikační schopnosti
osobní dojem</t>
  </si>
  <si>
    <t>Nemohu mít na tuto otázku jiný názor neboť profese, ve které pracuji  zákon vůbec neřeší.</t>
  </si>
  <si>
    <t>tanec</t>
  </si>
  <si>
    <t>zákon k mé profesi nic takového neřeší</t>
  </si>
  <si>
    <t>Fitness</t>
  </si>
  <si>
    <t>Poskytování sportovních a tělovýchovných služeb
Provozování solárií
Masérské a rekondiční služby</t>
  </si>
  <si>
    <t>Při práci s lidským zdravím, jako v našem případě, je nutné zachovat požadovanou odbornost pracovníků, kterou je možné efektivně regulovat jen z hlediska zákona.</t>
  </si>
  <si>
    <t>Snížení kvality výrobků a služeb, Snížení cen produktů či služeb</t>
  </si>
  <si>
    <t>Poskytovatel sportovních a rekondičních služeb</t>
  </si>
  <si>
    <t>Uvítal/a</t>
  </si>
  <si>
    <t>Zrušit nebo zjednodušit opakovanou zkoušku pro odborně způsobilou sobu v prevenci rizik. Uvítal bych systém povinného celoživotního vzdělávání jako mají například zdravotní sestry.</t>
  </si>
  <si>
    <t>Zvýšení kvality výrobků a služeb, Snížení cen produktů či služeb</t>
  </si>
  <si>
    <t>služby v oblasti bezpečnosti práce</t>
  </si>
  <si>
    <t>Snížení kvality výrobků a služeb, Zvýšení flexibility pracovního trhu</t>
  </si>
  <si>
    <t>Poradce BOZP(OZO)</t>
  </si>
  <si>
    <t>BOZP a PO</t>
  </si>
  <si>
    <t>osoba odporně způsobilá v prevenci rizik, požární ochraně</t>
  </si>
  <si>
    <t>Ano, potíže mi způsobila procedura uznávání odborné kvalifikace pracovníka </t>
  </si>
  <si>
    <t>opakovaná zkouška po 5 letech je pro odborně způsobilé osoby v prevenci rizik (BOZP) nesmyslně tvrdý požadavek např ve srovnání se autorizací ve stavebnictví. dostatečný by mohl být systém odborného vzdělávání podoby ČKAIT.</t>
  </si>
  <si>
    <t>Snížení kvality výrobků a služeb, Zvýšení kvality výrobků a služeb, Zvýšení flexibility pracovního trhu, Zvýšení konkurence</t>
  </si>
  <si>
    <t>poskytování služeb BOZP a PO zejm. průmyslovým podnikům</t>
  </si>
  <si>
    <t>Získání osvědčení.</t>
  </si>
  <si>
    <t>Získání některých osvědčení a "certifikátů" se stalo velmi komerční záležitostí. Náklady na získání určitých certifikátů se pohybují zcela zbytečně v řádu desítek tisíc korun. Přitom by stačila státní ověřovací zkouška a kolek za cca 1000Kč?</t>
  </si>
  <si>
    <t>Bezpečnost a ochrana zdraví při práci, požární ochrana</t>
  </si>
  <si>
    <t>Zdravotnictví</t>
  </si>
  <si>
    <t>nutriční terapeut, cvičitel fitness</t>
  </si>
  <si>
    <t>požadavky na profesní zkoušky</t>
  </si>
  <si>
    <t>dlouhodobé zvyšování kvalifikace</t>
  </si>
  <si>
    <t>poradenství zdravého životního stylu</t>
  </si>
  <si>
    <t>Zpracovatelský průmysl</t>
  </si>
  <si>
    <t>Zvýšení flexibility pracovního trhu, Zvýšení konkurence</t>
  </si>
  <si>
    <t>Zvýšení konkurence</t>
  </si>
  <si>
    <t>střední školství</t>
  </si>
  <si>
    <t>OZO v prevenci rizik
Koordinátor BOZP staveb
OZO v požární ochraně
autorizovaný ing.  požární bezpečnosti staveb
autorizovaný ing.  pozemní stavby
advokátní služby</t>
  </si>
  <si>
    <t>poradenství PO a BOZP</t>
  </si>
  <si>
    <t>bezpečnost práce</t>
  </si>
  <si>
    <t>Opakování zkoušky odborné způsobilosti 1x za 5 let - nepřiměřené náklady ( čas na přípravu, peníze za zkoušku každých 5 let ). Zaměstnávám odborníky s praxí, která je pro mě měřítkem, ne papír, který musím každých 5 let znovu platit.</t>
  </si>
  <si>
    <t>Praxe - prověření ve firmách, jakým způsobem vyhledává rizika, co umí, jaký má přehled, co zná.</t>
  </si>
  <si>
    <t>Odborně způsobilá osoba v prevenci rizik - odborník s 20 letou praxí, ovšem bez maturity je pro zákon "méně" než sekretářka, kterou zaměstnavatel vyšle na zkoušky a ona je udělá, byť o procesu BOZP nic neví, vše je jen "naučené", pro praxi nepoužitelné.</t>
  </si>
  <si>
    <t>Opakování zkoušky odborné způsobilosti po 5 letech. Postačí např. nějaké tabulky, že za rok se zúčastnil seminářů na úseku BOZP, toto by bylo zařazeno do celoživotního vzdělávání. Stejně jej na odborné semináře vysílám.</t>
  </si>
  <si>
    <t>Snížení cen produktů či služeb</t>
  </si>
  <si>
    <t>Odborně způsobilá osoba v prevenci rizik, Koordinátor na staveništi.</t>
  </si>
  <si>
    <t>OZO BOZP</t>
  </si>
  <si>
    <t>odborně způsobilá osoba v prevenci rizik,
koordinátor BOZP,
odborně způsobilá osoba v požární ochraně</t>
  </si>
  <si>
    <t>V případě odborně způsobilé osoby v prevenci rizik či koordinátora BOZP při práci na staveništi je doba platnosti osvědčení na 5 let, tento požadavek je absurdní a v praxi přináší jen další zátěž, kdy si zaměstnavatelé musí hlídat jeho platnost a investovat nemalé náklady na opětovné přezkoušení zaměstnanců, kdy mu pak tyto prostředky mohou chybět na další vzdělávání zaměstnanců v rámci jiných kurzů.
Argument, že je nutné po nějaké době ověřit znalosti uchazeče neobstojí, protože odborně způsobilé osoby v požární ochraně mají platnost osvědčení na dobu neomezenou a nikdo nikdy nedospěl k závěru, že by takovýto lidé měli nedostatečné znalosti. Není možné, že pokud takovýto přístup funguje v oblasti požární ochrany, aby nefungoval i v oblasti BOZP.</t>
  </si>
  <si>
    <t>znalosti osoby, praxe bývá mnohdy zbytečně velmi přeceňována.</t>
  </si>
  <si>
    <t>omezení platnosti osvědčení na 5 let u odborně způsobilé osoby v prevenci rizik a koordinátora BOZP, kdy jsem musel odmítnout významnou zakázku z důvodu, že se zaměstnanci zrovna připravovaly na přezkoušení a neměli, tak čas se ji dostatečně věnovat.</t>
  </si>
  <si>
    <t>uvítal bych zrušení omezení platnosti osvědčení na 5 let u odborně způsobilé osoby v prevenci rizik a koordinátora BOZP, tak aby byla jeho platnost na dobu neurčito jako je tomu v oblasti odborné způsobilosti v požární ochraně, kde tento systém funguje již řadu let</t>
  </si>
  <si>
    <t>zvýšení konkurenceschopnosti vůči ostatním zahraničním subjektům</t>
  </si>
  <si>
    <t>Technicko-organizační činnost v oblasti požární ochrany, Poskytování služeb v oblasti bezpečnosti a ochrany zdraví při práci</t>
  </si>
  <si>
    <t>BOZP a PO jako odborně způsobilé osoby na ŽL</t>
  </si>
  <si>
    <t>kvalitu pracovníka nezajistí jen doložení kvalifikace, ale hlavně to, jak si poradí s praktickými věcmi při řešení problémů.</t>
  </si>
  <si>
    <t>Opakovaná zkouška OZO v BOZP - starší, zkušení pracovníci ji nechtějí znovu po 5 letech absolvovat, navíc rozsah je pro školství zcela zbytečný, BOZ dětí, žáků studentů v této zkoušce není vůbec obsaženo. Pro zajištění BOZP a BOZ ve školství pouze 1 zkoušku v OZO, a třeba po 5 letech jen specifikaci v BOZ pro školy, kde by garantem bylo MŠMT.</t>
  </si>
  <si>
    <t>POMOCI ŠKOLÁM</t>
  </si>
  <si>
    <t>OZO v BOZP pro školství</t>
  </si>
  <si>
    <t>ředitelka školy</t>
  </si>
  <si>
    <t>realitní činnost</t>
  </si>
  <si>
    <t>oceňování majetku pro věci nemovité</t>
  </si>
  <si>
    <t>živnost oceňování majetku pro věci nemovité obsahuje ustanovení §60 zákona o vys.školách, díky kterému se můj zaměstnanec musel povinně vzdělávat na vysoké škole. Na vysoké škole mu sdělili, že §60 je jen čistě formální označení pořádaných kurzů. Díky tomu nebylo možné absolvovat patřičný kurz např. na střední škole stavební. Zakotvení §60 u požadavků živnosti považuji nepochopitelné a myslím si, že jde o podléhání zájmům lobby vysokých škol s monopolem pro určité vzdělání.</t>
  </si>
  <si>
    <t>odstranění ustanovení § 60 zák. o vys.školách</t>
  </si>
  <si>
    <t>Realitní činnost</t>
  </si>
  <si>
    <t>Studuji tzv. kurz celoživotního vzdělávání na vysoké škole, protože to vyžaduje živnost Oceňování majetku pro věci nemovité. Dle mého názoru, ministerstva znemožňují konkurenci u této živnosti tím, že uvádí paragraf 60 zák. O vys. školách do podmínek k získání živnosti a tím mě a ostatní studenty nutí studovat poměrně drahý kurz pouze na vysoké škole. Par. 60 zákona O vys. školách uvedený u živnosti oceňováni majetku představuje potlačování konkurence, zvýhodňování vysokých škol a udržování vysokých cen, bohužel ke škodě studentů.</t>
  </si>
  <si>
    <t>ovládat český jazyk, 
ovládat práci na PC,
slušné a seriozní chování a vystupování</t>
  </si>
  <si>
    <t>bezpečnost práce</t>
  </si>
  <si>
    <t>Snížení flexibility pracovního trhu, Snížení konkurence</t>
  </si>
  <si>
    <t>kadeřník</t>
  </si>
  <si>
    <t>znalecký ústav</t>
  </si>
  <si>
    <t>oceňování nemovitostí</t>
  </si>
  <si>
    <t>Regulovaná živnost oceňování majetku pro věci nemovité je omezena v rozhodujících bodech vzdělání absolvováním celoživotního vzdělávání dle § 60 zákona o vysokých školách. Existence § 60 pro mě znamená, že náš ústav, který není vysokou školou, se nemůže účastnit vzdělávání zájemců, přestože po odborné stránce jsme na to více než dobře vybaveni.  § 60 uvedený ve zmíněné živnosti představuje relikt, který si prosadila lobby vysokých škol, který chrání před konkurencí.</t>
  </si>
  <si>
    <t>odstranění § 60 zák.o vys.školách z požadavků uvedené živnosti</t>
  </si>
  <si>
    <t>Zvýšení konkurence, a zároveň ke zvýšení kvality absolventů</t>
  </si>
  <si>
    <t>Energetika </t>
  </si>
  <si>
    <t>veškeré profese spojené s provozováním jaderného zařízení</t>
  </si>
  <si>
    <t>Poskytování tělovýchovných služeb</t>
  </si>
  <si>
    <t>fitness</t>
  </si>
  <si>
    <t>slévárenský dělník
obráběč kovů
kovomodelář
řidič VZV</t>
  </si>
  <si>
    <t>obchodní zástupce pro export</t>
  </si>
  <si>
    <t>provozní elektrikář</t>
  </si>
  <si>
    <t>U neohrožujících lidské zdraví.</t>
  </si>
  <si>
    <t>Zvýšení flexibility pracovního trhu</t>
  </si>
  <si>
    <t>IT sektor</t>
  </si>
  <si>
    <t>Snížení cen produktů či služeb, Zvýšení konkurence</t>
  </si>
  <si>
    <t>výroba tlakových nádob</t>
  </si>
  <si>
    <t>měkké dovednosti, postoj</t>
  </si>
  <si>
    <t>V případě lektora dalšího vzdělávání bych naopak přivítala větší a náročnější bariéry při vstupu na trh.</t>
  </si>
  <si>
    <t>další vzdělávání</t>
  </si>
  <si>
    <t>daňové poradenství, účetnictví</t>
  </si>
  <si>
    <t>Zvýšení flexibility pracovního trhu, Snížení cen produktů či služeb, Zvýšení konkurence</t>
  </si>
  <si>
    <t>polygrafická výroba</t>
  </si>
  <si>
    <t>reference, víceprofesnost</t>
  </si>
  <si>
    <t>výroba ocelových kontrukcí</t>
  </si>
  <si>
    <t>Teplárenství</t>
  </si>
  <si>
    <t>pedagog na střední škole</t>
  </si>
  <si>
    <t>Marketing</t>
  </si>
  <si>
    <t>Doprava</t>
  </si>
  <si>
    <t>zedník, tesař, elektrikář</t>
  </si>
  <si>
    <t>Snížení kvality výrobků a služeb, Zvýšení flexibility pracovního trhu, Zvýšení cen produktů či služeb</t>
  </si>
  <si>
    <t>autorizovaný ing., revizní technik ZZ, revizní technik tlak. zařízení</t>
  </si>
  <si>
    <t>výroba tlakových nádob</t>
  </si>
  <si>
    <t>Ano, potíže mi způsobily požadavky na výkon profese, Ano, potíže mi způsobila procedura uznávání odborné kvalifikace pracovníka </t>
  </si>
  <si>
    <t>projektant stavebních konstrukcí
statik stavebních konstrukcí</t>
  </si>
  <si>
    <t>zámečník
soustružník
strojník</t>
  </si>
  <si>
    <t>nemám názor</t>
  </si>
  <si>
    <t>závodní
autorizovaný inženýr</t>
  </si>
  <si>
    <t>vodní hospodářství</t>
  </si>
  <si>
    <t>345.   OBRÁBĚČSTVÍ
343.   ZÁMEČNICTVÍ, NÁSTROJAŘSTVÍ</t>
  </si>
  <si>
    <t>technický pracovník v obchodním úseku</t>
  </si>
  <si>
    <t>ubytování</t>
  </si>
  <si>
    <t>slévárenství</t>
  </si>
  <si>
    <t>Výroba nábytku</t>
  </si>
  <si>
    <t>čalouník</t>
  </si>
  <si>
    <t>Nábytkářský průmysl, čalounictví</t>
  </si>
  <si>
    <t>projektant stavební
projektant tlakových částí
projektant technolog</t>
  </si>
  <si>
    <t>Chuť k dlouhodobé práci v oboru, akceptace dlouhodobějšho nepřetržitého pobytu v zahraničí na sl. cestě.</t>
  </si>
  <si>
    <t>obec</t>
  </si>
  <si>
    <t>stavebnictví</t>
  </si>
  <si>
    <t>obchod</t>
  </si>
  <si>
    <t>účetní (všechny druhy), personalisté,</t>
  </si>
  <si>
    <t>obchodník</t>
  </si>
  <si>
    <t>distribuce elektro vlastní značky</t>
  </si>
  <si>
    <t>V mém oboru nejsou žádné zákonné požadavky na výkon povolání. Jsem OSVČ s volnou živností.</t>
  </si>
  <si>
    <t>Zvýšení flexibility pracovního trhu, Snížení cen produktů či služeb</t>
  </si>
  <si>
    <t/>
  </si>
  <si>
    <t>Píši projekty, žádosti o granty a nadační příspěvky, pomáhám sehnat peníze pro rozvoj veřejného i neziskového sektoru.</t>
  </si>
  <si>
    <t>Slevac, jerabnik, strojnik</t>
  </si>
  <si>
    <t>Viz vyse</t>
  </si>
  <si>
    <t>Kdyz nic jineho zvysuje to naklady.</t>
  </si>
  <si>
    <t>tezke strojirenstvi</t>
  </si>
  <si>
    <t>zdravotní sestra, fyzioterapeut, lékař</t>
  </si>
  <si>
    <t>fyzioterapeut</t>
  </si>
  <si>
    <t>lázeňství</t>
  </si>
  <si>
    <t>Projektant instalace elektrických zařízení</t>
  </si>
  <si>
    <t>autokarosář, autolakyrník, obchodní manažer</t>
  </si>
  <si>
    <t>121, 118,645,325,147,670</t>
  </si>
  <si>
    <t>JSEM ELEKTROPROJEKTANT, SOUČASNĚ I AUTORIZOVANÝ TECHNIK, ALE PRO DOLY PROJEKTOVAT NESMÍM.</t>
  </si>
  <si>
    <t>řidiči MHD, revizní technici</t>
  </si>
  <si>
    <t>nedostatek řidičů na trhu práce, velmi nákladné lékařské prohlídky</t>
  </si>
  <si>
    <t>MHD</t>
  </si>
  <si>
    <t>požární technika</t>
  </si>
  <si>
    <t>657, 658, 607, 5O8, 120</t>
  </si>
  <si>
    <t>V oblasti servisu tlakových nádob a ocelových lahví užívaných jako nádoby hasících přístrojů jsou ve vzájemném nesouladu ČSN a EN každá říká něco jiného a navíc se do toho zamíchává sdružení výrobců a tím vzniká soubor požadavků ve vzájemném nesouladu, které však pracovník musí splňovat.</t>
  </si>
  <si>
    <t>servisní technik hasících přístrojů a zařízení</t>
  </si>
  <si>
    <t>Aby platila jedna norma a ne dvě na jednu a tutéž věc a tím pádem by stačilo oprávnění podle jedné normy tudíž jedno.</t>
  </si>
  <si>
    <t>servisní technik hasících přístrojů</t>
  </si>
  <si>
    <t>servis požární techniky</t>
  </si>
  <si>
    <t>výstavba, údržba elektro rozvodných zařízení</t>
  </si>
  <si>
    <t>musí mít chuť pracovat a musí ho profese bavit, průběžně se vzdělávat a snažit se zvyšovat si kvalifikaci</t>
  </si>
  <si>
    <t>Bylo by vhodné zavést pracovníky pomocných profesí, kteří by vykonávali méně odborné práce a u těch je problém s odbornou kvalifikací</t>
  </si>
  <si>
    <t>Poradenství</t>
  </si>
  <si>
    <t>Poradenství v oblasti balení a odesílání nebezpečného zboží</t>
  </si>
  <si>
    <t>správa obce</t>
  </si>
  <si>
    <t>Vodárenství</t>
  </si>
  <si>
    <t>Vedoucí střediska monitoringu</t>
  </si>
  <si>
    <t>silniční motorová doprava</t>
  </si>
  <si>
    <t>Rostlinná a živočišná výroba</t>
  </si>
  <si>
    <t>odstranění zákonem nařízených požadavků by podle mne vedlo k tomu, že uchazeči sami by věnovali mnohem větší péči svému dobrovolnému vzdělávání a zmizely by formální kvalifikace "pro papír"</t>
  </si>
  <si>
    <t>Zvýšení kvality výrobků a služeb, Zvýšení flexibility pracovního trhu, Snížení cen produktů či služeb, Zvýšení konkurence</t>
  </si>
  <si>
    <t>u všech</t>
  </si>
  <si>
    <t>asistent auditora</t>
  </si>
  <si>
    <t>daňové poradenství, audit</t>
  </si>
  <si>
    <t>autorizovaný inženýr
bezpečnostní technik</t>
  </si>
  <si>
    <t>montáž elektrických zařízení, montáž plynových zařízení,</t>
  </si>
  <si>
    <t>výroba gastronomických zařízení</t>
  </si>
  <si>
    <t>integrovaný záchranný systém</t>
  </si>
  <si>
    <t>vedoucí strojní výroby, šička-mongolsko</t>
  </si>
  <si>
    <t>tyto specifické požadavky neznám, ale myslím si, že by se mělo postupovat podle ověřených zkušeností ze zahraničí, nám blízkých států. A spíše uvolnění podmínek kvůli konkurenci z východu.</t>
  </si>
  <si>
    <t>ochota pracovat a učit se</t>
  </si>
  <si>
    <t>ano, nechala bych to na zodpovědnosti jednotlivců a zaměstnavatelů</t>
  </si>
  <si>
    <t>výrobce pro tento sektor</t>
  </si>
  <si>
    <t>Realizace projektů ESF</t>
  </si>
  <si>
    <t>vodovody a kanalizace</t>
  </si>
  <si>
    <t>Vývoj, výzkum, konstrukce, výroba</t>
  </si>
  <si>
    <t>čerpací technika pro průmysl</t>
  </si>
  <si>
    <t>finanční poradenství</t>
  </si>
  <si>
    <t>Provozní elektrikář
Zkoušeč (el. zařízení)
řidič</t>
  </si>
  <si>
    <t>Výroba elektrických strojů</t>
  </si>
  <si>
    <t>Kontrola těsnosti chladicích a klimatizačních zařízení obsahujících regulované látky nebo fluorované skleníkové plyny</t>
  </si>
  <si>
    <t>Montáž, opravy, revize a zkoušky elektrických zařízení
Energetický specialista</t>
  </si>
  <si>
    <t>u všech těch profesí, u kterých přebujelá byrokracie nařídila povinou profesní kvalifikaci jen proto aby omezila konkurenci na trhu</t>
  </si>
  <si>
    <t>Slévarenství a modelářství</t>
  </si>
  <si>
    <t>svářeči, elektromechanici, lakýrníci</t>
  </si>
  <si>
    <t>obecně</t>
  </si>
  <si>
    <t>K této odpovědi nemám potřebné informace z uvedené oblasti. Proto uvádím ne.</t>
  </si>
  <si>
    <t>kovoobráběčství</t>
  </si>
  <si>
    <t>Zvýšení kvality výrobků a služeb, Zvýšení flexibility pracovního trhu, Snížení konkurence</t>
  </si>
  <si>
    <t>Biotechnologie</t>
  </si>
  <si>
    <t>Výroba strojů pro zpracovávání biologicky rozložitelných odpadů</t>
  </si>
  <si>
    <t>polygrafie</t>
  </si>
  <si>
    <t>tisk</t>
  </si>
  <si>
    <t>Městský úřad</t>
  </si>
  <si>
    <t>velitel SDH
auditor
sociální pracovník</t>
  </si>
  <si>
    <t>učitel, vychovatel, kuchař</t>
  </si>
  <si>
    <t>ostraha osob</t>
  </si>
  <si>
    <t>řidič nákladního automobilu, tahače
řidič autobusu</t>
  </si>
  <si>
    <t>snížení bezpečnosti dopravy</t>
  </si>
  <si>
    <t>výroba</t>
  </si>
  <si>
    <t>obráběčství
zámečnictví, nástrojářství
silniční doprava</t>
  </si>
  <si>
    <t>Snížení kvality výrobků a služeb, Zvýšení flexibility pracovního trhu, Zvýšení konkurence</t>
  </si>
  <si>
    <t>výroba krbových kamen</t>
  </si>
  <si>
    <t>prodej hudebních nástrojů</t>
  </si>
  <si>
    <t>Skladování</t>
  </si>
  <si>
    <t>Snížení kvality výrobků a služeb, Zvýšení flexibility pracovního trhu, Snížení cen produktů či služeb, Zvýšení konkurence</t>
  </si>
  <si>
    <t>Zajišťování úkolů v prevenci rizik v oblasti BOZP
Autorizovaný inženýr
Autorizovaný technik</t>
  </si>
  <si>
    <t>obchodní zástupce</t>
  </si>
  <si>
    <t>Obráběčství, zámečnictví,nástrojářství</t>
  </si>
  <si>
    <t>textil</t>
  </si>
  <si>
    <t>technik</t>
  </si>
  <si>
    <t>výroba tkanin</t>
  </si>
  <si>
    <t>ručení za firmu člověkem který o vykonávané práci nemá ponětí</t>
  </si>
  <si>
    <t>z mého pohledu jde zejména o stavby ekologické,pasivní</t>
  </si>
  <si>
    <t>dřevostavby</t>
  </si>
  <si>
    <t>autorizovanný inženýr
autorizovaný technik
energetický specialista</t>
  </si>
  <si>
    <t>Regulované jednotky (CZ) kód: 92, 93, 640, 138, 44, 378, 658, 540, 121, 607, 508, 345, 12, 634, 670, 124, 393, 379, 415, 355, 245, 343, 2, 4, 376</t>
  </si>
  <si>
    <t>dodávky technologických celků a služeb</t>
  </si>
  <si>
    <t>chov nutrií</t>
  </si>
  <si>
    <t>elektromontér - byrokracie pro přiznání kvalifikace v případě chybějícího odborného vzdělání</t>
  </si>
  <si>
    <t>Zvýšení kvality výrobků a služeb, Zvýšení flexibility pracovního trhu, Snížení cen produktů či služeb, Zvýšení cen produktů či služeb, Zvýšení konkurence</t>
  </si>
  <si>
    <t>řemeslné profese</t>
  </si>
  <si>
    <t>Aktuálně pracuji jako realitní makléř a studuji na VUT Brno kurz oceňování nemovitostí. Mám výhrady vůči živnosti oceňování majetku pro věci nemovité. § 60 uvedený u této živnosti je nepochopitelný a přinutil mě studovat na VUT. Neexistuje nabídka tohoto kurzu od agentur nebo firem, dle mě se jedná o lobby podporu vysokých škol ukotvenou v zákoně. A já jsem patrně jeden z těch, který na to doplácí.</t>
  </si>
  <si>
    <t>odstranění §60</t>
  </si>
  <si>
    <t>vzdělávání</t>
  </si>
  <si>
    <t>Finance</t>
  </si>
  <si>
    <t>zedník</t>
  </si>
  <si>
    <t>vzdělání zedníků v oboru</t>
  </si>
  <si>
    <t>řemesla</t>
  </si>
  <si>
    <t>Zámečnictví, nástrojářství, malířství, lakýrnictví, natěračství</t>
  </si>
  <si>
    <t>Kolejová vozidla, letecký průmysl, automobilový průmysl</t>
  </si>
  <si>
    <t>lakýrnictví, natěračství
zámečnictví, nástrojářství</t>
  </si>
  <si>
    <t>výroba obytných kontejnerů</t>
  </si>
  <si>
    <t>Zvýšení kvality výrobků a služeb, Zvýšení flexibility pracovního trhu, Zvýšení konkurence</t>
  </si>
  <si>
    <t>tavič, slévárenský dělník, brusič, slévač, jádrař, formíř, odlévač, cídič</t>
  </si>
  <si>
    <t>ne</t>
  </si>
  <si>
    <t>Pohostinství</t>
  </si>
  <si>
    <t>sládek/sladovník
číšník/servírka
kuchař/kuchařka</t>
  </si>
  <si>
    <t>Musím si na dohodu o provedení práce zaměstnat kvalifikovanou osobu jako odborného garanta pro živnost. Je to ovšem jen formální vztah, protože problematiku znám. Pro tyto živnosti by stačil krátký rekvalifikační kurz, který se nenabízí nebo živnostenské úřady neuznávají, protože není akreditovaný. Další konzultace by stačila od firmy zavádějící technologii nebo na základě faktuře o poradenské činnosti.</t>
  </si>
  <si>
    <t>Pracovitost, poctivost (většina číšníků a servírek bere kvalifikaci jako doklad k okrádání a vydírání zaměstnavatele), organizační schopnosti, osobní charakter, jednání s lidmi, snaha se učit</t>
  </si>
  <si>
    <t>5-letá praxe v chemickém podniku, 3-letá praxe v potravinářském podniku a 15-letité zkušenosti s vařením piva (včetně 5-leté praxe v pivovaře) na živnostenském úřadu nestačí na zapsání živnosti pivovarnictví.</t>
  </si>
  <si>
    <t>Na hostinskou činnost (provozování hospody nebo baru) bych zrušil požadavek na kvalifikaci číšníka/servírky. Natočit a odnést pivo umí po zaškolení každý, stejně tak sečíst útratu. Kvalitu a hygienu přece kontrolují pracovníci hygieny.
Také provozovat hostinský pivovar bez garanta by bylo narovnání současného stavu. Často jen formální stav.</t>
  </si>
  <si>
    <t>číšník/servírka
pivovarník/sladovník (znalosti si ověří zaměstnavatel)</t>
  </si>
  <si>
    <t>pojišťovací poradce</t>
  </si>
  <si>
    <t>pojišťovnictví</t>
  </si>
  <si>
    <t>operátor
skladník</t>
  </si>
  <si>
    <t>chování a odpovědi na otázky v průběhu přijímacího pohovoru, příp. praktických zkoušek</t>
  </si>
  <si>
    <t>obecně ano, konkrétní povolání nedokážu specifikovat</t>
  </si>
  <si>
    <t>dodavatel v automobilovém průmyslu</t>
  </si>
  <si>
    <t>výrobní průmysl</t>
  </si>
  <si>
    <t>Strojírenský technik</t>
  </si>
  <si>
    <t>u některých řemeslných živností - např. stavebnictví, někdo má x let praxe, ale nemůže získat konkrétní živnost jen proto, že nemá dostatečné vzdělání. Myslím, že praxe a ukázání toho, že člověk něco umí dělat pořádně a správně je důležitější než dosažené vzdělání</t>
  </si>
  <si>
    <t>výroba PE obalů</t>
  </si>
  <si>
    <t>administrativa
lektor</t>
  </si>
  <si>
    <t>realitní makléřka</t>
  </si>
  <si>
    <t>nesouhlasím s tím, aby u živnosti Oceňování majetku pro věci nemovité bylo nutné absolvovat kurz téměř pouze dle §60 (na vysoké škole), tedy posuzovat pořadatele kurzu, jestli spadá pod §60 zák.o vysok.školách. §60 nepředstavuje žádnou zvýšenou kvalitu vzdělání, je to jen lobby podpora vysokých škol, což mohu potvrdit jako současná studentka. Jako realitní makléřka bych ráda živnost oceňování v budoucnu získala. Z důvodu §60 je nabídka kurzu omezena a za vysokou cenu.</t>
  </si>
  <si>
    <t>viz výše</t>
  </si>
  <si>
    <t>obráběčství, slévárenství, modelářství, jednorázové měření emisí</t>
  </si>
  <si>
    <t>výzkum a vývoj v oblasti technických věd</t>
  </si>
  <si>
    <t>I s mou kolegyní jsme se shodly na nesmyslnosti podpory vysokých škol, které udržujete přes existenci § 60 u živnosti Oceňování majetku pro věci nemovité. Udržujete tím uměle nízkou konkurenci. § 60 zákona o vys.školách nemá u zmíměné živnoti v kvalifikačních požadavcích opodstatnění. Děkuji za možnost vyjádření názoru.</t>
  </si>
  <si>
    <t>zrušení § 60  u živnosti oceňování majetku</t>
  </si>
  <si>
    <t>realitní makléřka OSVČ</t>
  </si>
  <si>
    <t>Polygrafické profese</t>
  </si>
  <si>
    <t>PC poradenství</t>
  </si>
  <si>
    <t>Investiční zprostředkovatel
Poskytování nebo zprostředkování spotřebitelského úvěru
pojištění</t>
  </si>
  <si>
    <t>Certifikace, testy mi v zásadě nevadí. Nicméně byl bych mnohem raději za dobrovolnou certifikaci. V současné době je to povinná formalita, jejich testy neodpovídají požadavků praxe. Dobrovolnost by zapříčinila, že certifikace by měla smysl jen tehdy, pokud by o něčřemsvědčila, takže vy úředníci byste byly motivováni testy zlepšovat. 
Povinné placení poplatku je jen další daň bez reálného vlivu na pročištění trhu, spíše naopak.Trh se pročistí jedině otevřeností, ne byrokracií. Regulujte a vytvářejte  ukazatele typu RPSN a jiné náklady, pravidla a vysvětlujte jejich význam spotřebitelům, aby se dle nich řídili. Uvážlivě!</t>
  </si>
  <si>
    <t>První dojem, resp. jeho přirozená schopnost pomoci či schopnost obcházet, resp. motivace proč to chce dělat.</t>
  </si>
  <si>
    <t>Poplatky za certifikaci, nyní každoroční.</t>
  </si>
  <si>
    <t>Poplatky, testy</t>
  </si>
  <si>
    <t>Právníci, advokáti, finanční poradci, investiční zprostředkovatelé. Pravděpodobně mnoho dalších, nicméně o nich nemám dostatek informací pro toho, abych byl schopen a ochoten něco doporučovat.</t>
  </si>
  <si>
    <t>Finanční poradce (investice, pojištění, důchody)</t>
  </si>
  <si>
    <t>Geodézie</t>
  </si>
  <si>
    <t>Geodet</t>
  </si>
  <si>
    <t>Pro obor geodézie a pro práci v katastru nemovitostí je kvalifikace pracovníka velice nutná. Povolání předpokládá poměrně široké znalosti z oblasti matematiky a práva, což jsou obory, které se u většiny lidí příliš neslučují.</t>
  </si>
  <si>
    <t>Geodézii nemůže dělat člověk nekvalifikovaný, především proto, že postupy jsou dnes již značně zautomatizované a naučí se je každý. Ale pouze člověk kvalifikovaný je dokáže správně aplikovat, nekvalifikovaní lidé by mohli napáchat spoustu škod, ať již v katastru nemovitostí tak i ve výstavbě.</t>
  </si>
  <si>
    <t>Snížení kvality výrobků a služeb, Zvýšení flexibility pracovního trhu, Právní jistotu zákazníků</t>
  </si>
  <si>
    <t>Cestovní ruch</t>
  </si>
  <si>
    <t>Výroba regálové techniky</t>
  </si>
  <si>
    <t>auditor, daňové poradenství, advokát</t>
  </si>
  <si>
    <t>Umět aplikovat teorii do praxe a vysvětlit.</t>
  </si>
  <si>
    <t>V případě zrušení zák.omezení, nebude zajištěna již žádná "kvalita". Tyto profese začnou vykonávat lidé, kteří o dané
problematice nebudou nic vědět ( tj. teoreticky ani prakticky). V praxi to bude znamenat pro příjemce (zákazníky) negativní dopad.
Zvláště v dnešní rychlé době plně změn, je potřeba odborníky a 
ne vracet se do zpět, aby každý mohl dělat cokoliv. Již v době kamenné byla dělba práce.</t>
  </si>
  <si>
    <t>flexibilita</t>
  </si>
  <si>
    <t>výroba obuvi</t>
  </si>
  <si>
    <t>Polygrafie</t>
  </si>
  <si>
    <t>Snížení kvality výrobků a služeb, Zvýšení flexibility pracovního trhu, Snížení cen produktů či služeb</t>
  </si>
  <si>
    <t>sociální služby</t>
  </si>
  <si>
    <t>Sociální pracovník
pracovník v sociálních službách</t>
  </si>
  <si>
    <t>sociální pracovník</t>
  </si>
  <si>
    <t>provádění inženýringu</t>
  </si>
  <si>
    <t>Mám výhrady vůči podmínkám získávání živnosti oceňování majetku pro věci nemovité. §60 uvedený v podmínkách živnosti, přesněji §60 zák.o vys.školách odkazuje na celoživotní vzdělávání a zcela jistě jde o protěžování a zvýhodňování vysokých škol na trhu vzdělávání. Jiní poskytovatelé odborného vzdělávání jsou vyloučeni. Jako důsledek toho je nucen můj zaměstnanec studovat tento kurz z velmi omezené nabídky vysokých škol, zbytečně cestovat a následně nahrazovat pracovní dobu.</t>
  </si>
  <si>
    <t>uvedeno výše, § 60</t>
  </si>
  <si>
    <t>inženýrská činnost ve výstavbě</t>
  </si>
  <si>
    <t>1. učitel prvního stupně základní školy
2. učitel druhého stupně základní školy
3. vychovatel</t>
  </si>
  <si>
    <t>- osobnostní předpoklady pro výkon povolání (vztah k profesi, psychická odolnost pro výkon učitelského povolání, schopnost týmové spolupráce, empatie atd.)</t>
  </si>
  <si>
    <t>Odborník vzdělaný v určitem oboru např. inženýr strojař absolvuje v rámci celoživotního vzdělávání kurz "pedagogického minima" a je uznán jako plně kvalifikovaný pedagog, který pedagogiku studuje 5 let.
To "dovzdělání" nezajišťuje, že bude kvalitním pedagogem - vzbudí zájem o obor, zvládne metodiku výuky souvisejícího předmětu či oboru.</t>
  </si>
  <si>
    <t>Elektromechanik strojů a zařízení</t>
  </si>
  <si>
    <t>nemohu hodnotit</t>
  </si>
  <si>
    <t>výroba kovového nábytku</t>
  </si>
  <si>
    <t>architekt, autorizovaný projektant (obojí Česká komora architektů), posuzování vlivů na životní prostředí (Ministerstvo životního prostředí)</t>
  </si>
  <si>
    <t>Jedna věc jsou teoretické požadavky, druhá věc pak jejich splnění v praxi a kontrola tohoto plnění. V oblasti územního plánování k tomu nedochází vůbec, ačkoli je k tomu Česká komora architektů i Ministerstvo pro místní rozvoj určeno.
Obecně - jedna věc jsou požadavky, druhá pak zda jsou jen pro formu, či míněny vážně, tzn. opravdu vyžadovány a kontrolovány.
Pokud by tomu tak bylo např. v našem oboru, mnoho architektů by nemohlo působit.</t>
  </si>
  <si>
    <t>viz předchozí komentář.</t>
  </si>
  <si>
    <t>územníá plánování</t>
  </si>
  <si>
    <t>Považuji za porušení hospodářské soutěže ukotvení §60 zák.o Vysok.školách do podmínek k získání živnosti Oceň.majetku pro věci nemovité. Tento paragraf znamená  pouze podporu vysokých škol, na úkor volné soutěže. Díky tomu je nízká nabídka tohoto školení. Jako současná studentka kurzu oceňování to vím z osobní zkušenosti.</t>
  </si>
  <si>
    <t>lobby podpora vysokých škol  a nesmyslnost § 60 vysokoškol.zákona v živnosti</t>
  </si>
  <si>
    <t>uvedeno výše. Odstranění § 60 .........ve prospěch dalších studentů</t>
  </si>
  <si>
    <t>projekční činnost</t>
  </si>
  <si>
    <t>rozpočtování staveb</t>
  </si>
  <si>
    <t>Zařazení § 60 zákona o vysokých školách jako podmínky živnosti Oceňování majetku pro věci nemovité znamená pouze klientelistickou podporu státních vysokých škol.  Stát deklaruje konkurenční prostředí, ale v praxi dělá něco jiného. § 60 není jen nadbytečný, ale přímo nesmyslný.</t>
  </si>
  <si>
    <t>odstranění § 60 zákona o vysokých školách z živnostenského zákona</t>
  </si>
  <si>
    <t>rozpočtování staveb</t>
  </si>
  <si>
    <t>Praxe a vzdělání v oboru. Zdravotní způsobilost.</t>
  </si>
  <si>
    <t>Zdravotní stav, doložení absolvovaných kurzů a školení, řidičský průkaz,</t>
  </si>
  <si>
    <t>Např. vydání ŽL pouze na základě potvrzení o nějaké praxi u někoho, kde se to nijak neověřuje je trestuhodné.</t>
  </si>
  <si>
    <t>Musí být kvalitní a náročná PK a hlavně úplná.</t>
  </si>
  <si>
    <t>malířství , natěračství</t>
  </si>
  <si>
    <t>učitel, ekonom, elektrikář</t>
  </si>
  <si>
    <t>pedagog volného času</t>
  </si>
  <si>
    <t>trenér, pedagog volného času</t>
  </si>
  <si>
    <t>finance</t>
  </si>
  <si>
    <t>mám výhrady k živnosti oceňování majetku pro věci nemovité, protože je u této živnosti uveden §60 zákona o vysokých školách a že to znamená lobby podporu vysokých škol. A že ke zvýšení konkurence by bylo užitečné tento paragraf z živnosti odstranit.</t>
  </si>
  <si>
    <t>Znalec v oceňování majetku pro věci nemovité</t>
  </si>
  <si>
    <t>Oceňování nemovitostí</t>
  </si>
  <si>
    <t>mám výhrady k živnosti oceňování majetku pro věci nemovité, protože je u této živnosti uveden §60 zákona o vysokých školách a protože to znamená lobby podporu vysokých škol. Tedy ke zvýšení konkurence by bylo užitečné tento paragraf z živnosti odstranit.</t>
  </si>
  <si>
    <t/>
  </si>
  <si>
    <t>mám výhrady k živnosti oceňování majetku pro věci nemovité, protože je u této živnosti uveden §60 zákona o vysokých školách a protože to znamená lobby podporu vysokých škol. Tedy ke zvýšení konkurence by bylo užitečné tento paragraf z živnosti odstranit.</t>
  </si>
  <si>
    <t>Zvýšení kvality výrobků a služeb</t>
  </si>
  <si>
    <t>Mám výhrady k živnosti Oceňování majetku pro věci nemovité. Považuji za komplikaci, že u živnosti Oceňování majetku pro věci nemovité, je u této živnosti uveden §60 Zák. o vysokých školách. Považuji to za klientelismus ve prospěch vysokých škol. Vysoké školy mají dost financí získaných ze státní podpory nebo placeného školného a není potřeba dále je takto konkurenčně podporovat na úkor vzdělávacích agentur. Bylo by užitečné §60 z živnosti odstranit.</t>
  </si>
  <si>
    <t>etika chování</t>
  </si>
  <si>
    <t>" Z hlediska volné a svobodné soutěže považuji nesmyslné, aby u živnosti Oceňování majetku pro věci nemovité, byl u této živnosti uveden §60 Zákona o vysokých školách. Je to vysloveně klientelismus ve prospěch vysokých škol, státních i soukromých. Není tajemstvím, kolik financí získávají státní školy ze státní podpory, fondů a výzkumu a není potřeba dále je protěžovat. Z hlediska volné soutěže by měl být  §60 z živnosti odstraněn. "</t>
  </si>
  <si>
    <t>makléř</t>
  </si>
  <si>
    <t>Montáž, opravy, revize a zkoušky plynových zařízení a plnění nádob plyny
Montáž, opravy, revize a zkoušky tlakových zařízení a nádob na plyny
Autorizovaný inřenýr</t>
  </si>
  <si>
    <t>kvalifikační zkouška pro daňové porace je garantem odborné kvalifikace pro zaměstnavatele i klienty.</t>
  </si>
  <si>
    <t>daňové poradenství</t>
  </si>
  <si>
    <t>jako daňový poradce musím prokázat kvalifikaci složením zkoušek a povinně se zapsat do seznamu Komory daňových poradců.
V souvislosti se svou činností zaměstnávám zaměstnance, kteří zpracovávají účetnictví</t>
  </si>
  <si>
    <t>Když před časem svaz účetních začal s certifikací účetních, hovořilo se o tom, že účetnictví jako samostatnou činnost nebude možné vykonávat bez získání certifikace. 
Situace dnes je ale taková, že živnost účetnictví je povolena bez jakýchkoliv požadavků. Není výjimkou, že po měsíčním rekvalifikačním kurz od úřadu práce nabyde účastník dojmu, že je  dokonale připraven k vedení účetnictví.
Podle toho vypadá úroveň zpracování účetnictví a podle toho je posuzována vážnost účetní profese. 
Nemohu posuzovat jiné obory, ale kvalitě ekonomických výstupů by zcela jistě prospělo, kdyby v tomto oboru byla povinnost regulace, tedy vázanost na doložení profesních znalostí.</t>
  </si>
  <si>
    <t>Schopnost komunikace se spolupracovníky a obchodními partnery</t>
  </si>
  <si>
    <t>možným řešením by byly cechy, které by dbali na kvalitu výkonu profese a měli by právo oprávnění odebrat</t>
  </si>
  <si>
    <t>daňový poradce</t>
  </si>
  <si>
    <t>Absolvování povinné kvalifikační zkoušky při vstupu do profese dostatečně zajišťuje kvalifikaci v daném oboru</t>
  </si>
  <si>
    <t>V praxi i životě jsem potkala mnoho klientů, kteří byli poškozeni postupem nekvalifikovaných osob, které profesi daňového poradce vykonávaly neoprávněně. Jde tedy jen o to, aby odborníci dosáhli také na ochranu jako např. projektanti.</t>
  </si>
  <si>
    <t>Ne, protože dosažení kvalifikace je jen vstup, dále musí její úroveň někdo hlídat a udržovat, což registr určitě nezastane:-)</t>
  </si>
  <si>
    <t>Vyhovuje mi, že daňový poradce musí splňovat odpovídající kvalifikační, etické a disciplinární předpoklady a spoléhám na to</t>
  </si>
  <si>
    <t>Snížení kvality výrobků a služeb, větším daňovým únikům</t>
  </si>
  <si>
    <t>daňové poradenství a účetnictví</t>
  </si>
  <si>
    <t>Silniční motorová doprava
Truhlářství</t>
  </si>
  <si>
    <t>" Výhrada k živnosti oceňování majetku pro věci nemovité. Sděluji svůj názor k tomu, aby u živnosti Oceňování majetku pro věci nemovité, byl z této živnosti odstraněn §60 zák. o vys. školách. Jde český nesmysl, o protěžování  a lobby podporu vysokých škol. Není potřeba dále nadržovat vysokým školám a konkurenčně podporovat . §60 by měl být z této živnosti odstraněn."</t>
  </si>
  <si>
    <t>Veletrhy, výstavy, pořádání konferencí</t>
  </si>
  <si>
    <t>Živnost - Oceňování majetku pro věci nemovité. Zasazuji se o to, aby u živnosti Oceňování majetku pro věci nemovité, byl z této živnosti odstraněn §60 Zákona o vysokých školách. Jedná se o nadržování  a lobby podpora ve prospěch vysokých škol. Není tajemstvím, kolik financí získávají školy ze státní podpory a výzkumu a není potřeba dále jim nadržovat. §60 by měl být z této živnosti odstraněn, neboť nepředstavuje žádnou přidanou kvalitu.</t>
  </si>
  <si>
    <t>Odmítám zvýhodňování vysokých škol v živnosti oceňování majetku pro věci nemovité. Posílám názor k tomu, aby u živnosti Oceňování majetku pro věci nemovité byl z této živnosti odstraněn §60 ( zák. o vys. školách.) Jde český přehmat, o lobby podporu vysokých škol a konkurenční zvýhodňování . §60 by měl být odstraněn."</t>
  </si>
  <si>
    <t>SŠ</t>
  </si>
  <si>
    <t>řidiči nákladní dopravy
řidiči osobní dopravy</t>
  </si>
  <si>
    <t>Elektrotechnický průmysl</t>
  </si>
  <si>
    <t>Výroba kabelových svazků</t>
  </si>
  <si>
    <t>Daňové poradenství</t>
  </si>
  <si>
    <t>hliníkové výplně stavebních otvorů, okna, dveře, zimní zahrady</t>
  </si>
  <si>
    <t>správa sítí a sytému, cctv</t>
  </si>
  <si>
    <t>Snížení flexibility pracovního trhu</t>
  </si>
  <si>
    <t>Výroba papírenských strojů</t>
  </si>
  <si>
    <t>Přínosem je osvědčení o certifikaci  daném oboru</t>
  </si>
  <si>
    <t>Živnost Oceňování majetku pro věci nemovité – nesouhlas se současným stavem. V textu u živnosti Oceňování majetku pro věci nemovité je uveden §60 zákona o vysokých školách. Zavání to klientelismem ve prospěch vysokých škol. Vysoké školy jsou silně financovány ze státních a zejména výzkumných dotací nebo školného a tento paragraf je jen jejich další lobbystická podpora. §60 by měl být z živnosti odstraněn. Prospělo by to celkové konkurenci.</t>
  </si>
  <si>
    <t>daňový poradce, auditor</t>
  </si>
  <si>
    <t>daňové poradenství, vedení účetnictví a daňové evidence</t>
  </si>
  <si>
    <t>V některých ohledech zákonné požadavky vítám, v některých mi připadají naprosto nesmyslné. Např. :Dle mého názoru se u živnosti Oceňování majetku pro věci nemovité nepochopitelně uvádí §60 Zákona o vysokých školách, který se týká celoživotního vzdělávání. Nezdá se mi začlenění tohoto paragrafu u uvedené živnosti, protože celoživotní vzdělávání na vysokých školách, které nekončí udělením akademického titulu, je na úrovni běžných kurzů vzdělávacích agentur. A v tomto případě jde patrně o klientelismus ve prospěch vysokých škol a je nedůstojné, že je taková to konkurenční výhoda zakotvena v zákoně.  Paragraf 60 by měl být odstraněn z živnosti odstraněn.</t>
  </si>
  <si>
    <t>účetnictví, daňové poradenství</t>
  </si>
  <si>
    <t>advokát/advokátní koncipient</t>
  </si>
  <si>
    <t>Omezení zastupování advokáta jeho zaměstnancem v závislosti na délce jeho praxe a formálního vzdělání. Viz Usnesení představenstva České advokátní komory č. 6/1998 Věstníku ze dne 8. prosince 1998,</t>
  </si>
  <si>
    <t>advokacie</t>
  </si>
  <si>
    <t>Vážení odborní posuzovatelé. Využívám tohoto fóra k vyslovení názoru, že mám velké výhrady k živnosti Oceňování majetku pro věci nemovité, konkrétně zařazení §60 do podmínek typů absolvovaných školení. Konkrétně v §60 zák.o vysokých školách je uvedeno, že studenti tzv. celoživotního vzdělávání nejsou studenty podle tohoto  zákona. jedná se tedy o zájmové či specializační kurzy, které jsou pod §60 na vysokých školách zahrnovány. Za situace docentů a profesorů s více úvazky a za situace, kdy vysokoškolští učitelé běžně přednášejí také ve vzdělávacích agenturách je nepochopitelné, proč je §60 u živnosti uveden. Bylo by dobré, kdyby Ministerstvo školství přestalo podporovat lobby vysokých škol a dalo možnost i jiným účastníků na trhu vzdělávání. V konečném důsledku by přece nemělo jít o papír s tím správným razítkem, ale o znalosti a praxi v oboru.</t>
  </si>
  <si>
    <t>provádění staveb</t>
  </si>
  <si>
    <t>v naší profesi a dále profese účetní, mzdová účetní apod. bych uvítala zákonem, popř. profesním svazem garantované zkoušky na výkon profese, které by zaručovaly jeho profesní odbornost</t>
  </si>
  <si>
    <t>Snížení kvality výrobků a služeb, zákazník by nebyl chráněn, tak jako je doposud (v naší profesi např. povinné pojištění, další vzdělávání apod.)</t>
  </si>
  <si>
    <t>u žádné z profesí, které jsou dnes podřazeny pod systém povinné regulace, bych dobrovolné získávání nedoporučovala. Naopak u některých profesí (realitní makléř, finanční poradce) bych doporučovala zavedení povinného členství,zkoušek apod.</t>
  </si>
  <si>
    <t>Strážný</t>
  </si>
  <si>
    <t>Regulace oblasti komerční bezpečnosti je důležitá. Zasahování do práv a svobod třetích osob klade na zaměstnance vysoké nároky na znalosti z oblasti práva, zdravovědy, pracovního práva, atd.</t>
  </si>
  <si>
    <t>Neexistence přechodného období při přijímání zaměstnanců. Mohu přijmout do pracovního poměru pouze pracovníka již z odbornou způsobilostí.
Zásadní je upravit v ŽZ možnost tzv. přechodného období a to pouze u jednoho zaměstnavatele např. na dobu 3 měsíců, kdy pracovník bez odborné způsobilosti může být v základním pracovněprávním vztahu po dobu 3 měsíců bez odborné způsobilosti pod dohledem pracovníka odborně způsobilého !!!</t>
  </si>
  <si>
    <t>Odborná způsobilost zaměstnanců v oboru komerční bezpečnosti je zásadní.</t>
  </si>
  <si>
    <t>Snížení kvality výrobků a služeb, k excesům v oblasti přestupků a trestního práva</t>
  </si>
  <si>
    <t>Národní soustava kvalifikací slouží k posuzování jednotlivých kvalifikací. Věrohodně popisuje jednotlivé typové pozice v NSP.
Tato soustava by měla být zásadní pro jednotlivé veřejné orgány (kontrolní, správní, atd.)
Dobrovolnost by se měla stát výhodou a nutností, tam, kde je třeba, regulovat zákonem (např. komerční bezpečnost)</t>
  </si>
  <si>
    <t>komerční bezpečnost</t>
  </si>
  <si>
    <t>účetní</t>
  </si>
  <si>
    <t>autorizovaný technik nebo inženýr ve stavebnictví, bilanční účetní</t>
  </si>
  <si>
    <t>Odborné vzdělávání by mělo mít přednost před formálním prokázáním praxe - viz. u účetních formální doložení praxe.</t>
  </si>
  <si>
    <t>Účetnictví,daňové poradenství</t>
  </si>
  <si>
    <t>Snížení kvality výrobků a služeb, Snížení flexibility pracovního trhu, Snížení konkurence</t>
  </si>
  <si>
    <t>účetnictví</t>
  </si>
  <si>
    <t>Obchod</t>
  </si>
  <si>
    <t>Vedení účetnictví</t>
  </si>
  <si>
    <t>Snížení kvality výrobků a služeb, Zvýšení cen produktů či služeb, Zvýšení konkurence</t>
  </si>
  <si>
    <t>Velkoobchodní firma</t>
  </si>
  <si>
    <t>motivace</t>
  </si>
  <si>
    <t>poradenství</t>
  </si>
  <si>
    <t>myslím si, že pro práci účetního je potřeba určité odborné vzdělání a zároveň i určitá odborná praxe - vyhovuje mi, jak je v živnostenském zákoně a v prováděcích předpisech nastaveno, čím vyšší vzdělání, tím menší požadovaná praxe, kdy je u vysokoškolského vzdělání dodrženo minimum (ze své zkušenosti vím, že aspoň 2-3 roky je potřeba po vystudování vysoké školy vykonávat účetní profesi za pomoci někoho zkušenějšího, aby tuto práci pak OSVĆ mohla vykonávat samostatně) a zároveň mi vyhovuje i možnost vykonávat účetní profesi bez maturity, kdy musí být počet let na střední škole nahrazen počtem let praxe</t>
  </si>
  <si>
    <t>účetnictví a účetní poradenství, daňová evidence</t>
  </si>
  <si>
    <t>zpracování účetnictví</t>
  </si>
  <si>
    <t>účetnictví, daně</t>
  </si>
  <si>
    <t>vedení účetnictví, ekonomické a organizační poradenství</t>
  </si>
  <si>
    <t>minimálně maturita z účetnictví a praxe alespoň 2 roky</t>
  </si>
  <si>
    <t>nedostatečně připravené vzdělání ze školy - téměř 100% neschopnost samostatně pracovat-škola je to nenaučila</t>
  </si>
  <si>
    <t>účetní, daňový poradce</t>
  </si>
  <si>
    <t>daně a účetnictví</t>
  </si>
  <si>
    <t>auditorské služby</t>
  </si>
  <si>
    <t>Kvalita účetních prací je v ČR až na výjimky špatná. Rád bych, aby tato profese byla regulována např. v podobě zákonné úpravy profese účetních znalců.</t>
  </si>
  <si>
    <t>vedení účetnictví, daňové poradenství</t>
  </si>
  <si>
    <t>účetní poradci, daňový poradce</t>
  </si>
  <si>
    <t>činnost účetních poradců, daňových poradců</t>
  </si>
  <si>
    <t>účetní</t>
  </si>
  <si>
    <t>daňové poradenství, účetnictví, mzdy a prersonalistika</t>
  </si>
  <si>
    <t>účetnictví, podniková ekonomika</t>
  </si>
  <si>
    <t>Jako OSVČ  jsem musela pro vydání ŽL splnit vzdělání a dobu praxe. Jako zaměstnanec, když jsem ještě nebyla OSVČ, jsem nemusela splnit nic. Vadí mi, že profese účetních není limitována členstvím v Komoře certifikovaných účetních, protože se v praxi setkávám s klienty, jímž bylo účetnictví zpracováno od jiných účetních strašným neodborným způsobem. Jsem pro zavedení povinného členství v Komoře cert.úč., která klade důraz na odborné znalosti v oboru a kam lze vstoupit až po složení odborných zkoušek. Jinak tato profese skončí v očích lidí velmi špatně.</t>
  </si>
  <si>
    <t>Při výběru pracovníka mi zákon nic nenařizuje. A to je špatně. Jak mám poznat dobrého a kvalifikovaného pracovníka? Proto raději žádného nemám a snažím se vše zvládat sama.</t>
  </si>
  <si>
    <t>Povinné členství v Komoře certifikovaných účetních</t>
  </si>
  <si>
    <t>Právě naopak!</t>
  </si>
  <si>
    <t>Povinné členství v Komoře certifikovaných účetních - to by ochránilo jak nás, účetní, tak i naše klienty.</t>
  </si>
  <si>
    <t>Mám za to, že by výkon práce účetních měl být určitým způsobem regulován, protože nekvalifikovaní účetní mohou napáchat klientům mnoho chyb, za něž pak klienty někdy draze platí</t>
  </si>
  <si>
    <t>vedení účetnictví</t>
  </si>
  <si>
    <t>dosažené vzdělání a obor studia</t>
  </si>
  <si>
    <t>)četnictví, daňové poradenství</t>
  </si>
  <si>
    <t>účetnictví a daňové poradenství</t>
  </si>
  <si>
    <t>dále i OSVČ pro neziskový sektor</t>
  </si>
  <si>
    <t>Osobní vlastnosti</t>
  </si>
  <si>
    <t>Snížení kvality výrobků a služeb, Snížení flexibility pracovního trhu, Zvýšení cen produktů či služeb, Zvýšení konkurence</t>
  </si>
  <si>
    <t>Daňová, účetní kancelář</t>
  </si>
  <si>
    <t>k 138: vedení účetnictví</t>
  </si>
  <si>
    <t>Vedení účetnictví, vedení daňové evidence</t>
  </si>
  <si>
    <t>vedení účetnictví a daňové evidence</t>
  </si>
  <si>
    <t>audit
daňové poradenství</t>
  </si>
  <si>
    <t>etický kodex - přístup ke klientům, zodpovědnost za vykonanou práci, chování</t>
  </si>
  <si>
    <t>Podle mého názoru by se měly zpřísnit zákonné požadavky na proces sestavení účetní závěrky, ať již kteréhokoliv typu účetních jednotek. Členství ve Svazu účetních, kde se členem za malý poplatek může stát každý, kdo prohlásí, že ho účetnictví zajímá, je zcela nedostatečné a navíc zavádějící.</t>
  </si>
  <si>
    <t>Snížení kvality výrobků a služeb, Snížení cen produktů či služeb, Zvýšení konkurence, konkurence nekalé</t>
  </si>
  <si>
    <t>poznámka:
pokud by mělo být povinné získání kvalifikace nahrazeno dobrovolnou, k čemu by to bylo? To by pak nemuselo být vůbec. Nedávalo by to smysl.</t>
  </si>
  <si>
    <t>audit, účetnictví</t>
  </si>
  <si>
    <t>Činnost účetních poradců, vedení účetnictví, vedení daňové evidence - kód 138</t>
  </si>
  <si>
    <t>účetnictví
daňové poradenství
mzdové účetnictví</t>
  </si>
  <si>
    <t>přezkoušení pod Svazem účetních</t>
  </si>
  <si>
    <t>účetní poradenství, vedení účetnictví</t>
  </si>
  <si>
    <t>činnost účetních poradců, vedení účetnictví a daňové evidence</t>
  </si>
  <si>
    <t>vzdělání a praxi</t>
  </si>
  <si>
    <t>snaha zaměstnance se dále vzdělávat a prohlubovat své znalosti v oboru</t>
  </si>
  <si>
    <t>naopak bych byla ráda, kdyby v účetních poradců byla více regulována a tuto profesi mohli vykonávat pouze kvalitní lidé</t>
  </si>
  <si>
    <t>Činnost účetních poradců, vedení účetnictví, vedení daňové evidence" (kód 138)</t>
  </si>
  <si>
    <t>vedení účetnictví, DE, znalectví v oboru účetnictví</t>
  </si>
  <si>
    <t>dańové poradenství, účetnictví</t>
  </si>
  <si>
    <t>účetnictví, rekvalifikace</t>
  </si>
  <si>
    <t>účetní poradenství</t>
  </si>
  <si>
    <t>zaměstnávám jen účetní s maturitní zkouškou nebo vyšším odborným vzděláním v oboru, každá má min. 5 let praxe</t>
  </si>
  <si>
    <t>jsem jako zaměstnavatel částečně ochráněna (samozřejmě dosažená kvalifikace a délka praxe ještě neznamená schopného pracovníka)</t>
  </si>
  <si>
    <t>osobnost kandidáta - v malé firmě je nejdůležitější spolupráce kolegů, chování, vystupování, jednání s klienty a pod.
ochota a schopnost učit se nové věci je důležitější nez současné vzdělání</t>
  </si>
  <si>
    <t>při výběru zaměstnanců jsem nebyla vázána regulací a stejně jsem se jí řídila. Regulace v mém oboru vychází z potřeby, nutnosti.</t>
  </si>
  <si>
    <t>účetnictví malých a drobných podnikatelů, firem</t>
  </si>
  <si>
    <t>Daňové poradenství, účetnictví</t>
  </si>
  <si>
    <t>lékař, akvokát, účetní poradci</t>
  </si>
  <si>
    <t>Domnávám se,že majitel firmy by měl ručit za zamněstnnace, což se děje u mně. Já spl%nuji všechny kritérie a moji zaměstnnaci musí mít čistý rekstřík trestů a lustrační osvědčení (pro detektivní služby). jejich vzdělání mně nevadí - mohou mít i základní když se v praxi osvědčí a mají zájem o práci. Toto je lepší jako líný arogantní mladý vysokoškolák.</t>
  </si>
  <si>
    <t>vedení účenictví a detektivní služby</t>
  </si>
  <si>
    <t>účetnictví, audit</t>
  </si>
  <si>
    <t>Účetní profese je vzhledem k odpovědnosti, náročnosti a důležitosti naprosto nedostatečně regulována. Výkon profese může v podstatě dělat každý, což se projevuje zoufale nízkou kvalitou a úrovní účetnictví v České republice, a to mám na mysli jak sektor podnikatelský s rozsáhlou hospodářskou kriminalitou, tak sektor veřejný - vybrané účetní jednotky - kde je úroveň znalostí a kvalifikace pracovníků v oblasti účetnictví zoufalá. Ve vyspělých zemích je účetní profese vážená a nároky na její výkon jsou obrovské s tím, že je velmi silně regulována - obdobně jako v ČR profese auditorská a profese daňových poradců.</t>
  </si>
  <si>
    <t>požadavky žádné nejsou - kvalita již nízká je</t>
  </si>
  <si>
    <t>Dobrovolná kvalifikace bez podpory ze strany státu nemá žádný význam - viz dobrovolná certifikace účetních u KCÚ zaštítěná ACCA, která v ČR nemá žádný praktický význam pro toho, kdo ji získá. A to funguje od roku 1998 - naprosto k ničemu!!</t>
  </si>
  <si>
    <t>účetní poradenství, vedení účetnictív</t>
  </si>
  <si>
    <t>činnost účetních bohužel lze vykonávat i jen na základě rekvalifikačního kurzu, což je v řadě případů naprosto nedostatečné a je to bohužel pak znát na úrovni poskytovaných služeb</t>
  </si>
  <si>
    <t>naopak by na profesi účetních bylo třeba navýšit/zpřísnit kritéria</t>
  </si>
  <si>
    <t>činnost účetních poradců</t>
  </si>
  <si>
    <t>účetní a daňové poradenství</t>
  </si>
  <si>
    <t>V případě účetnictví jsem pro větší regulaci daného povolání.</t>
  </si>
  <si>
    <t>účetnictví</t>
  </si>
  <si>
    <t>naopak účetní profese by měla být regulována!</t>
  </si>
  <si>
    <t>daňový poradce, účetní</t>
  </si>
  <si>
    <t>účetní služby</t>
  </si>
  <si>
    <t>vedení účetnictví, zpracování daňových přiznání</t>
  </si>
  <si>
    <t>např. certifikační zkoušky KCÚ - zde máme větší jistotu, že  kandidát prošel složitými znalostními testy</t>
  </si>
  <si>
    <t>více než diplom z VŠ nás zajímají faktické znalosti, které si prověřujeme, pokud kandidát nemá certifikační zkoušky z KCÚ</t>
  </si>
  <si>
    <t>maloobchod</t>
  </si>
  <si>
    <t>činnost účetních poradců, vedení účetnictví, vedení daňové evidence, daňové poradenství</t>
  </si>
  <si>
    <t>zapojení do systému Certifikace účetních pro pravidelné ověřování schopností a neustálou podporu školeními v aktualizovaných zákonech</t>
  </si>
  <si>
    <t>Daňové poradenství je možné vykonávat pouze na základě osvědčení vydaném KDP, výkon účetního poradenství a poskytování účetních služeb je doložen ekonomickým vzděláním a prakcí, vzhledem k náročnosti povolání bychom přivítali povinnost vykonávat tuto profesi pouze na základě certifikace KCÚ - Komory certifikovaných účetních, která doposud nemá zákonný statut.</t>
  </si>
  <si>
    <t>daňové poradenství a vedení účetnictví</t>
  </si>
  <si>
    <t>Činnost účetních poradců</t>
  </si>
  <si>
    <t>Účetní, auditor</t>
  </si>
  <si>
    <t>Myslím si naopak, že by v mé profesi měla být zohledněna certifikace, kterou poskytuje Institut svazu účetních. A to v tom smyslu, že by měla být nastavena určitá hierarchie. Účetní bez certifikace by mohla provádět méně úkonů než certifikovaná účetní (např. sestavení účetní závěrky, finanční analýzy atd.)</t>
  </si>
  <si>
    <t>např. úklidový pracovník</t>
  </si>
  <si>
    <t>Činnost účetních poradců,vedení účetnictví, vedení daňové evidence</t>
  </si>
  <si>
    <t>Vedení účetnictví je vázanou živností. Podmínky na její udělení jsou jen  
praxe, kterou v reálu potvrdí kdokoliv bez skutečné znalosti žadatele.
V praxi potom dochází k chybám z neznalosti. Kdy velmi mnoho OSVČ s praxí nikdy nečetlo zákon a na posledním školení byly před 10 lety. Požadavek by výkon profese by měl být v řídících funkcích a podnikatelů v oboru.</t>
  </si>
  <si>
    <t>stávající stav nezmění kvalitu služeb</t>
  </si>
  <si>
    <t>Zvýšení kvality výrobků a služeb, Snížení cen produktů či služeb, Zvýšení konkurence</t>
  </si>
  <si>
    <t>Účetnictví/daňové poradenství</t>
  </si>
  <si>
    <t>Tím myslím profesi účetního, která je neodmyslitelná ve funkci firem a podniků.
Mám pocit, že účetnictví nemohou vykonávat rekvalifikovaní pracovníci. Myslím si, že jejich znalosti oproti středním školám a vysokým jsou velice nízké. Podnikatelé nemají možnost zjistit jejich znalosti.</t>
  </si>
  <si>
    <t>daňové poradenství, účetní poradci</t>
  </si>
  <si>
    <t>vedoucí outsourcingového oddělení</t>
  </si>
  <si>
    <t>pokud má uchazeč složený odborný certifikát např. ISU, ACCA  má plusové body</t>
  </si>
  <si>
    <t>jazyková vybavenost</t>
  </si>
  <si>
    <t>outsourcing účetních a daňových sueb</t>
  </si>
  <si>
    <t>Činnosti účetních poradců, vedení účetnictví, vedení daňové evidence</t>
  </si>
  <si>
    <t>Ekonomické, organizační a účetní služby</t>
  </si>
  <si>
    <t>Energetika</t>
  </si>
  <si>
    <t>1 -10 zaměstnanců</t>
  </si>
  <si>
    <t>Jsem OSVČ; na mou kvalifikaci zákon neklade požadavky</t>
  </si>
  <si>
    <t>Ano, jejich podíl ze všech zaměstnanců je 1-50%</t>
  </si>
  <si>
    <t>6.</t>
  </si>
  <si>
    <t>Neodpověděl</t>
  </si>
  <si>
    <t>1 (Nejvíce rozhodující faktor)</t>
  </si>
  <si>
    <t>5 (Nejméně rozhodující faktor)</t>
  </si>
  <si>
    <t>7.</t>
  </si>
  <si>
    <r>
      <rPr>
        <sz val="10"/>
        <color rgb="FF000000"/>
        <rFont val="Arial"/>
        <family val="2"/>
        <charset val="238"/>
      </rPr>
      <t xml:space="preserve">Pokud bych nebyl při výběru kandidátů omezen zákonnými požadavky, rozhodujícími faktory by pro mě byly </t>
    </r>
    <r>
      <rPr>
        <b/>
        <sz val="10"/>
        <color rgb="FF000000"/>
        <rFont val="Arial"/>
        <family val="2"/>
        <charset val="238"/>
      </rPr>
      <t>[osvědčení o formálním vzdělání]</t>
    </r>
  </si>
  <si>
    <r>
      <rPr>
        <sz val="10"/>
        <color rgb="FF000000"/>
        <rFont val="Arial"/>
        <family val="2"/>
        <charset val="238"/>
      </rPr>
      <t>Pokud bych nebyl při výběru kandidátů omezen zákonnými požadavky, rozhodujícími faktory by pro mě byly</t>
    </r>
    <r>
      <rPr>
        <b/>
        <sz val="10"/>
        <color rgb="FF000000"/>
        <rFont val="Arial"/>
      </rPr>
      <t xml:space="preserve"> [ověření faktických schopností]</t>
    </r>
  </si>
  <si>
    <r>
      <rPr>
        <sz val="10"/>
        <color rgb="FF000000"/>
        <rFont val="Arial"/>
        <family val="2"/>
        <charset val="238"/>
      </rPr>
      <t>Pokud bych nebyl při výběru kandidátů omezen zákonnými požadavky, rozhodujícími faktory by pro mě byly</t>
    </r>
    <r>
      <rPr>
        <b/>
        <sz val="10"/>
        <color rgb="FF000000"/>
        <rFont val="Arial"/>
      </rPr>
      <t xml:space="preserve"> [doložená praxe a znalosti]</t>
    </r>
  </si>
  <si>
    <t>1 (Ověření faktických schopností je nejvíce rozhodující faktor)</t>
  </si>
  <si>
    <t>5 (Ověření faktických schopností je nejméně rozhodující faktor)</t>
  </si>
  <si>
    <t>8.</t>
  </si>
  <si>
    <t>Ano, potíže mi způsobila procedura uznávání odborné kvalifikace pracovníka</t>
  </si>
  <si>
    <t>Ano, potíže mi způsobily požadavky na výkon profese a zároveň: Ano, potíže mi způsobila procedura uznávání odborné kvalifikace pracovníka</t>
  </si>
  <si>
    <t>9.</t>
  </si>
  <si>
    <t>10.</t>
  </si>
  <si>
    <t>Nemohu hodnotit</t>
  </si>
  <si>
    <t>Bez odpovědi</t>
  </si>
  <si>
    <t>Pomoci školám</t>
  </si>
  <si>
    <t>11.</t>
  </si>
  <si>
    <t>Neodpověděl/a</t>
  </si>
  <si>
    <t>12.</t>
  </si>
  <si>
    <t>ano</t>
  </si>
  <si>
    <t>neodpověděl/a</t>
  </si>
  <si>
    <t>Musí být kvalitní a náročná PK a hlavně úplná</t>
  </si>
  <si>
    <t>U profesí z kategorie regulovaných profesí, které v naší společnosti máme obsazeny, již platí možnost uznání dobrovolného osvědčení o profesní kvalifikaci (Z. č. 179/2006 Sb.).</t>
  </si>
  <si>
    <t>Ano, pouze u některých, za předpokladu vykonání odborných zkoušek, ne pouze formálních zkoušek.</t>
  </si>
  <si>
    <t>Odborně způsobilá osoba v prevenci rizik, Koordinátor na staveništi</t>
  </si>
  <si>
    <t>13.</t>
  </si>
  <si>
    <t>2.</t>
  </si>
  <si>
    <t>účetnictví a mzdová agenda</t>
  </si>
  <si>
    <t>skladování</t>
  </si>
  <si>
    <t>Školství/ Vzdělávání</t>
  </si>
  <si>
    <t>1.</t>
  </si>
  <si>
    <t>3.</t>
  </si>
  <si>
    <t>5.</t>
  </si>
  <si>
    <t>auditor
daňové poradenství</t>
  </si>
  <si>
    <t>daňové poradenství
Audit</t>
  </si>
  <si>
    <t>daňové poradenství
38 auditorské služby</t>
  </si>
  <si>
    <t>daňové poradenství samostatný účetní, mzdový účetní</t>
  </si>
  <si>
    <t>auditor, daňové poradenství</t>
  </si>
  <si>
    <t>laboratorní asistent</t>
  </si>
  <si>
    <t>farmaceutický asistent</t>
  </si>
  <si>
    <t>Učitel mateřské školy</t>
  </si>
  <si>
    <t xml:space="preserve">Montáž, opravy, revize a zkoušky elektrických, plynových a tlakových zařízení a plnění nádob plyny </t>
  </si>
  <si>
    <t>Provozování solárií</t>
  </si>
  <si>
    <t>Masérské a rekondiční služby</t>
  </si>
  <si>
    <t>nutriční terapeut</t>
  </si>
  <si>
    <t>kovomodelář</t>
  </si>
  <si>
    <t>tesař</t>
  </si>
  <si>
    <t>statik stavebních konstrukcí</t>
  </si>
  <si>
    <t>projektant stavebních konstrukcí</t>
  </si>
  <si>
    <t>strojník</t>
  </si>
  <si>
    <t>soustružník</t>
  </si>
  <si>
    <t>závodní autorizovaný inženýr</t>
  </si>
  <si>
    <t>nástrojářství</t>
  </si>
  <si>
    <t>projektant technolog</t>
  </si>
  <si>
    <t>projektant tlakových částí</t>
  </si>
  <si>
    <t>personalisté</t>
  </si>
  <si>
    <t>Slévač</t>
  </si>
  <si>
    <t>jeřábník</t>
  </si>
  <si>
    <t>zdravotní sestra</t>
  </si>
  <si>
    <t>lékař</t>
  </si>
  <si>
    <t>řidič</t>
  </si>
  <si>
    <t>Provozní elektrikář</t>
  </si>
  <si>
    <t>Zkoušeč (el. zařízení)</t>
  </si>
  <si>
    <t>Montáž, opravy, revize a zkoušky elektrických zařízení</t>
  </si>
  <si>
    <t>Energetický specialista</t>
  </si>
  <si>
    <t>modelářství</t>
  </si>
  <si>
    <t>svářeč</t>
  </si>
  <si>
    <t>velitel SDH</t>
  </si>
  <si>
    <t>učitel</t>
  </si>
  <si>
    <t>kuchař</t>
  </si>
  <si>
    <t>vychovatel</t>
  </si>
  <si>
    <t>řidič nákladního automobilu</t>
  </si>
  <si>
    <t>řidič tahače</t>
  </si>
  <si>
    <t>Autorizovaný inženýr</t>
  </si>
  <si>
    <t>Zajišťování úkolů v prevenci rizik v oblasti BOZP</t>
  </si>
  <si>
    <t>Autorizovaný technik</t>
  </si>
  <si>
    <t>Bezpečnostní technik</t>
  </si>
  <si>
    <t>Činnost účetních poradců, vedení účetnictví, vedení daňové evidence</t>
  </si>
  <si>
    <t>vodoinstalatérství, topenářství</t>
  </si>
  <si>
    <t>Údržba nebo servis zařízení obsahujícího regulované látky nebo flourované skleníkové plyny</t>
  </si>
  <si>
    <t>Izolatérství</t>
  </si>
  <si>
    <t>Montáž, opravy a rekonstrukce chladících zařízení a tepelných čerpadel</t>
  </si>
  <si>
    <t>Obráběčství</t>
  </si>
  <si>
    <t>Pracovník pro řízení montáže, provozu a elektroúdržby zařízení</t>
  </si>
  <si>
    <t>Projektant instalací strojního zařízení</t>
  </si>
  <si>
    <t>Projektová činnost ve výstavbě</t>
  </si>
  <si>
    <t>Provádění staveb, jejich změn a odstraňování</t>
  </si>
  <si>
    <t>Výroba tepelné energie a rozvod tepelné energie, nepodléhající licenci realizovaná ze zdrojů tepelné energie s instalovaným výkonem jednoho zdroje nad 50 kW</t>
  </si>
  <si>
    <t>Výroba, instalace, opravy elektrických strojů a přístrojů, elektronických a telekomunikačních zařízení</t>
  </si>
  <si>
    <t>Zajištění odborného nakládání s odpady (odpadový hospodář)</t>
  </si>
  <si>
    <t>Závodní dolu</t>
  </si>
  <si>
    <t>Závodní lomu</t>
  </si>
  <si>
    <t>Zednictví</t>
  </si>
  <si>
    <t>řidič VZV</t>
  </si>
  <si>
    <t>Zámečnictví</t>
  </si>
  <si>
    <t>malířství</t>
  </si>
  <si>
    <t>tavič</t>
  </si>
  <si>
    <t>jádrař</t>
  </si>
  <si>
    <t>odlévač</t>
  </si>
  <si>
    <t>sládek</t>
  </si>
  <si>
    <t>jednorázové měření emisí</t>
  </si>
  <si>
    <t>Poskytování nebo zprostředkování spotřebitelského úvěru
pojištění</t>
  </si>
  <si>
    <t>Investiční zprostředkovatel</t>
  </si>
  <si>
    <t>Sociální pracovník</t>
  </si>
  <si>
    <t>učitel prvního stupně základní školy</t>
  </si>
  <si>
    <t>učitel druhého stupně základní školy</t>
  </si>
  <si>
    <t>posuzování vlivů na životní prostředí (Ministerstvo životního prostředí)</t>
  </si>
  <si>
    <t>Silniční motorová doprava</t>
  </si>
  <si>
    <t>Truhlářství</t>
  </si>
  <si>
    <t>Koordinátor BOZP na staveništi</t>
  </si>
  <si>
    <t>revizní technik</t>
  </si>
  <si>
    <t>řidiči nákladní dopravy</t>
  </si>
  <si>
    <t>řidiči osobní dopravy</t>
  </si>
  <si>
    <t>řidiči autobusu</t>
  </si>
  <si>
    <t>Učitel střední školy</t>
  </si>
  <si>
    <t>Auditor</t>
  </si>
  <si>
    <t>Advokát</t>
  </si>
  <si>
    <t>Architekt</t>
  </si>
  <si>
    <t>Asistent zubního technika</t>
  </si>
  <si>
    <t>Autorizovaný projektant</t>
  </si>
  <si>
    <t>Báňský projektant</t>
  </si>
  <si>
    <t>Brusič</t>
  </si>
  <si>
    <t>Cídič</t>
  </si>
  <si>
    <t>Cvičitel fitness</t>
  </si>
  <si>
    <t>Číšník/servírka</t>
  </si>
  <si>
    <t>Ekonom</t>
  </si>
  <si>
    <t>Elektrikář</t>
  </si>
  <si>
    <t>Elektromechanik</t>
  </si>
  <si>
    <t>Finanční poradenství</t>
  </si>
  <si>
    <t>Formíř</t>
  </si>
  <si>
    <t>Fyzioterapeut</t>
  </si>
  <si>
    <t>Geologické práce</t>
  </si>
  <si>
    <t>4.</t>
  </si>
  <si>
    <t>Delektronické komunikace</t>
  </si>
  <si>
    <t>Chemický průmysl</t>
  </si>
  <si>
    <t>Kožedělný průmysl</t>
  </si>
  <si>
    <t>Kultura</t>
  </si>
  <si>
    <t>památková péče</t>
  </si>
  <si>
    <t>pohřebnictví</t>
  </si>
  <si>
    <t>poštovní a doručovatelské  služby</t>
  </si>
  <si>
    <t>sociální práce, neziskový sektor</t>
  </si>
  <si>
    <t>spoje</t>
  </si>
  <si>
    <t>Textilní průmysl</t>
  </si>
  <si>
    <t>Životní prostředí</t>
  </si>
  <si>
    <t>cestovní ruch</t>
  </si>
  <si>
    <t>Geologie</t>
  </si>
  <si>
    <t>samospráva</t>
  </si>
  <si>
    <t>sport</t>
  </si>
  <si>
    <t>státní správa</t>
  </si>
  <si>
    <t>kovářství a zámečnictví</t>
  </si>
  <si>
    <t>Biologie vyzkum</t>
  </si>
  <si>
    <t>kamnářství</t>
  </si>
  <si>
    <t>Fotografie</t>
  </si>
  <si>
    <t>čalounictví</t>
  </si>
  <si>
    <t>Hutnictví</t>
  </si>
  <si>
    <t>Restaurátorství</t>
  </si>
  <si>
    <t>Výtahy</t>
  </si>
  <si>
    <t>dřevařský průmysl</t>
  </si>
  <si>
    <t>nábytek</t>
  </si>
  <si>
    <t>nátěrové hmoty</t>
  </si>
  <si>
    <t>neziskový sektor účetnictví</t>
  </si>
  <si>
    <t>Ochrana osob a majetku</t>
  </si>
  <si>
    <t>Papírenský průmysl</t>
  </si>
  <si>
    <t>Plastikářský průmysl</t>
  </si>
  <si>
    <t>sklářský průmysl</t>
  </si>
  <si>
    <t>muzea</t>
  </si>
  <si>
    <t>Celní správa</t>
  </si>
  <si>
    <t>Slévárenství</t>
  </si>
  <si>
    <t>Vedení účetnictví, daňové poradenství</t>
  </si>
  <si>
    <t>Ano; jejich podíl ze všech zaměstnanců je 1-50%,  Ano; jejich podíl ze všech zaměstnanců je 51-100%</t>
  </si>
  <si>
    <t>Ano; jejich podíl ze všech zaměstnanců je 51-100%, Nezaměstnávám takové pracovníky</t>
  </si>
  <si>
    <t>Jsem OSVČ; na mou kvalifikaci zákon klade požadavky, Jsem OSVČ; na mou kvalifikaci zákon neklade žádné požadavky</t>
  </si>
  <si>
    <t>Nezaměstnávám takové pracovníky, Jsem OSVČ; na mou kvalifikaci zákon klade požadavky</t>
  </si>
  <si>
    <t>Nezaměstnávám takové pracovníky, Jsem OSVČ; na mou kvalifikaci zákon neklade žádné požadavky</t>
  </si>
  <si>
    <t>Snížení kvality výrobků a služeb, ohrožení bezpečnosti drážní dopravy</t>
  </si>
  <si>
    <t>Snížení konkurence</t>
  </si>
  <si>
    <t>Snížení kvality výrobků a služeb, Zvýšení flexibility pracovního trhu, Zvýšení konkurence, zvýšení devastace trhu</t>
  </si>
  <si>
    <t>uplatnění v oboru</t>
  </si>
  <si>
    <t>Snížení kvality výrobků a služeb, Zvýšení flexibility pracovního trhu, Snížení cen produktů či služeb, Zvýšení konkurence, zhoršení BOZP</t>
  </si>
  <si>
    <t>Snížení kvality výrobků a služeb, Snížení cen produktů či služeb, Snížení konkurence</t>
  </si>
  <si>
    <t>Snížení kvality výrobků a služeb, Snížení cen produktů či služeb, Snížení konkurence, v naší oblasti vykonávané práce je jediným a rozhodujícím ukazatelem kvalita</t>
  </si>
  <si>
    <t>Snížení kvality výrobků a služeb, ohrožení odborné správy kulturního dědictví</t>
  </si>
  <si>
    <t>Zvýšení kvality výrobků a služeb, Zvýšení flexibility pracovního trhu, Zvýšení cen produktů či služeb, Zvýšení konkurence</t>
  </si>
  <si>
    <t>je to špatné slevovat z požadavků</t>
  </si>
  <si>
    <t>Zvýšení flexibility pracovního trhu, zaměstnávání Čechů namísto cizinců</t>
  </si>
  <si>
    <t>zvýšené nebezpečí úrazů a hmotných škod</t>
  </si>
  <si>
    <t>nevím</t>
  </si>
  <si>
    <t>nemám zkušenost</t>
  </si>
  <si>
    <t>nejsem odborník v tomto segmentu, takže se nemohu vyjadřovat obecně.</t>
  </si>
  <si>
    <t>Snížení kvality výrobků a služeb, Zvýšení flexibility pracovního trhu, Snížení cen produktů či služeb, Snížení konkurence</t>
  </si>
  <si>
    <t>Zvýšení flexibility pracovního trhu, Snížení flexibility pracovního trhu, Snížení cen produktů či služeb</t>
  </si>
  <si>
    <t>nemuselo by se nic zásadního změnit</t>
  </si>
  <si>
    <t>Snížení kvality výrobků a služeb, ohrožení zdraví a životního prostředí</t>
  </si>
  <si>
    <t>Zvýšení flexibility pracovního trhu, Snížení konkurence</t>
  </si>
  <si>
    <t>Snížení kvality výrobků a služeb, Snížení flexibility pracovního trhu, Snížení cen produktů či služeb, Degradaci  a  úpadku</t>
  </si>
  <si>
    <t>chaosu na silnicích</t>
  </si>
  <si>
    <t>Snížení kvality výrobků a služeb, Zvýšení flexibility pracovního trhu, Zvýšení konkurence, reklamace výsledků činnosti</t>
  </si>
  <si>
    <t>nemám na mysli snížení požadavků, jen přesnou specifikaci</t>
  </si>
  <si>
    <t>vyšší riziko bezpečnosti práce</t>
  </si>
  <si>
    <t>zhoršení výkonu st. správy</t>
  </si>
  <si>
    <t>snížení stupně bezpečnosti práce a provozu</t>
  </si>
  <si>
    <t>Snížení kvality výrobků a služeb, Snížení flexibility pracovního trhu, Snížení cen produktů či služeb, Snížení konkurence</t>
  </si>
  <si>
    <t>snížení řemeslné hodnoty</t>
  </si>
  <si>
    <t>Jsem:</t>
  </si>
  <si>
    <t>zaměstnanec</t>
  </si>
  <si>
    <t>zaměstnanec, podnikatel</t>
  </si>
  <si>
    <t>zaměstnavatel</t>
  </si>
  <si>
    <t>podnikatel</t>
  </si>
  <si>
    <t>zaměstnavatel, podnikatel</t>
  </si>
  <si>
    <t>zaměstnanec, zaměstnavatel</t>
  </si>
  <si>
    <t>zaměstnanec, zaměstnavatel, podnikatel</t>
  </si>
  <si>
    <t xml:space="preserve">121, 118,645,325,147,670,649, 6, 9, 623, 345, 645, 374, 348, 368, 379, 370, 144, 376, 369, 358, 367,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</si>
</sst>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h:mm:ss;@"/>
  </numFmts>
  <fonts count="8" x14ac:knownFonts="1">
    <font>
      <sz val="10"/>
      <color rgb="FF000000"/>
      <name val="Arial"/>
    </font>
    <font>
      <b/>
      <sz val="10"/>
      <color rgb="FF000000"/>
      <name val="Arial"/>
    </font>
    <font>
      <b/>
      <sz val="10"/>
      <color rgb="FF000000"/>
      <name val="Arial"/>
    </font>
    <font>
      <sz val="14"/>
      <color rgb="FF000000"/>
      <name val="Times New Roman"/>
      <family val="1"/>
      <charset val="238"/>
    </font>
    <font>
      <sz val="10"/>
      <color rgb="FF000000"/>
      <name val="Arial"/>
      <family val="2"/>
      <charset val="238"/>
    </font>
    <font>
      <b/>
      <sz val="10"/>
      <color rgb="FF000000"/>
      <name val="Arial"/>
      <family val="2"/>
      <charset val="238"/>
    </font>
    <font>
      <sz val="10"/>
      <color theme="1"/>
      <name val="Arial"/>
      <family val="2"/>
      <charset val="238"/>
    </font>
    <font>
      <b/>
      <sz val="8"/>
      <color rgb="FF000000"/>
      <name val="Arial"/>
      <family val="2"/>
      <charset val="238"/>
    </font>
  </fonts>
  <fills count="9">
    <fill>
      <patternFill patternType="none"/>
    </fill>
    <fill>
      <patternFill patternType="gray125"/>
    </fill>
    <fill>
      <patternFill patternType="solid">
        <fgColor rgb="FFDDDDDD"/>
        <bgColor indexed="64"/>
      </patternFill>
    </fill>
    <fill>
      <patternFill patternType="solid">
        <fgColor rgb="FFDDDDDD"/>
        <bgColor indexed="64"/>
      </patternFill>
    </fill>
    <fill>
      <patternFill patternType="solid">
        <fgColor rgb="FFEEEEEE"/>
        <bgColor indexed="64"/>
      </patternFill>
    </fill>
    <fill>
      <patternFill patternType="solid">
        <fgColor rgb="FFEEEEEE"/>
        <bgColor indexed="64"/>
      </patternFill>
    </fill>
    <fill>
      <patternFill patternType="solid">
        <fgColor theme="0"/>
        <bgColor indexed="64"/>
      </patternFill>
    </fill>
    <fill>
      <patternFill patternType="solid">
        <fgColor theme="0" tint="-0.249977111117893"/>
        <bgColor indexed="64"/>
      </patternFill>
    </fill>
    <fill>
      <patternFill patternType="solid">
        <fgColor rgb="FF00B05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56">
    <xf numFmtId="0" fontId="0" fillId="0" borderId="0" xfId="0" applyAlignment="1">
      <alignment wrapText="1"/>
    </xf>
    <xf numFmtId="0" fontId="1" fillId="2" borderId="0" xfId="0" applyFont="1" applyFill="1" applyAlignment="1">
      <alignment horizontal="center" wrapText="1"/>
    </xf>
    <xf numFmtId="10" fontId="2" fillId="3" borderId="0" xfId="0" applyNumberFormat="1" applyFont="1" applyFill="1" applyAlignment="1">
      <alignment horizontal="center" wrapText="1"/>
    </xf>
    <xf numFmtId="164" fontId="0" fillId="4" borderId="0" xfId="0" applyNumberFormat="1" applyFill="1" applyAlignment="1">
      <alignment wrapText="1"/>
    </xf>
    <xf numFmtId="0" fontId="0" fillId="5" borderId="0" xfId="0" applyFill="1" applyAlignment="1">
      <alignment wrapText="1"/>
    </xf>
    <xf numFmtId="0" fontId="3" fillId="0" borderId="0" xfId="0" applyFont="1" applyAlignment="1">
      <alignment wrapText="1"/>
    </xf>
    <xf numFmtId="0" fontId="4" fillId="5" borderId="0" xfId="0" applyFont="1" applyFill="1" applyAlignment="1">
      <alignment wrapText="1"/>
    </xf>
    <xf numFmtId="0" fontId="4" fillId="0" borderId="0" xfId="0" applyFont="1" applyAlignment="1">
      <alignment wrapText="1"/>
    </xf>
    <xf numFmtId="0" fontId="5" fillId="2" borderId="0" xfId="0" applyFont="1" applyFill="1" applyAlignment="1">
      <alignment horizontal="center" wrapText="1"/>
    </xf>
    <xf numFmtId="0" fontId="1" fillId="6" borderId="0" xfId="0" applyFont="1" applyFill="1" applyAlignment="1">
      <alignment horizontal="center" wrapText="1"/>
    </xf>
    <xf numFmtId="0" fontId="5" fillId="7" borderId="0" xfId="0" applyFont="1" applyFill="1" applyAlignment="1">
      <alignment horizontal="center" wrapText="1"/>
    </xf>
    <xf numFmtId="164" fontId="6" fillId="8" borderId="2" xfId="0" applyNumberFormat="1" applyFont="1" applyFill="1" applyBorder="1" applyAlignment="1">
      <alignment wrapText="1"/>
    </xf>
    <xf numFmtId="0" fontId="6" fillId="8" borderId="3" xfId="0" applyFont="1" applyFill="1" applyBorder="1" applyAlignment="1">
      <alignment wrapText="1"/>
    </xf>
    <xf numFmtId="16" fontId="0" fillId="0" borderId="0" xfId="0" applyNumberFormat="1" applyAlignment="1">
      <alignment wrapText="1"/>
    </xf>
    <xf numFmtId="0" fontId="0" fillId="0" borderId="5" xfId="0" applyBorder="1" applyAlignment="1">
      <alignment wrapText="1"/>
    </xf>
    <xf numFmtId="0" fontId="4" fillId="0" borderId="5" xfId="0" applyFont="1"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4" fillId="0" borderId="12" xfId="0" applyFont="1" applyBorder="1" applyAlignment="1">
      <alignment wrapText="1"/>
    </xf>
    <xf numFmtId="0" fontId="4" fillId="6" borderId="12" xfId="0" applyFont="1" applyFill="1" applyBorder="1" applyAlignment="1">
      <alignment wrapText="1"/>
    </xf>
    <xf numFmtId="0" fontId="0" fillId="0" borderId="13" xfId="0" applyBorder="1" applyAlignment="1">
      <alignment wrapText="1"/>
    </xf>
    <xf numFmtId="0" fontId="0" fillId="0" borderId="15" xfId="0" applyBorder="1" applyAlignment="1">
      <alignment wrapText="1"/>
    </xf>
    <xf numFmtId="0" fontId="4" fillId="0" borderId="14" xfId="0" applyFont="1" applyBorder="1" applyAlignment="1">
      <alignment wrapText="1"/>
    </xf>
    <xf numFmtId="0" fontId="0" fillId="0" borderId="1" xfId="0" applyBorder="1" applyAlignment="1">
      <alignment wrapText="1"/>
    </xf>
    <xf numFmtId="0" fontId="0" fillId="0" borderId="16" xfId="0" applyBorder="1" applyAlignment="1">
      <alignment wrapText="1"/>
    </xf>
    <xf numFmtId="0" fontId="0" fillId="0" borderId="4" xfId="0" applyBorder="1" applyAlignment="1">
      <alignment wrapText="1"/>
    </xf>
    <xf numFmtId="0" fontId="4" fillId="0" borderId="6" xfId="0" applyFont="1" applyBorder="1" applyAlignment="1">
      <alignment wrapText="1"/>
    </xf>
    <xf numFmtId="0" fontId="4" fillId="0" borderId="4" xfId="0" applyFont="1" applyBorder="1" applyAlignment="1">
      <alignment wrapText="1"/>
    </xf>
    <xf numFmtId="0" fontId="0" fillId="5" borderId="17" xfId="0" applyFill="1" applyBorder="1" applyAlignment="1">
      <alignment wrapText="1"/>
    </xf>
    <xf numFmtId="0" fontId="0" fillId="0" borderId="0" xfId="0" applyBorder="1" applyAlignment="1">
      <alignment wrapText="1"/>
    </xf>
    <xf numFmtId="0" fontId="0" fillId="0" borderId="17" xfId="0" applyFill="1" applyBorder="1" applyAlignment="1">
      <alignment wrapText="1"/>
    </xf>
    <xf numFmtId="0" fontId="4" fillId="0" borderId="17" xfId="0" applyFont="1" applyFill="1" applyBorder="1" applyAlignment="1">
      <alignment wrapText="1"/>
    </xf>
    <xf numFmtId="0" fontId="0" fillId="0" borderId="0" xfId="0" applyFill="1" applyAlignment="1">
      <alignment wrapText="1"/>
    </xf>
    <xf numFmtId="0" fontId="0" fillId="0" borderId="0" xfId="0" applyFill="1" applyBorder="1" applyAlignment="1">
      <alignment wrapText="1"/>
    </xf>
    <xf numFmtId="0" fontId="0" fillId="0" borderId="17" xfId="0" applyFill="1" applyBorder="1" applyAlignment="1">
      <alignment vertical="center" wrapText="1"/>
    </xf>
    <xf numFmtId="0" fontId="0" fillId="0" borderId="18" xfId="0" applyFill="1" applyBorder="1" applyAlignment="1">
      <alignment wrapText="1"/>
    </xf>
    <xf numFmtId="0" fontId="4" fillId="0" borderId="0" xfId="0" applyFont="1" applyFill="1" applyBorder="1" applyAlignment="1">
      <alignment wrapText="1"/>
    </xf>
    <xf numFmtId="0" fontId="0" fillId="0" borderId="0" xfId="0" applyFill="1" applyBorder="1" applyAlignment="1">
      <alignment vertical="top" wrapText="1"/>
    </xf>
    <xf numFmtId="0" fontId="0" fillId="0" borderId="0" xfId="0" applyFill="1" applyBorder="1" applyAlignment="1">
      <alignment vertical="center"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7" fillId="0" borderId="0" xfId="0" applyFont="1" applyFill="1" applyBorder="1" applyAlignment="1">
      <alignment horizontal="center"/>
    </xf>
    <xf numFmtId="0" fontId="0" fillId="0" borderId="19" xfId="0" applyBorder="1" applyAlignment="1">
      <alignment wrapText="1"/>
    </xf>
    <xf numFmtId="0" fontId="4" fillId="0" borderId="0" xfId="0" applyFont="1" applyFill="1" applyAlignment="1">
      <alignment wrapText="1"/>
    </xf>
    <xf numFmtId="0" fontId="5" fillId="0" borderId="0" xfId="0" applyFont="1" applyFill="1" applyAlignment="1">
      <alignment horizontal="center" wrapText="1"/>
    </xf>
    <xf numFmtId="0" fontId="4" fillId="0" borderId="4" xfId="0" applyFont="1" applyFill="1" applyBorder="1" applyAlignment="1">
      <alignment wrapText="1"/>
    </xf>
    <xf numFmtId="0" fontId="4" fillId="0" borderId="5" xfId="0" applyFont="1" applyFill="1" applyBorder="1" applyAlignment="1">
      <alignment wrapText="1"/>
    </xf>
    <xf numFmtId="0" fontId="4" fillId="0" borderId="6" xfId="0" applyFont="1" applyFill="1" applyBorder="1" applyAlignment="1">
      <alignment wrapText="1"/>
    </xf>
    <xf numFmtId="0" fontId="0" fillId="0" borderId="23" xfId="0" applyFill="1" applyBorder="1" applyAlignment="1">
      <alignment wrapText="1"/>
    </xf>
    <xf numFmtId="0" fontId="0" fillId="0" borderId="20" xfId="0" applyFill="1" applyBorder="1" applyAlignment="1">
      <alignment wrapText="1"/>
    </xf>
    <xf numFmtId="0" fontId="0" fillId="0" borderId="21" xfId="0" applyFill="1" applyBorder="1" applyAlignment="1">
      <alignment wrapText="1"/>
    </xf>
    <xf numFmtId="0" fontId="0" fillId="0" borderId="22" xfId="0" applyFill="1" applyBorder="1" applyAlignment="1">
      <alignment wrapText="1"/>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(Grafy!$C$2:$AP$2,Grafy!$BL$2:$BM$2)</c:f>
              <c:strCache>
                <c:ptCount val="42"/>
                <c:pt idx="0">
                  <c:v>Služby</c:v>
                </c:pt>
                <c:pt idx="1">
                  <c:v>Školství/ Vzdělávání</c:v>
                </c:pt>
                <c:pt idx="2">
                  <c:v>Administrativa/finanční sektor</c:v>
                </c:pt>
                <c:pt idx="3">
                  <c:v>Strojní průmysl</c:v>
                </c:pt>
                <c:pt idx="4">
                  <c:v>Stavební průmysl</c:v>
                </c:pt>
                <c:pt idx="5">
                  <c:v>Zemědělství</c:v>
                </c:pt>
                <c:pt idx="6">
                  <c:v>Kultura</c:v>
                </c:pt>
                <c:pt idx="7">
                  <c:v>Energetika</c:v>
                </c:pt>
                <c:pt idx="8">
                  <c:v>Doprava</c:v>
                </c:pt>
                <c:pt idx="9">
                  <c:v>IT sektor</c:v>
                </c:pt>
                <c:pt idx="10">
                  <c:v>Hornictví</c:v>
                </c:pt>
                <c:pt idx="11">
                  <c:v>Životní prostředí</c:v>
                </c:pt>
                <c:pt idx="12">
                  <c:v>Vedení účetnictví, daňové poradenství</c:v>
                </c:pt>
                <c:pt idx="13">
                  <c:v>zdravotnictví</c:v>
                </c:pt>
                <c:pt idx="14">
                  <c:v>výrobní průmysl</c:v>
                </c:pt>
                <c:pt idx="15">
                  <c:v>Textilní průmysl</c:v>
                </c:pt>
                <c:pt idx="16">
                  <c:v>Obchod</c:v>
                </c:pt>
                <c:pt idx="17">
                  <c:v>Finance</c:v>
                </c:pt>
                <c:pt idx="18">
                  <c:v>BOZP a PO</c:v>
                </c:pt>
                <c:pt idx="19">
                  <c:v>polygrafie</c:v>
                </c:pt>
                <c:pt idx="20">
                  <c:v>Vodárenství</c:v>
                </c:pt>
                <c:pt idx="21">
                  <c:v>sklářský průmysl</c:v>
                </c:pt>
                <c:pt idx="22">
                  <c:v>státní správa</c:v>
                </c:pt>
                <c:pt idx="23">
                  <c:v>dřevařský průmysl</c:v>
                </c:pt>
                <c:pt idx="24">
                  <c:v>Chemický průmysl</c:v>
                </c:pt>
                <c:pt idx="25">
                  <c:v>Neodpověděl/a</c:v>
                </c:pt>
                <c:pt idx="26">
                  <c:v>sociální práce, neziskový sektor</c:v>
                </c:pt>
                <c:pt idx="27">
                  <c:v>Zpracovatelský průmysl</c:v>
                </c:pt>
                <c:pt idx="28">
                  <c:v>Elektrotechnický průmysl</c:v>
                </c:pt>
                <c:pt idx="29">
                  <c:v>pojišťovnictví</c:v>
                </c:pt>
                <c:pt idx="30">
                  <c:v>poštovní a doručovatelské  služby</c:v>
                </c:pt>
                <c:pt idx="31">
                  <c:v>Restaurátorství</c:v>
                </c:pt>
                <c:pt idx="32">
                  <c:v>cestovní ruch</c:v>
                </c:pt>
                <c:pt idx="33">
                  <c:v>Kožedělný průmysl</c:v>
                </c:pt>
                <c:pt idx="34">
                  <c:v>nábytek</c:v>
                </c:pt>
                <c:pt idx="35">
                  <c:v>Papírenský průmysl</c:v>
                </c:pt>
                <c:pt idx="36">
                  <c:v>Pohostinství</c:v>
                </c:pt>
                <c:pt idx="37">
                  <c:v>slévárenství</c:v>
                </c:pt>
                <c:pt idx="38">
                  <c:v>sport</c:v>
                </c:pt>
                <c:pt idx="39">
                  <c:v>Biologie vyzkum</c:v>
                </c:pt>
                <c:pt idx="40">
                  <c:v>skladování</c:v>
                </c:pt>
                <c:pt idx="41">
                  <c:v>Slévárenství</c:v>
                </c:pt>
              </c:strCache>
              <c:extLst>
                <c:ext xmlns:c15="http://schemas.microsoft.com/office/drawing/2012/chart" uri="{02D57815-91ED-43cb-92C2-25804820EDAC}">
                  <c15:fullRef>
                    <c15:sqref>Grafy!$C$2:$BP$2</c15:sqref>
                  </c15:fullRef>
                </c:ext>
              </c:extLst>
            </c:strRef>
          </c:cat>
          <c:val>
            <c:numRef>
              <c:f>(Grafy!$C$3:$AP$3,Grafy!$BL$3:$BM$3)</c:f>
              <c:numCache>
                <c:formatCode>General</c:formatCode>
                <c:ptCount val="42"/>
                <c:pt idx="0">
                  <c:v>192</c:v>
                </c:pt>
                <c:pt idx="1">
                  <c:v>103</c:v>
                </c:pt>
                <c:pt idx="2">
                  <c:v>98</c:v>
                </c:pt>
                <c:pt idx="3">
                  <c:v>75</c:v>
                </c:pt>
                <c:pt idx="4">
                  <c:v>65</c:v>
                </c:pt>
                <c:pt idx="5">
                  <c:v>42</c:v>
                </c:pt>
                <c:pt idx="6">
                  <c:v>28</c:v>
                </c:pt>
                <c:pt idx="7">
                  <c:v>27</c:v>
                </c:pt>
                <c:pt idx="8">
                  <c:v>21</c:v>
                </c:pt>
                <c:pt idx="9">
                  <c:v>21</c:v>
                </c:pt>
                <c:pt idx="10">
                  <c:v>17</c:v>
                </c:pt>
                <c:pt idx="11">
                  <c:v>15</c:v>
                </c:pt>
                <c:pt idx="12">
                  <c:v>14</c:v>
                </c:pt>
                <c:pt idx="13">
                  <c:v>13</c:v>
                </c:pt>
                <c:pt idx="14">
                  <c:v>10</c:v>
                </c:pt>
                <c:pt idx="15">
                  <c:v>9</c:v>
                </c:pt>
                <c:pt idx="16">
                  <c:v>8</c:v>
                </c:pt>
                <c:pt idx="17">
                  <c:v>7</c:v>
                </c:pt>
                <c:pt idx="18">
                  <c:v>6</c:v>
                </c:pt>
                <c:pt idx="19">
                  <c:v>6</c:v>
                </c:pt>
                <c:pt idx="20">
                  <c:v>6</c:v>
                </c:pt>
                <c:pt idx="21">
                  <c:v>5</c:v>
                </c:pt>
                <c:pt idx="22">
                  <c:v>5</c:v>
                </c:pt>
                <c:pt idx="23">
                  <c:v>4</c:v>
                </c:pt>
                <c:pt idx="24">
                  <c:v>4</c:v>
                </c:pt>
                <c:pt idx="25">
                  <c:v>4</c:v>
                </c:pt>
                <c:pt idx="26">
                  <c:v>4</c:v>
                </c:pt>
                <c:pt idx="27">
                  <c:v>4</c:v>
                </c:pt>
                <c:pt idx="28">
                  <c:v>3</c:v>
                </c:pt>
                <c:pt idx="29">
                  <c:v>3</c:v>
                </c:pt>
                <c:pt idx="30">
                  <c:v>3</c:v>
                </c:pt>
                <c:pt idx="31">
                  <c:v>3</c:v>
                </c:pt>
                <c:pt idx="32">
                  <c:v>2</c:v>
                </c:pt>
                <c:pt idx="33">
                  <c:v>2</c:v>
                </c:pt>
                <c:pt idx="34">
                  <c:v>2</c:v>
                </c:pt>
                <c:pt idx="35">
                  <c:v>2</c:v>
                </c:pt>
                <c:pt idx="36">
                  <c:v>2</c:v>
                </c:pt>
                <c:pt idx="37">
                  <c:v>2</c:v>
                </c:pt>
                <c:pt idx="38">
                  <c:v>2</c:v>
                </c:pt>
                <c:pt idx="39">
                  <c:v>1</c:v>
                </c:pt>
                <c:pt idx="40">
                  <c:v>1</c:v>
                </c:pt>
                <c:pt idx="41">
                  <c:v>1</c:v>
                </c:pt>
              </c:numCache>
              <c:extLst>
                <c:ext xmlns:c15="http://schemas.microsoft.com/office/drawing/2012/chart" uri="{02D57815-91ED-43cb-92C2-25804820EDAC}">
                  <c15:fullRef>
                    <c15:sqref>Grafy!$C$3:$BP$3</c15:sqref>
                  </c15:fullRef>
                </c:ext>
              </c:extLst>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7165559092347527"/>
          <c:y val="8.5659813356663783E-2"/>
          <c:w val="0.31285979877515335"/>
          <c:h val="0.83793963254593196"/>
        </c:manualLayout>
      </c:layout>
      <c:overlay val="0"/>
      <c:txPr>
        <a:bodyPr/>
        <a:lstStyle/>
        <a:p>
          <a:pPr rtl="0">
            <a:defRPr/>
          </a:pPr>
          <a:endParaRPr lang="cs-CZ"/>
        </a:p>
      </c:txPr>
    </c:legend>
    <c:plotVisOnly val="1"/>
    <c:dispBlanksAs val="gap"/>
    <c:showDLblsOverMax val="0"/>
  </c:chart>
  <c:printSettings>
    <c:headerFooter/>
    <c:pageMargins b="0.78740157499999996" l="0.70000000000000018" r="0.70000000000000018" t="0.78740157499999996"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Grafy!$C$336:$F$336</c:f>
              <c:strCache>
                <c:ptCount val="4"/>
                <c:pt idx="0">
                  <c:v>Nemám názor</c:v>
                </c:pt>
                <c:pt idx="1">
                  <c:v>Nesouhlasím se snížením požadavků na výkon profesí</c:v>
                </c:pt>
                <c:pt idx="2">
                  <c:v>Uvítal/a</c:v>
                </c:pt>
                <c:pt idx="3">
                  <c:v>Neodpověděl</c:v>
                </c:pt>
              </c:strCache>
            </c:strRef>
          </c:cat>
          <c:val>
            <c:numRef>
              <c:f>Grafy!$C$337:$F$337</c:f>
              <c:numCache>
                <c:formatCode>General</c:formatCode>
                <c:ptCount val="4"/>
                <c:pt idx="0">
                  <c:v>253</c:v>
                </c:pt>
                <c:pt idx="1">
                  <c:v>442</c:v>
                </c:pt>
                <c:pt idx="2">
                  <c:v>109</c:v>
                </c:pt>
                <c:pt idx="3">
                  <c:v>22</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4488018173433304"/>
          <c:y val="0.11806722076407115"/>
          <c:w val="0.34201012292118577"/>
          <c:h val="0.77967686565130923"/>
        </c:manualLayout>
      </c:layout>
      <c:overlay val="0"/>
    </c:legend>
    <c:plotVisOnly val="1"/>
    <c:dispBlanksAs val="gap"/>
    <c:showDLblsOverMax val="0"/>
  </c:chart>
  <c:printSettings>
    <c:headerFooter/>
    <c:pageMargins b="0.78740157499999996" l="0.70000000000000007" r="0.70000000000000007" t="0.78740157499999996"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Grafy!$C$360:$CD$360</c:f>
              <c:strCache>
                <c:ptCount val="80"/>
                <c:pt idx="0">
                  <c:v>Pomoci školám</c:v>
                </c:pt>
                <c:pt idx="1">
                  <c:v>Nemám názor</c:v>
                </c:pt>
                <c:pt idx="2">
                  <c:v>Nemohu hodnotit</c:v>
                </c:pt>
                <c:pt idx="3">
                  <c:v>požadavky žádné nejsou - kvalita již nízká je</c:v>
                </c:pt>
                <c:pt idx="4">
                  <c:v>snížení bezpečnosti dopravy</c:v>
                </c:pt>
                <c:pt idx="5">
                  <c:v>Snížení cen produktů či služeb</c:v>
                </c:pt>
                <c:pt idx="6">
                  <c:v>Snížení cen produktů či služeb, Zvýšení konkurence</c:v>
                </c:pt>
                <c:pt idx="7">
                  <c:v>Snížení flexibility pracovního trhu</c:v>
                </c:pt>
                <c:pt idx="8">
                  <c:v>Snížení flexibility pracovního trhu, Snížení konkurence</c:v>
                </c:pt>
                <c:pt idx="9">
                  <c:v>Snížení kvality výrobků a služeb</c:v>
                </c:pt>
                <c:pt idx="10">
                  <c:v>Snížení kvality výrobků a služeb, Snížení cen produktů či služeb</c:v>
                </c:pt>
                <c:pt idx="11">
                  <c:v>Snížení kvality výrobků a služeb, k excesům v oblasti přestupků a trestního práva</c:v>
                </c:pt>
                <c:pt idx="12">
                  <c:v>Snížení kvality výrobků a služeb, Snížení cen produktů či služeb, Zvýšení konkurence</c:v>
                </c:pt>
                <c:pt idx="13">
                  <c:v>Snížení kvality výrobků a služeb, Snížení cen produktů či služeb, Zvýšení konkurence, konkurence nekalé</c:v>
                </c:pt>
                <c:pt idx="14">
                  <c:v>Snížení kvality výrobků a služeb, Snížení flexibility pracovního trhu, Snížení konkurence</c:v>
                </c:pt>
                <c:pt idx="15">
                  <c:v>Snížení kvality výrobků a služeb, Snížení flexibility pracovního trhu, Zvýšení cen produktů či služeb, Zvýšení konkurence</c:v>
                </c:pt>
                <c:pt idx="16">
                  <c:v>Snížení kvality výrobků a služeb, Snížení konkurence</c:v>
                </c:pt>
                <c:pt idx="17">
                  <c:v>Snížení kvality výrobků a služeb, větším daňovým únikům</c:v>
                </c:pt>
                <c:pt idx="18">
                  <c:v>Snížení kvality výrobků a služeb, zákazník by nebyl chráněn, tak jako je doposud (v naší profesi např. povinné pojištění, další vzdělávání apod.)</c:v>
                </c:pt>
                <c:pt idx="19">
                  <c:v>Snížení kvality výrobků a služeb, Zvýšení cen produktů či služeb</c:v>
                </c:pt>
                <c:pt idx="20">
                  <c:v>Snížení kvality výrobků a služeb, Zvýšení cen produktů či služeb, Zvýšení konkurence</c:v>
                </c:pt>
                <c:pt idx="21">
                  <c:v>Snížení kvality výrobků a služeb, Zvýšení flexibility pracovního trhu</c:v>
                </c:pt>
                <c:pt idx="22">
                  <c:v>Snížení kvality výrobků a služeb, Zvýšení flexibility pracovního trhu, Právní jistotu zákazníků</c:v>
                </c:pt>
                <c:pt idx="23">
                  <c:v>Snížení kvality výrobků a služeb, Zvýšení flexibility pracovního trhu, Snížení cen produktů či služeb</c:v>
                </c:pt>
                <c:pt idx="24">
                  <c:v>Snížení kvality výrobků a služeb, Zvýšení flexibility pracovního trhu, Snížení cen produktů či služeb, Zvýšení konkurence</c:v>
                </c:pt>
                <c:pt idx="25">
                  <c:v>Snížení kvality výrobků a služeb, Zvýšení flexibility pracovního trhu, Snížení konkurence, test</c:v>
                </c:pt>
                <c:pt idx="26">
                  <c:v>Snížení kvality výrobků a služeb, Zvýšení flexibility pracovního trhu, Zvýšení cen produktů či služeb</c:v>
                </c:pt>
                <c:pt idx="27">
                  <c:v>Snížení kvality výrobků a služeb, Zvýšení flexibility pracovního trhu, Zvýšení konkurence</c:v>
                </c:pt>
                <c:pt idx="28">
                  <c:v>Snížení kvality výrobků a služeb, Zvýšení konkurence</c:v>
                </c:pt>
                <c:pt idx="29">
                  <c:v>Snížení kvality výrobků a služeb, Zvýšení kvality výrobků a služeb, Zvýšení flexibility pracovního trhu, Zvýšení konkurence</c:v>
                </c:pt>
                <c:pt idx="30">
                  <c:v>stávající stav nezmění kvalitu služeb</c:v>
                </c:pt>
                <c:pt idx="31">
                  <c:v>nemám zkušenost</c:v>
                </c:pt>
                <c:pt idx="32">
                  <c:v>Zvýšení flexibility pracovního trhu</c:v>
                </c:pt>
                <c:pt idx="33">
                  <c:v>Zvýšení flexibility pracovního trhu, Snížení cen produktů či služeb</c:v>
                </c:pt>
                <c:pt idx="34">
                  <c:v>Zvýšení flexibility pracovního trhu, Snížení cen produktů či služeb, Zvýšení konkurence</c:v>
                </c:pt>
                <c:pt idx="35">
                  <c:v>Zvýšení flexibility pracovního trhu, Zvýšení konkurence</c:v>
                </c:pt>
                <c:pt idx="36">
                  <c:v>Zvýšení konkurence</c:v>
                </c:pt>
                <c:pt idx="37">
                  <c:v>Zvýšení konkurence, a zároveň ke zvýšení kvality absolventů</c:v>
                </c:pt>
                <c:pt idx="38">
                  <c:v>zvýšení konkurenceschopnosti vůči ostatním zahraničním subjektům</c:v>
                </c:pt>
                <c:pt idx="39">
                  <c:v>Zvýšení kvality výrobků a služeb</c:v>
                </c:pt>
                <c:pt idx="40">
                  <c:v>Zvýšení kvality výrobků a služeb, Snížení cen produktů či služeb</c:v>
                </c:pt>
                <c:pt idx="41">
                  <c:v>Zvýšení kvality výrobků a služeb, Snížení cen produktů či služeb, Zvýšení konkurence</c:v>
                </c:pt>
                <c:pt idx="42">
                  <c:v>Zvýšení kvality výrobků a služeb, Zvýšení flexibility pracovního trhu, Snížení cen produktů či služeb, Zvýšení cen produktů či služeb, Zvýšení konkurence</c:v>
                </c:pt>
                <c:pt idx="43">
                  <c:v>Zvýšení kvality výrobků a služeb, Zvýšení flexibility pracovního trhu, Snížení cen produktů či služeb, Zvýšení konkurence</c:v>
                </c:pt>
                <c:pt idx="44">
                  <c:v>Zvýšení kvality výrobků a služeb, Zvýšení flexibility pracovního trhu, Snížení konkurence</c:v>
                </c:pt>
                <c:pt idx="45">
                  <c:v>Zvýšení kvality výrobků a služeb, Zvýšení flexibility pracovního trhu, Zvýšení konkurence</c:v>
                </c:pt>
                <c:pt idx="46">
                  <c:v>Bez odpovědi</c:v>
                </c:pt>
                <c:pt idx="47">
                  <c:v>Snížení kvality výrobků a služeb, ohrožení bezpečnosti drážní dopravy</c:v>
                </c:pt>
                <c:pt idx="48">
                  <c:v>Snížení kvality výrobků a služeb, Zvýšení flexibility pracovního trhu, Snížení cen produktů či služeb, Zvýšení konkurence, zhoršení BOZP</c:v>
                </c:pt>
                <c:pt idx="49">
                  <c:v>Snížení kvality výrobků a služeb, Snížení cen produktů či služeb, Snížení konkurence</c:v>
                </c:pt>
                <c:pt idx="50">
                  <c:v>Snížení konkurence</c:v>
                </c:pt>
                <c:pt idx="51">
                  <c:v>Snížení kvality výrobků a služeb, Snížení cen produktů či služeb</c:v>
                </c:pt>
                <c:pt idx="52">
                  <c:v>Snížení kvality výrobků a služeb, Zvýšení flexibility pracovního trhu, Zvýšení konkurence, zvýšení devastace trhu</c:v>
                </c:pt>
                <c:pt idx="53">
                  <c:v>Snížení kvality výrobků a služeb, Snížení cen produktů či služeb, Snížení konkurence, v naší oblasti vykonávané práce je jediným a rozhodujícím ukazatelem kvalita</c:v>
                </c:pt>
                <c:pt idx="54">
                  <c:v>Snížení kvality výrobků a služeb, ohrožení odborné správy kulturního dědictví</c:v>
                </c:pt>
                <c:pt idx="55">
                  <c:v>uplatnění v oboru</c:v>
                </c:pt>
                <c:pt idx="56">
                  <c:v>je to špatné slevovat z požadavků</c:v>
                </c:pt>
                <c:pt idx="57">
                  <c:v>Zvýšení flexibility pracovního trhu, zaměstnávání Čechů namísto cizinců</c:v>
                </c:pt>
                <c:pt idx="58">
                  <c:v>zvýšené nebezpečí úrazů a hmotných škod</c:v>
                </c:pt>
                <c:pt idx="59">
                  <c:v>nevím</c:v>
                </c:pt>
                <c:pt idx="60">
                  <c:v>nejsem odborník v tomto segmentu, takže se nemohu vyjadřovat obecně.</c:v>
                </c:pt>
                <c:pt idx="61">
                  <c:v>Snížení kvality výrobků a služeb, Zvýšení flexibility pracovního trhu, Snížení cen produktů či služeb, Snížení konkurence</c:v>
                </c:pt>
                <c:pt idx="62">
                  <c:v>Zvýšení flexibility pracovního trhu, Snížení flexibility pracovního trhu, Snížení cen produktů či služeb</c:v>
                </c:pt>
                <c:pt idx="63">
                  <c:v>Zvýšení kvality výrobků a služeb, Zvýšení flexibility pracovního trhu, Zvýšení cen produktů či služeb, Zvýšení konkurence</c:v>
                </c:pt>
                <c:pt idx="64">
                  <c:v>Snížení kvality výrobků a služeb, Snížení cen produktů či služeb, Zvýšení konkurence</c:v>
                </c:pt>
                <c:pt idx="65">
                  <c:v>Zvýšení kvality výrobků a služeb, Zvýšení flexibility pracovního trhu, Snížení cen produktů či služeb, Zvýšení konkurence</c:v>
                </c:pt>
                <c:pt idx="66">
                  <c:v>nemuselo by se nic zásadního změnit</c:v>
                </c:pt>
                <c:pt idx="67">
                  <c:v>Snížení kvality výrobků a služeb, ohrožení zdraví a životního prostředí</c:v>
                </c:pt>
                <c:pt idx="68">
                  <c:v>Zvýšení flexibility pracovního trhu, Snížení konkurence</c:v>
                </c:pt>
                <c:pt idx="69">
                  <c:v>Snížení kvality výrobků a služeb, Snížení flexibility pracovního trhu, Snížení cen produktů či služeb, Degradaci  a  úpadku</c:v>
                </c:pt>
                <c:pt idx="70">
                  <c:v>chaosu na silnicích</c:v>
                </c:pt>
                <c:pt idx="71">
                  <c:v>nemám názor</c:v>
                </c:pt>
                <c:pt idx="72">
                  <c:v>Snížení kvality výrobků a služeb, Zvýšení flexibility pracovního trhu, Zvýšení konkurence, reklamace výsledků činnosti</c:v>
                </c:pt>
                <c:pt idx="73">
                  <c:v>nemám na mysli snížení požadavků, jen přesnou specifikaci</c:v>
                </c:pt>
                <c:pt idx="74">
                  <c:v>vyšší riziko bezpečnosti práce</c:v>
                </c:pt>
                <c:pt idx="75">
                  <c:v>zhoršení výkonu st. správy</c:v>
                </c:pt>
                <c:pt idx="76">
                  <c:v>snížení stupně bezpečnosti práce a provozu</c:v>
                </c:pt>
                <c:pt idx="77">
                  <c:v>Snížení kvality výrobků a služeb, Snížení flexibility pracovního trhu, Snížení cen produktů či služeb, Snížení konkurence</c:v>
                </c:pt>
                <c:pt idx="78">
                  <c:v>Snížení kvality výrobků a služeb, Snížení flexibility pracovního trhu, Zvýšení cen produktů či služeb, Zvýšení konkurence</c:v>
                </c:pt>
                <c:pt idx="79">
                  <c:v>snížení řemeslné hodnoty</c:v>
                </c:pt>
              </c:strCache>
            </c:strRef>
          </c:cat>
          <c:val>
            <c:numRef>
              <c:f>Grafy!$C$361:$CD$361</c:f>
              <c:numCache>
                <c:formatCode>General</c:formatCode>
                <c:ptCount val="80"/>
                <c:pt idx="0">
                  <c:v>1</c:v>
                </c:pt>
                <c:pt idx="1">
                  <c:v>5</c:v>
                </c:pt>
                <c:pt idx="2">
                  <c:v>1</c:v>
                </c:pt>
                <c:pt idx="3">
                  <c:v>1</c:v>
                </c:pt>
                <c:pt idx="4">
                  <c:v>1</c:v>
                </c:pt>
                <c:pt idx="5">
                  <c:v>4</c:v>
                </c:pt>
                <c:pt idx="6">
                  <c:v>16</c:v>
                </c:pt>
                <c:pt idx="7">
                  <c:v>8</c:v>
                </c:pt>
                <c:pt idx="8">
                  <c:v>2</c:v>
                </c:pt>
                <c:pt idx="9">
                  <c:v>329</c:v>
                </c:pt>
                <c:pt idx="10">
                  <c:v>15</c:v>
                </c:pt>
                <c:pt idx="11">
                  <c:v>1</c:v>
                </c:pt>
                <c:pt idx="12">
                  <c:v>11</c:v>
                </c:pt>
                <c:pt idx="13">
                  <c:v>1</c:v>
                </c:pt>
                <c:pt idx="14">
                  <c:v>14</c:v>
                </c:pt>
                <c:pt idx="15">
                  <c:v>5</c:v>
                </c:pt>
                <c:pt idx="16">
                  <c:v>23</c:v>
                </c:pt>
                <c:pt idx="17">
                  <c:v>1</c:v>
                </c:pt>
                <c:pt idx="18">
                  <c:v>1</c:v>
                </c:pt>
                <c:pt idx="19">
                  <c:v>2</c:v>
                </c:pt>
                <c:pt idx="20">
                  <c:v>2</c:v>
                </c:pt>
                <c:pt idx="21">
                  <c:v>52</c:v>
                </c:pt>
                <c:pt idx="22">
                  <c:v>1</c:v>
                </c:pt>
                <c:pt idx="23">
                  <c:v>1</c:v>
                </c:pt>
                <c:pt idx="24">
                  <c:v>16</c:v>
                </c:pt>
                <c:pt idx="25">
                  <c:v>4</c:v>
                </c:pt>
                <c:pt idx="26">
                  <c:v>1</c:v>
                </c:pt>
                <c:pt idx="27">
                  <c:v>35</c:v>
                </c:pt>
                <c:pt idx="28">
                  <c:v>26</c:v>
                </c:pt>
                <c:pt idx="29">
                  <c:v>2</c:v>
                </c:pt>
                <c:pt idx="30">
                  <c:v>1</c:v>
                </c:pt>
                <c:pt idx="31">
                  <c:v>1</c:v>
                </c:pt>
                <c:pt idx="32">
                  <c:v>19</c:v>
                </c:pt>
                <c:pt idx="33">
                  <c:v>13</c:v>
                </c:pt>
                <c:pt idx="34">
                  <c:v>8</c:v>
                </c:pt>
                <c:pt idx="35">
                  <c:v>11</c:v>
                </c:pt>
                <c:pt idx="36">
                  <c:v>16</c:v>
                </c:pt>
                <c:pt idx="37">
                  <c:v>1</c:v>
                </c:pt>
                <c:pt idx="38">
                  <c:v>1</c:v>
                </c:pt>
                <c:pt idx="39">
                  <c:v>6</c:v>
                </c:pt>
                <c:pt idx="40">
                  <c:v>1</c:v>
                </c:pt>
                <c:pt idx="41">
                  <c:v>1</c:v>
                </c:pt>
                <c:pt idx="42">
                  <c:v>1</c:v>
                </c:pt>
                <c:pt idx="43">
                  <c:v>4</c:v>
                </c:pt>
                <c:pt idx="44">
                  <c:v>1</c:v>
                </c:pt>
                <c:pt idx="45">
                  <c:v>2</c:v>
                </c:pt>
                <c:pt idx="46">
                  <c:v>24</c:v>
                </c:pt>
                <c:pt idx="47">
                  <c:v>1</c:v>
                </c:pt>
                <c:pt idx="48">
                  <c:v>1</c:v>
                </c:pt>
                <c:pt idx="49">
                  <c:v>2</c:v>
                </c:pt>
                <c:pt idx="50">
                  <c:v>7</c:v>
                </c:pt>
                <c:pt idx="51">
                  <c:v>6</c:v>
                </c:pt>
                <c:pt idx="52">
                  <c:v>1</c:v>
                </c:pt>
                <c:pt idx="53">
                  <c:v>1</c:v>
                </c:pt>
                <c:pt idx="54">
                  <c:v>1</c:v>
                </c:pt>
                <c:pt idx="55">
                  <c:v>1</c:v>
                </c:pt>
                <c:pt idx="56">
                  <c:v>1</c:v>
                </c:pt>
                <c:pt idx="57">
                  <c:v>1</c:v>
                </c:pt>
                <c:pt idx="58">
                  <c:v>1</c:v>
                </c:pt>
                <c:pt idx="59">
                  <c:v>5</c:v>
                </c:pt>
                <c:pt idx="60">
                  <c:v>1</c:v>
                </c:pt>
                <c:pt idx="61">
                  <c:v>2</c:v>
                </c:pt>
                <c:pt idx="62">
                  <c:v>1</c:v>
                </c:pt>
                <c:pt idx="63">
                  <c:v>1</c:v>
                </c:pt>
                <c:pt idx="64">
                  <c:v>12</c:v>
                </c:pt>
                <c:pt idx="65">
                  <c:v>1</c:v>
                </c:pt>
                <c:pt idx="66">
                  <c:v>1</c:v>
                </c:pt>
                <c:pt idx="67">
                  <c:v>1</c:v>
                </c:pt>
                <c:pt idx="68">
                  <c:v>1</c:v>
                </c:pt>
                <c:pt idx="69">
                  <c:v>1</c:v>
                </c:pt>
                <c:pt idx="70">
                  <c:v>1</c:v>
                </c:pt>
                <c:pt idx="71">
                  <c:v>3</c:v>
                </c:pt>
                <c:pt idx="72">
                  <c:v>1</c:v>
                </c:pt>
                <c:pt idx="73">
                  <c:v>1</c:v>
                </c:pt>
                <c:pt idx="74">
                  <c:v>1</c:v>
                </c:pt>
                <c:pt idx="75">
                  <c:v>1</c:v>
                </c:pt>
                <c:pt idx="76">
                  <c:v>1</c:v>
                </c:pt>
                <c:pt idx="77">
                  <c:v>2</c:v>
                </c:pt>
                <c:pt idx="78">
                  <c:v>1</c:v>
                </c:pt>
                <c:pt idx="79">
                  <c:v>1</c:v>
                </c:pt>
              </c:numCache>
            </c:numRef>
          </c:val>
        </c:ser>
        <c:dLbls>
          <c:showLegendKey val="0"/>
          <c:showVal val="0"/>
          <c:showCatName val="0"/>
          <c:showSerName val="0"/>
          <c:showPercent val="0"/>
          <c:showBubbleSize val="0"/>
        </c:dLbls>
        <c:gapWidth val="150"/>
        <c:axId val="146144768"/>
        <c:axId val="147921664"/>
      </c:barChart>
      <c:catAx>
        <c:axId val="146144768"/>
        <c:scaling>
          <c:orientation val="minMax"/>
        </c:scaling>
        <c:delete val="0"/>
        <c:axPos val="l"/>
        <c:numFmt formatCode="General" sourceLinked="0"/>
        <c:majorTickMark val="out"/>
        <c:minorTickMark val="none"/>
        <c:tickLblPos val="nextTo"/>
        <c:crossAx val="147921664"/>
        <c:crosses val="autoZero"/>
        <c:auto val="1"/>
        <c:lblAlgn val="ctr"/>
        <c:lblOffset val="100"/>
        <c:noMultiLvlLbl val="0"/>
      </c:catAx>
      <c:valAx>
        <c:axId val="147921664"/>
        <c:scaling>
          <c:orientation val="minMax"/>
        </c:scaling>
        <c:delete val="0"/>
        <c:axPos val="b"/>
        <c:majorGridlines/>
        <c:numFmt formatCode="General" sourceLinked="1"/>
        <c:majorTickMark val="out"/>
        <c:minorTickMark val="none"/>
        <c:tickLblPos val="nextTo"/>
        <c:crossAx val="146144768"/>
        <c:crosses val="autoZero"/>
        <c:crossBetween val="between"/>
      </c:valAx>
    </c:plotArea>
    <c:legend>
      <c:legendPos val="r"/>
      <c:layout/>
      <c:overlay val="0"/>
    </c:legend>
    <c:plotVisOnly val="1"/>
    <c:dispBlanksAs val="gap"/>
    <c:showDLblsOverMax val="0"/>
  </c:chart>
  <c:printSettings>
    <c:headerFooter/>
    <c:pageMargins b="0.78740157499999996" l="0.70000000000000007" r="0.70000000000000007" t="0.78740157499999996"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Grafy!$C$415:$F$415</c:f>
              <c:strCache>
                <c:ptCount val="4"/>
                <c:pt idx="0">
                  <c:v>Mám několik informací o Národní soustavě kvalifikací, ale nepracuji s ní</c:v>
                </c:pt>
                <c:pt idx="1">
                  <c:v>Národní soustavu kvalifikací a profesní kvalifikace jsou součástí personální politiky firmy</c:v>
                </c:pt>
                <c:pt idx="2">
                  <c:v>O systému nic nevím</c:v>
                </c:pt>
                <c:pt idx="3">
                  <c:v>Neodpověděl/a</c:v>
                </c:pt>
              </c:strCache>
            </c:strRef>
          </c:cat>
          <c:val>
            <c:numRef>
              <c:f>Grafy!$C$416:$F$416</c:f>
              <c:numCache>
                <c:formatCode>General</c:formatCode>
                <c:ptCount val="4"/>
                <c:pt idx="0">
                  <c:v>467</c:v>
                </c:pt>
                <c:pt idx="1">
                  <c:v>257</c:v>
                </c:pt>
                <c:pt idx="2">
                  <c:v>84</c:v>
                </c:pt>
                <c:pt idx="3">
                  <c:v>9</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0.78740157499999996" l="0.70000000000000007" r="0.70000000000000007" t="0.78740157499999996"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Grafy!$C$436:$E$436</c:f>
              <c:strCache>
                <c:ptCount val="3"/>
                <c:pt idx="0">
                  <c:v>ano</c:v>
                </c:pt>
                <c:pt idx="1">
                  <c:v>ne</c:v>
                </c:pt>
                <c:pt idx="2">
                  <c:v>neodpověděl/a</c:v>
                </c:pt>
              </c:strCache>
            </c:strRef>
          </c:cat>
          <c:val>
            <c:numRef>
              <c:f>Grafy!$C$437:$E$437</c:f>
              <c:numCache>
                <c:formatCode>General</c:formatCode>
                <c:ptCount val="3"/>
                <c:pt idx="0">
                  <c:v>338</c:v>
                </c:pt>
                <c:pt idx="1">
                  <c:v>444</c:v>
                </c:pt>
                <c:pt idx="2">
                  <c:v>44</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8740157499999996" l="0.70000000000000007" r="0.70000000000000007" t="0.78740157499999996"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Grafy!$C$458:$AI$458</c:f>
              <c:strCache>
                <c:ptCount val="29"/>
                <c:pt idx="0">
                  <c:v>121, 118,645,325,147,670,649, 6, 9, 623, 345, 645, 374, 348, 368, 379, 370, 144, 376, 369, 358, 367,
</c:v>
                </c:pt>
                <c:pt idx="1">
                  <c:v>Ano, pouze u některých, za předpokladu vykonání odborných zkoušek, ne pouze formálních zkoušek.</c:v>
                </c:pt>
                <c:pt idx="2">
                  <c:v>číšník/servírka
pivovarník/sladovník (znalosti si ověří zaměstnavatel)</c:v>
                </c:pt>
                <c:pt idx="3">
                  <c:v>účetnictví a daňové poradenství</c:v>
                </c:pt>
                <c:pt idx="4">
                  <c:v>Dobrovolná kvalifikace bez podpory ze strany státu nemá žádný význam - viz dobrovolná certifikace účetních u KCÚ zaštítěná ACCA, která v ČR nemá žádný praktický význam pro toho, kdo ji získá. A to funguje od roku 1998 - naprosto k ničemu!!</c:v>
                </c:pt>
                <c:pt idx="5">
                  <c:v>K této odpovědi nemám potřebné informace z uvedené oblasti. Proto uvádím ne.</c:v>
                </c:pt>
                <c:pt idx="6">
                  <c:v>možným řešením by byly cechy, které by dbali na kvalitu výkonu profese a měli by právo oprávnění odebrat</c:v>
                </c:pt>
                <c:pt idx="7">
                  <c:v>Musí být kvalitní a náročná PK a hlavně úplná</c:v>
                </c:pt>
                <c:pt idx="8">
                  <c:v>např. úklidový pracovník</c:v>
                </c:pt>
                <c:pt idx="9">
                  <c:v>Ne, protože dosažení kvalifikace je jen vstup, dále musí její úroveň někdo hlídat a udržovat, což registr určitě nezastane:-)</c:v>
                </c:pt>
                <c:pt idx="10">
                  <c:v>obecně ano, konkrétní povolání nedokážu specifikovat</c:v>
                </c:pt>
                <c:pt idx="11">
                  <c:v>Odborně způsobilá osoba v prevenci rizik, Koordinátor na staveništi</c:v>
                </c:pt>
                <c:pt idx="12">
                  <c:v>OZO v BOZP pro školství</c:v>
                </c:pt>
                <c:pt idx="13">
                  <c:v>Polygrafické profese</c:v>
                </c:pt>
                <c:pt idx="14">
                  <c:v>Povinné členství v Komoře certifikovaných účetních - to by ochránilo jak nás, účetní, tak i naše klienty.</c:v>
                </c:pt>
                <c:pt idx="15">
                  <c:v>poznámka:
pokud by mělo být povinné získání kvalifikace nahrazeno dobrovolnou, k čemu by to bylo? To by pak nemuselo být vůbec. Nedávalo by to smysl.</c:v>
                </c:pt>
                <c:pt idx="16">
                  <c:v>Právníci, advokáti, finanční poradci, investiční zprostředkovatelé. Pravděpodobně mnoho dalších, nicméně o nich nemám dostatek informací pro toho, abych byl schopen a ochoten něco doporučovat.</c:v>
                </c:pt>
                <c:pt idx="17">
                  <c:v>řemeslné profese</c:v>
                </c:pt>
                <c:pt idx="18">
                  <c:v>servisní technik hasících přístrojů</c:v>
                </c:pt>
                <c:pt idx="19">
                  <c:v>stavebnictví</c:v>
                </c:pt>
                <c:pt idx="20">
                  <c:v>trenér, pedagog volného času</c:v>
                </c:pt>
                <c:pt idx="21">
                  <c:v>U neohrožujících lidské zdraví.</c:v>
                </c:pt>
                <c:pt idx="22">
                  <c:v>U profesí z kategorie regulovaných profesí, které v naší společnosti máme obsazeny, již platí možnost uznání dobrovolného osvědčení o profesní kvalifikaci (Z. č. 179/2006 Sb.).</c:v>
                </c:pt>
                <c:pt idx="23">
                  <c:v>u všech</c:v>
                </c:pt>
                <c:pt idx="24">
                  <c:v>u všech těch profesí, u kterých přebujelá byrokracie nařídila povinou profesní kvalifikaci jen proto aby omezila konkurenci na trhu</c:v>
                </c:pt>
                <c:pt idx="25">
                  <c:v>u žádné z profesí, které jsou dnes podřazeny pod systém povinné regulace, bych dobrovolné získávání nedoporučovala. Naopak u některých profesí (realitní makléř, finanční poradce) bych doporučovala zavedení povinného členství,zkoušek apod.</c:v>
                </c:pt>
                <c:pt idx="26">
                  <c:v>z mého pohledu jde zejména o stavby ekologické,pasivní</c:v>
                </c:pt>
                <c:pt idx="27">
                  <c:v>Znalec v oceňování majetku pro věci nemovité</c:v>
                </c:pt>
                <c:pt idx="28">
                  <c:v>Neodpověděl/a</c:v>
                </c:pt>
              </c:strCache>
            </c:strRef>
          </c:cat>
          <c:val>
            <c:numRef>
              <c:f>Grafy!$C$459:$AI$459</c:f>
              <c:numCache>
                <c:formatCode>General</c:formatCode>
                <c:ptCount val="33"/>
                <c:pt idx="0">
                  <c:v>1</c:v>
                </c:pt>
                <c:pt idx="1">
                  <c:v>1</c:v>
                </c:pt>
                <c:pt idx="2">
                  <c:v>1</c:v>
                </c:pt>
                <c:pt idx="3">
                  <c:v>8</c:v>
                </c:pt>
                <c:pt idx="4">
                  <c:v>1</c:v>
                </c:pt>
                <c:pt idx="5">
                  <c:v>1</c:v>
                </c:pt>
                <c:pt idx="6">
                  <c:v>1</c:v>
                </c:pt>
                <c:pt idx="7">
                  <c:v>1</c:v>
                </c:pt>
                <c:pt idx="8">
                  <c:v>1</c:v>
                </c:pt>
                <c:pt idx="9">
                  <c:v>1</c:v>
                </c:pt>
                <c:pt idx="10">
                  <c:v>2</c:v>
                </c:pt>
                <c:pt idx="11">
                  <c:v>1</c:v>
                </c:pt>
                <c:pt idx="12">
                  <c:v>1</c:v>
                </c:pt>
                <c:pt idx="13">
                  <c:v>1</c:v>
                </c:pt>
                <c:pt idx="14">
                  <c:v>1</c:v>
                </c:pt>
                <c:pt idx="15">
                  <c:v>1</c:v>
                </c:pt>
                <c:pt idx="16">
                  <c:v>3</c:v>
                </c:pt>
                <c:pt idx="17">
                  <c:v>6</c:v>
                </c:pt>
                <c:pt idx="18">
                  <c:v>1</c:v>
                </c:pt>
                <c:pt idx="19">
                  <c:v>1</c:v>
                </c:pt>
                <c:pt idx="20">
                  <c:v>2</c:v>
                </c:pt>
                <c:pt idx="21">
                  <c:v>3</c:v>
                </c:pt>
                <c:pt idx="22">
                  <c:v>1</c:v>
                </c:pt>
                <c:pt idx="23">
                  <c:v>2</c:v>
                </c:pt>
                <c:pt idx="24">
                  <c:v>1</c:v>
                </c:pt>
                <c:pt idx="25">
                  <c:v>1</c:v>
                </c:pt>
                <c:pt idx="26">
                  <c:v>1</c:v>
                </c:pt>
                <c:pt idx="27">
                  <c:v>1</c:v>
                </c:pt>
                <c:pt idx="28">
                  <c:v>436</c:v>
                </c:pt>
              </c:numCache>
            </c:numRef>
          </c:val>
        </c:ser>
        <c:dLbls>
          <c:showLegendKey val="0"/>
          <c:showVal val="0"/>
          <c:showCatName val="0"/>
          <c:showSerName val="0"/>
          <c:showPercent val="0"/>
          <c:showBubbleSize val="0"/>
        </c:dLbls>
        <c:gapWidth val="150"/>
        <c:axId val="146248704"/>
        <c:axId val="152431424"/>
      </c:barChart>
      <c:catAx>
        <c:axId val="146248704"/>
        <c:scaling>
          <c:orientation val="minMax"/>
        </c:scaling>
        <c:delete val="0"/>
        <c:axPos val="l"/>
        <c:numFmt formatCode="General" sourceLinked="0"/>
        <c:majorTickMark val="out"/>
        <c:minorTickMark val="none"/>
        <c:tickLblPos val="nextTo"/>
        <c:crossAx val="152431424"/>
        <c:crosses val="autoZero"/>
        <c:auto val="1"/>
        <c:lblAlgn val="ctr"/>
        <c:lblOffset val="100"/>
        <c:noMultiLvlLbl val="0"/>
      </c:catAx>
      <c:valAx>
        <c:axId val="152431424"/>
        <c:scaling>
          <c:orientation val="minMax"/>
        </c:scaling>
        <c:delete val="0"/>
        <c:axPos val="b"/>
        <c:majorGridlines/>
        <c:numFmt formatCode="General" sourceLinked="1"/>
        <c:majorTickMark val="out"/>
        <c:minorTickMark val="none"/>
        <c:tickLblPos val="nextTo"/>
        <c:crossAx val="146248704"/>
        <c:crosses val="autoZero"/>
        <c:crossBetween val="between"/>
      </c:valAx>
    </c:plotArea>
    <c:legend>
      <c:legendPos val="r"/>
      <c:overlay val="0"/>
    </c:legend>
    <c:plotVisOnly val="1"/>
    <c:dispBlanksAs val="gap"/>
    <c:showDLblsOverMax val="0"/>
  </c:chart>
  <c:printSettings>
    <c:headerFooter/>
    <c:pageMargins b="0.78740157499999996" l="0.70000000000000007" r="0.70000000000000007" t="0.78740157499999996"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Grafy!$C$70:$DG$70</c:f>
              <c:strCache>
                <c:ptCount val="109"/>
                <c:pt idx="0">
                  <c:v>Auditor</c:v>
                </c:pt>
                <c:pt idx="1">
                  <c:v>Advokát</c:v>
                </c:pt>
                <c:pt idx="2">
                  <c:v>Architekt</c:v>
                </c:pt>
                <c:pt idx="3">
                  <c:v>Asistent zubního technika</c:v>
                </c:pt>
                <c:pt idx="4">
                  <c:v>Autorizovaný inženýr</c:v>
                </c:pt>
                <c:pt idx="5">
                  <c:v>Autorizovaný projektant</c:v>
                </c:pt>
                <c:pt idx="6">
                  <c:v>Autorizovaný technik</c:v>
                </c:pt>
                <c:pt idx="7">
                  <c:v>Báňský projektant</c:v>
                </c:pt>
                <c:pt idx="8">
                  <c:v>Bezpečnostní technik</c:v>
                </c:pt>
                <c:pt idx="9">
                  <c:v>Brusič</c:v>
                </c:pt>
                <c:pt idx="10">
                  <c:v>Cídič</c:v>
                </c:pt>
                <c:pt idx="11">
                  <c:v>Cvičitel fitness</c:v>
                </c:pt>
                <c:pt idx="12">
                  <c:v>Činnost účetních poradců, vedení účetnictví, vedení daňové evidence</c:v>
                </c:pt>
                <c:pt idx="13">
                  <c:v>Číšník/servírka</c:v>
                </c:pt>
                <c:pt idx="14">
                  <c:v>Daňové poradenství</c:v>
                </c:pt>
                <c:pt idx="15">
                  <c:v>Ekonom</c:v>
                </c:pt>
                <c:pt idx="16">
                  <c:v>Elektrikář</c:v>
                </c:pt>
                <c:pt idx="17">
                  <c:v>Elektromechanik</c:v>
                </c:pt>
                <c:pt idx="18">
                  <c:v>Elektromechanik strojů a zařízení</c:v>
                </c:pt>
                <c:pt idx="19">
                  <c:v>Energetický specialista</c:v>
                </c:pt>
                <c:pt idx="20">
                  <c:v>farmaceutický asistent</c:v>
                </c:pt>
                <c:pt idx="21">
                  <c:v>Finanční poradenství</c:v>
                </c:pt>
                <c:pt idx="22">
                  <c:v>Formíř</c:v>
                </c:pt>
                <c:pt idx="23">
                  <c:v>Fyzioterapeut</c:v>
                </c:pt>
                <c:pt idx="24">
                  <c:v>Geodet</c:v>
                </c:pt>
                <c:pt idx="25">
                  <c:v>Geologické práce</c:v>
                </c:pt>
                <c:pt idx="26">
                  <c:v>Investiční zprostředkovatel</c:v>
                </c:pt>
                <c:pt idx="27">
                  <c:v>Izolatérství</c:v>
                </c:pt>
                <c:pt idx="28">
                  <c:v>jádrař</c:v>
                </c:pt>
                <c:pt idx="29">
                  <c:v>jednorázové měření emisí</c:v>
                </c:pt>
                <c:pt idx="30">
                  <c:v>jeřábník</c:v>
                </c:pt>
                <c:pt idx="31">
                  <c:v>Kontrola těsnosti chladicích a klimatizačních zařízení obsahujících regulované látky nebo fluorované skleníkové plyny</c:v>
                </c:pt>
                <c:pt idx="32">
                  <c:v>Koordinátor BOZP na staveništi</c:v>
                </c:pt>
                <c:pt idx="33">
                  <c:v>kovomodelář</c:v>
                </c:pt>
                <c:pt idx="34">
                  <c:v>kuchař</c:v>
                </c:pt>
                <c:pt idx="35">
                  <c:v>laboratorní asistent</c:v>
                </c:pt>
                <c:pt idx="36">
                  <c:v>lékař</c:v>
                </c:pt>
                <c:pt idx="37">
                  <c:v>malířství</c:v>
                </c:pt>
                <c:pt idx="38">
                  <c:v>Masérské a rekondiční služby</c:v>
                </c:pt>
                <c:pt idx="39">
                  <c:v>modelářství</c:v>
                </c:pt>
                <c:pt idx="40">
                  <c:v>Montáž, opravy a rekonstrukce chladících zařízení a tepelných čerpadel</c:v>
                </c:pt>
                <c:pt idx="41">
                  <c:v>Montáž, opravy, revize a zkoušky elektrických zařízení</c:v>
                </c:pt>
                <c:pt idx="42">
                  <c:v>Montáž, opravy, revize a zkoušky elektrických, plynových a tlakových zařízení a plnění nádob plyny </c:v>
                </c:pt>
                <c:pt idx="43">
                  <c:v>nástrojářství</c:v>
                </c:pt>
                <c:pt idx="44">
                  <c:v>nutriční terapeut</c:v>
                </c:pt>
                <c:pt idx="45">
                  <c:v>Obráběčství</c:v>
                </c:pt>
                <c:pt idx="46">
                  <c:v>oceňování majetku pro věci nemovité</c:v>
                </c:pt>
                <c:pt idx="47">
                  <c:v>odlévač</c:v>
                </c:pt>
                <c:pt idx="48">
                  <c:v>osoba odporně způsobilá v prevenci rizik, požární ochraně</c:v>
                </c:pt>
                <c:pt idx="49">
                  <c:v>ostraha osob</c:v>
                </c:pt>
                <c:pt idx="50">
                  <c:v>pedagog volného času</c:v>
                </c:pt>
                <c:pt idx="51">
                  <c:v>personalisté</c:v>
                </c:pt>
                <c:pt idx="52">
                  <c:v>pojišťovací poradce</c:v>
                </c:pt>
                <c:pt idx="53">
                  <c:v>Poskytování nebo zprostředkování spotřebitelského úvěru
pojištění</c:v>
                </c:pt>
                <c:pt idx="54">
                  <c:v>Poskytování tělovýchovných služeb</c:v>
                </c:pt>
                <c:pt idx="55">
                  <c:v>posuzování vlivů na životní prostředí (Ministerstvo životního prostředí)</c:v>
                </c:pt>
                <c:pt idx="56">
                  <c:v>Pracovník pro řízení montáže, provozu a elektroúdržby zařízení</c:v>
                </c:pt>
                <c:pt idx="57">
                  <c:v>Projektant instalace elektrických zařízení</c:v>
                </c:pt>
                <c:pt idx="58">
                  <c:v>Projektant instalací strojního zařízení</c:v>
                </c:pt>
                <c:pt idx="59">
                  <c:v>projektant stavebních konstrukcí</c:v>
                </c:pt>
                <c:pt idx="60">
                  <c:v>projektant technolog</c:v>
                </c:pt>
                <c:pt idx="61">
                  <c:v>projektant tlakových částí</c:v>
                </c:pt>
                <c:pt idx="62">
                  <c:v>Projektová činnost ve výstavbě</c:v>
                </c:pt>
                <c:pt idx="63">
                  <c:v>Provádění staveb, jejich změn a odstraňování</c:v>
                </c:pt>
                <c:pt idx="64">
                  <c:v>Provozní elektrikář</c:v>
                </c:pt>
                <c:pt idx="65">
                  <c:v>Provozování solárií</c:v>
                </c:pt>
                <c:pt idx="66">
                  <c:v>revizní technik</c:v>
                </c:pt>
                <c:pt idx="67">
                  <c:v>řidič</c:v>
                </c:pt>
                <c:pt idx="68">
                  <c:v>řidič nákladního automobilu</c:v>
                </c:pt>
                <c:pt idx="69">
                  <c:v>řidič tahače</c:v>
                </c:pt>
                <c:pt idx="70">
                  <c:v>řidič VZV</c:v>
                </c:pt>
                <c:pt idx="71">
                  <c:v>řidiči autobusu</c:v>
                </c:pt>
                <c:pt idx="72">
                  <c:v>řidiči nákladní dopravy</c:v>
                </c:pt>
                <c:pt idx="74">
                  <c:v>Silniční motorová doprava</c:v>
                </c:pt>
                <c:pt idx="75">
                  <c:v>sládek</c:v>
                </c:pt>
                <c:pt idx="76">
                  <c:v>Slévač</c:v>
                </c:pt>
                <c:pt idx="77">
                  <c:v>Sociální pracovník</c:v>
                </c:pt>
                <c:pt idx="78">
                  <c:v>soustružník</c:v>
                </c:pt>
                <c:pt idx="79">
                  <c:v>statik stavebních konstrukcí</c:v>
                </c:pt>
                <c:pt idx="80">
                  <c:v>Strážný</c:v>
                </c:pt>
                <c:pt idx="81">
                  <c:v>strojník</c:v>
                </c:pt>
                <c:pt idx="82">
                  <c:v>svářeč</c:v>
                </c:pt>
                <c:pt idx="83">
                  <c:v>tavič</c:v>
                </c:pt>
                <c:pt idx="84">
                  <c:v>tesař</c:v>
                </c:pt>
                <c:pt idx="85">
                  <c:v>Truhlářství</c:v>
                </c:pt>
                <c:pt idx="86">
                  <c:v>učitel</c:v>
                </c:pt>
                <c:pt idx="87">
                  <c:v>učitel druhého stupně základní školy</c:v>
                </c:pt>
                <c:pt idx="88">
                  <c:v>Učitel mateřské školy</c:v>
                </c:pt>
                <c:pt idx="89">
                  <c:v>učitel prvního stupně základní školy</c:v>
                </c:pt>
                <c:pt idx="90">
                  <c:v>Učitel střední školy</c:v>
                </c:pt>
                <c:pt idx="91">
                  <c:v>Údržba nebo servis zařízení obsahujícího regulované látky nebo flourované skleníkové plyny</c:v>
                </c:pt>
                <c:pt idx="92">
                  <c:v>velitel SDH</c:v>
                </c:pt>
                <c:pt idx="93">
                  <c:v>veškeré profese spojené s provozováním jaderného zařízení</c:v>
                </c:pt>
                <c:pt idx="94">
                  <c:v>vodoinstalatérství, topenářství</c:v>
                </c:pt>
                <c:pt idx="95">
                  <c:v>vychovatel</c:v>
                </c:pt>
                <c:pt idx="96">
                  <c:v>Výroba tepelné energie a rozvod tepelné energie, nepodléhající licenci realizovaná ze zdrojů tepelné energie s instalovaným výkonem jednoho zdroje nad 50 kW</c:v>
                </c:pt>
                <c:pt idx="97">
                  <c:v>Výroba, instalace, opravy elektrických strojů a přístrojů, elektronických a telekomunikačních zařízení</c:v>
                </c:pt>
                <c:pt idx="98">
                  <c:v>výstavba, údržba elektro rozvodných zařízení</c:v>
                </c:pt>
                <c:pt idx="99">
                  <c:v>vzdělání a praxi</c:v>
                </c:pt>
                <c:pt idx="100">
                  <c:v>Zajištění odborného nakládání s odpady (odpadový hospodář)</c:v>
                </c:pt>
                <c:pt idx="101">
                  <c:v>Zajišťování úkolů v prevenci rizik v oblasti BOZP</c:v>
                </c:pt>
                <c:pt idx="102">
                  <c:v>Zámečnictví</c:v>
                </c:pt>
                <c:pt idx="103">
                  <c:v>závodní autorizovaný inženýr</c:v>
                </c:pt>
                <c:pt idx="104">
                  <c:v>Závodní dolu</c:v>
                </c:pt>
                <c:pt idx="105">
                  <c:v>Závodní lomu</c:v>
                </c:pt>
                <c:pt idx="106">
                  <c:v>zdravotní sestra</c:v>
                </c:pt>
                <c:pt idx="107">
                  <c:v>Zednictví</c:v>
                </c:pt>
                <c:pt idx="108">
                  <c:v>Zkoušeč (el. zařízení)</c:v>
                </c:pt>
              </c:strCache>
            </c:strRef>
          </c:cat>
          <c:val>
            <c:numRef>
              <c:f>Grafy!$C$71:$DG$71</c:f>
              <c:numCache>
                <c:formatCode>General</c:formatCode>
                <c:ptCount val="109"/>
                <c:pt idx="0">
                  <c:v>11</c:v>
                </c:pt>
                <c:pt idx="1">
                  <c:v>4</c:v>
                </c:pt>
                <c:pt idx="2">
                  <c:v>1</c:v>
                </c:pt>
                <c:pt idx="3">
                  <c:v>1</c:v>
                </c:pt>
                <c:pt idx="4">
                  <c:v>9</c:v>
                </c:pt>
                <c:pt idx="5">
                  <c:v>1</c:v>
                </c:pt>
                <c:pt idx="6">
                  <c:v>3</c:v>
                </c:pt>
                <c:pt idx="7">
                  <c:v>1</c:v>
                </c:pt>
                <c:pt idx="8">
                  <c:v>2</c:v>
                </c:pt>
                <c:pt idx="9">
                  <c:v>1</c:v>
                </c:pt>
                <c:pt idx="10">
                  <c:v>1</c:v>
                </c:pt>
                <c:pt idx="11">
                  <c:v>1</c:v>
                </c:pt>
                <c:pt idx="12">
                  <c:v>26</c:v>
                </c:pt>
                <c:pt idx="13">
                  <c:v>1</c:v>
                </c:pt>
                <c:pt idx="14">
                  <c:v>26</c:v>
                </c:pt>
                <c:pt idx="15">
                  <c:v>1</c:v>
                </c:pt>
                <c:pt idx="16">
                  <c:v>2</c:v>
                </c:pt>
                <c:pt idx="17">
                  <c:v>1</c:v>
                </c:pt>
                <c:pt idx="18">
                  <c:v>1</c:v>
                </c:pt>
                <c:pt idx="19">
                  <c:v>2</c:v>
                </c:pt>
                <c:pt idx="20">
                  <c:v>1</c:v>
                </c:pt>
                <c:pt idx="21">
                  <c:v>1</c:v>
                </c:pt>
                <c:pt idx="22">
                  <c:v>1</c:v>
                </c:pt>
                <c:pt idx="23">
                  <c:v>1</c:v>
                </c:pt>
                <c:pt idx="24">
                  <c:v>1</c:v>
                </c:pt>
                <c:pt idx="25">
                  <c:v>1</c:v>
                </c:pt>
                <c:pt idx="26">
                  <c:v>1</c:v>
                </c:pt>
                <c:pt idx="27">
                  <c:v>1</c:v>
                </c:pt>
                <c:pt idx="28">
                  <c:v>1</c:v>
                </c:pt>
                <c:pt idx="29">
                  <c:v>1</c:v>
                </c:pt>
                <c:pt idx="30">
                  <c:v>1</c:v>
                </c:pt>
                <c:pt idx="31">
                  <c:v>2</c:v>
                </c:pt>
                <c:pt idx="32">
                  <c:v>2</c:v>
                </c:pt>
                <c:pt idx="33">
                  <c:v>1</c:v>
                </c:pt>
                <c:pt idx="34">
                  <c:v>3</c:v>
                </c:pt>
                <c:pt idx="35">
                  <c:v>1</c:v>
                </c:pt>
                <c:pt idx="36">
                  <c:v>2</c:v>
                </c:pt>
                <c:pt idx="37">
                  <c:v>1</c:v>
                </c:pt>
                <c:pt idx="38">
                  <c:v>1</c:v>
                </c:pt>
                <c:pt idx="39">
                  <c:v>2</c:v>
                </c:pt>
                <c:pt idx="40">
                  <c:v>1</c:v>
                </c:pt>
                <c:pt idx="41">
                  <c:v>3</c:v>
                </c:pt>
                <c:pt idx="42">
                  <c:v>1</c:v>
                </c:pt>
                <c:pt idx="43">
                  <c:v>6</c:v>
                </c:pt>
                <c:pt idx="44">
                  <c:v>1</c:v>
                </c:pt>
                <c:pt idx="45">
                  <c:v>6</c:v>
                </c:pt>
                <c:pt idx="46">
                  <c:v>5</c:v>
                </c:pt>
                <c:pt idx="47">
                  <c:v>1</c:v>
                </c:pt>
                <c:pt idx="48">
                  <c:v>5</c:v>
                </c:pt>
                <c:pt idx="49">
                  <c:v>1</c:v>
                </c:pt>
                <c:pt idx="50">
                  <c:v>1</c:v>
                </c:pt>
                <c:pt idx="51">
                  <c:v>1</c:v>
                </c:pt>
                <c:pt idx="52">
                  <c:v>1</c:v>
                </c:pt>
                <c:pt idx="53">
                  <c:v>1</c:v>
                </c:pt>
                <c:pt idx="54">
                  <c:v>1</c:v>
                </c:pt>
                <c:pt idx="55">
                  <c:v>1</c:v>
                </c:pt>
                <c:pt idx="56">
                  <c:v>1</c:v>
                </c:pt>
                <c:pt idx="57">
                  <c:v>2</c:v>
                </c:pt>
                <c:pt idx="58">
                  <c:v>1</c:v>
                </c:pt>
                <c:pt idx="59">
                  <c:v>2</c:v>
                </c:pt>
                <c:pt idx="60">
                  <c:v>1</c:v>
                </c:pt>
                <c:pt idx="61">
                  <c:v>1</c:v>
                </c:pt>
                <c:pt idx="62">
                  <c:v>1</c:v>
                </c:pt>
                <c:pt idx="63">
                  <c:v>1</c:v>
                </c:pt>
                <c:pt idx="64">
                  <c:v>2</c:v>
                </c:pt>
                <c:pt idx="65">
                  <c:v>1</c:v>
                </c:pt>
                <c:pt idx="66">
                  <c:v>3</c:v>
                </c:pt>
                <c:pt idx="67">
                  <c:v>1</c:v>
                </c:pt>
                <c:pt idx="68">
                  <c:v>1</c:v>
                </c:pt>
                <c:pt idx="69">
                  <c:v>1</c:v>
                </c:pt>
                <c:pt idx="70">
                  <c:v>1</c:v>
                </c:pt>
                <c:pt idx="71">
                  <c:v>1</c:v>
                </c:pt>
                <c:pt idx="72">
                  <c:v>1</c:v>
                </c:pt>
                <c:pt idx="73">
                  <c:v>0</c:v>
                </c:pt>
                <c:pt idx="74">
                  <c:v>3</c:v>
                </c:pt>
                <c:pt idx="75">
                  <c:v>1</c:v>
                </c:pt>
                <c:pt idx="76">
                  <c:v>6</c:v>
                </c:pt>
                <c:pt idx="77">
                  <c:v>2</c:v>
                </c:pt>
                <c:pt idx="78">
                  <c:v>1</c:v>
                </c:pt>
                <c:pt idx="79">
                  <c:v>2</c:v>
                </c:pt>
                <c:pt idx="80">
                  <c:v>1</c:v>
                </c:pt>
                <c:pt idx="81">
                  <c:v>2</c:v>
                </c:pt>
                <c:pt idx="82">
                  <c:v>1</c:v>
                </c:pt>
                <c:pt idx="83">
                  <c:v>2</c:v>
                </c:pt>
                <c:pt idx="84">
                  <c:v>1</c:v>
                </c:pt>
                <c:pt idx="85">
                  <c:v>1</c:v>
                </c:pt>
                <c:pt idx="86">
                  <c:v>2</c:v>
                </c:pt>
                <c:pt idx="87">
                  <c:v>1</c:v>
                </c:pt>
                <c:pt idx="88">
                  <c:v>1</c:v>
                </c:pt>
                <c:pt idx="89">
                  <c:v>1</c:v>
                </c:pt>
                <c:pt idx="90">
                  <c:v>2</c:v>
                </c:pt>
                <c:pt idx="91">
                  <c:v>1</c:v>
                </c:pt>
                <c:pt idx="92">
                  <c:v>1</c:v>
                </c:pt>
                <c:pt idx="93">
                  <c:v>1</c:v>
                </c:pt>
                <c:pt idx="94">
                  <c:v>2</c:v>
                </c:pt>
                <c:pt idx="95">
                  <c:v>2</c:v>
                </c:pt>
                <c:pt idx="96">
                  <c:v>1</c:v>
                </c:pt>
                <c:pt idx="97">
                  <c:v>1</c:v>
                </c:pt>
                <c:pt idx="98">
                  <c:v>1</c:v>
                </c:pt>
                <c:pt idx="99">
                  <c:v>1</c:v>
                </c:pt>
                <c:pt idx="100">
                  <c:v>1</c:v>
                </c:pt>
                <c:pt idx="101">
                  <c:v>1</c:v>
                </c:pt>
                <c:pt idx="102">
                  <c:v>7</c:v>
                </c:pt>
                <c:pt idx="103">
                  <c:v>1</c:v>
                </c:pt>
                <c:pt idx="104">
                  <c:v>1</c:v>
                </c:pt>
                <c:pt idx="105">
                  <c:v>1</c:v>
                </c:pt>
                <c:pt idx="106">
                  <c:v>1</c:v>
                </c:pt>
                <c:pt idx="107">
                  <c:v>3</c:v>
                </c:pt>
                <c:pt idx="108">
                  <c:v>1</c:v>
                </c:pt>
              </c:numCache>
            </c:numRef>
          </c:val>
        </c:ser>
        <c:dLbls>
          <c:showLegendKey val="0"/>
          <c:showVal val="0"/>
          <c:showCatName val="0"/>
          <c:showSerName val="0"/>
          <c:showPercent val="0"/>
          <c:showBubbleSize val="0"/>
        </c:dLbls>
        <c:gapWidth val="150"/>
        <c:axId val="146250240"/>
        <c:axId val="152433152"/>
      </c:barChart>
      <c:catAx>
        <c:axId val="146250240"/>
        <c:scaling>
          <c:orientation val="minMax"/>
        </c:scaling>
        <c:delete val="0"/>
        <c:axPos val="l"/>
        <c:numFmt formatCode="General" sourceLinked="0"/>
        <c:majorTickMark val="out"/>
        <c:minorTickMark val="none"/>
        <c:tickLblPos val="nextTo"/>
        <c:crossAx val="152433152"/>
        <c:crosses val="autoZero"/>
        <c:auto val="1"/>
        <c:lblAlgn val="ctr"/>
        <c:lblOffset val="100"/>
        <c:noMultiLvlLbl val="0"/>
      </c:catAx>
      <c:valAx>
        <c:axId val="152433152"/>
        <c:scaling>
          <c:orientation val="minMax"/>
        </c:scaling>
        <c:delete val="0"/>
        <c:axPos val="b"/>
        <c:majorGridlines/>
        <c:numFmt formatCode="General" sourceLinked="1"/>
        <c:majorTickMark val="out"/>
        <c:minorTickMark val="none"/>
        <c:tickLblPos val="nextTo"/>
        <c:crossAx val="146250240"/>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cs-CZ"/>
        </a:p>
      </c:txPr>
    </c:title>
    <c:autoTitleDeleted val="0"/>
    <c:plotArea>
      <c:layout/>
      <c:pie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Lbls>
            <c:dLbl>
              <c:idx val="0"/>
              <c:layout>
                <c:manualLayout>
                  <c:x val="-8.0459770114942528E-2"/>
                  <c:y val="0.12913389029298533"/>
                </c:manualLayout>
              </c:layout>
              <c:tx>
                <c:rich>
                  <a:bodyPr/>
                  <a:lstStyle/>
                  <a:p>
                    <a:r>
                      <a:rPr lang="cs-CZ" b="0">
                        <a:solidFill>
                          <a:schemeClr val="bg1"/>
                        </a:solidFill>
                      </a:rPr>
                      <a:t>podnikatel</a:t>
                    </a:r>
                    <a:r>
                      <a:rPr lang="en-US" b="0" baseline="0">
                        <a:solidFill>
                          <a:schemeClr val="bg1"/>
                        </a:solidFill>
                      </a:rPr>
                      <a:t>
</a:t>
                    </a:r>
                    <a:r>
                      <a:rPr lang="cs-CZ" b="0" baseline="0">
                        <a:solidFill>
                          <a:schemeClr val="bg1"/>
                        </a:solidFill>
                      </a:rPr>
                      <a:t>18%</a:t>
                    </a:r>
                    <a:endParaRPr lang="en-US" b="0" baseline="0">
                      <a:solidFill>
                        <a:schemeClr val="bg1"/>
                      </a:solidFill>
                    </a:endParaRPr>
                  </a:p>
                </c:rich>
              </c:tx>
              <c:dLblPos val="bestFit"/>
              <c:showLegendKey val="0"/>
              <c:showVal val="0"/>
              <c:showCatName val="1"/>
              <c:showSerName val="0"/>
              <c:showPercent val="1"/>
              <c:showBubbleSize val="0"/>
              <c:extLst>
                <c:ext xmlns:c15="http://schemas.microsoft.com/office/drawing/2012/chart" uri="{CE6537A1-D6FC-4f65-9D91-7224C49458BB}">
                  <c15:layout/>
                  <c15:dlblFieldTable/>
                  <c15:showDataLabelsRange val="0"/>
                </c:ext>
              </c:extLst>
            </c:dLbl>
            <c:dLbl>
              <c:idx val="1"/>
              <c:layout>
                <c:manualLayout>
                  <c:x val="-5.2681916915557972E-2"/>
                  <c:y val="-0.2047245842208654"/>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cs-CZ" b="0">
                        <a:solidFill>
                          <a:schemeClr val="bg1"/>
                        </a:solidFill>
                      </a:rPr>
                      <a:t>zaměstnanec</a:t>
                    </a:r>
                    <a:r>
                      <a:rPr lang="en-US" b="0" baseline="0">
                        <a:solidFill>
                          <a:schemeClr val="bg1"/>
                        </a:solidFill>
                      </a:rPr>
                      <a:t>
</a:t>
                    </a:r>
                    <a:r>
                      <a:rPr lang="cs-CZ" b="0" baseline="0">
                        <a:solidFill>
                          <a:schemeClr val="bg1"/>
                        </a:solidFill>
                      </a:rPr>
                      <a:t>59%</a:t>
                    </a:r>
                    <a:endParaRPr lang="en-US" b="0" baseline="0">
                      <a:solidFill>
                        <a:schemeClr val="bg1"/>
                      </a:solidFill>
                    </a:endParaRPr>
                  </a:p>
                </c:rich>
              </c:tx>
              <c:spPr>
                <a:noFill/>
                <a:ln>
                  <a:noFill/>
                </a:ln>
                <a:effectLst/>
              </c:spPr>
              <c:dLblPos val="bestFit"/>
              <c:showLegendKey val="0"/>
              <c:showVal val="0"/>
              <c:showCatName val="1"/>
              <c:showSerName val="0"/>
              <c:showPercent val="1"/>
              <c:showBubbleSize val="0"/>
              <c:extLst>
                <c:ext xmlns:c15="http://schemas.microsoft.com/office/drawing/2012/chart" uri="{CE6537A1-D6FC-4f65-9D91-7224C49458BB}">
                  <c15:layout>
                    <c:manualLayout>
                      <c:w val="0.15321839080459768"/>
                      <c:h val="0.14163783040184272"/>
                    </c:manualLayout>
                  </c15:layout>
                  <c15:dlblFieldTable/>
                  <c15:showDataLabelsRange val="0"/>
                </c:ext>
              </c:extLst>
            </c:dLbl>
            <c:dLbl>
              <c:idx val="2"/>
              <c:layout>
                <c:manualLayout>
                  <c:x val="-1.756046125244137E-17"/>
                  <c:y val="4.4094499124434035E-2"/>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7.6628352490421452E-3"/>
                  <c:y val="-4.7244106204750745E-2"/>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8.8122605363984668E-2"/>
                  <c:y val="0.11968506905203523"/>
                </c:manualLayout>
              </c:layout>
              <c:tx>
                <c:rich>
                  <a:bodyPr/>
                  <a:lstStyle/>
                  <a:p>
                    <a:r>
                      <a:rPr lang="cs-CZ">
                        <a:solidFill>
                          <a:schemeClr val="bg1"/>
                        </a:solidFill>
                      </a:rPr>
                      <a:t>zaměstnavatel</a:t>
                    </a:r>
                    <a:r>
                      <a:rPr lang="en-US" baseline="0">
                        <a:solidFill>
                          <a:schemeClr val="bg1"/>
                        </a:solidFill>
                      </a:rPr>
                      <a:t>
</a:t>
                    </a:r>
                    <a:r>
                      <a:rPr lang="cs-CZ" baseline="0">
                        <a:solidFill>
                          <a:schemeClr val="bg1"/>
                        </a:solidFill>
                      </a:rPr>
                      <a:t>14%</a:t>
                    </a:r>
                    <a:endParaRPr lang="en-US" baseline="0">
                      <a:solidFill>
                        <a:schemeClr val="bg1"/>
                      </a:solidFill>
                    </a:endParaRPr>
                  </a:p>
                </c:rich>
              </c:tx>
              <c:dLblPos val="bestFit"/>
              <c:showLegendKey val="0"/>
              <c:showVal val="0"/>
              <c:showCatName val="1"/>
              <c:showSerName val="0"/>
              <c:showPercent val="1"/>
              <c:showBubbleSize val="0"/>
              <c:extLst>
                <c:ext xmlns:c15="http://schemas.microsoft.com/office/drawing/2012/chart" uri="{CE6537A1-D6FC-4f65-9D91-7224C49458BB}">
                  <c15:layout/>
                  <c15:dlblFieldTable/>
                  <c15:showDataLabelsRange val="0"/>
                </c:ext>
              </c:extLst>
            </c:dLbl>
            <c:dLbl>
              <c:idx val="6"/>
              <c:layout>
                <c:manualLayout>
                  <c:x val="-4.9808429118773943E-2"/>
                  <c:y val="1.8897642481900314E-2"/>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3.0651340996168581E-2"/>
                  <c:y val="0"/>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Grafy!$C$502:$J$502</c:f>
              <c:strCache>
                <c:ptCount val="8"/>
                <c:pt idx="0">
                  <c:v>podnikatel</c:v>
                </c:pt>
                <c:pt idx="1">
                  <c:v>zaměstnanec</c:v>
                </c:pt>
                <c:pt idx="2">
                  <c:v>zaměstnanec, podnikatel</c:v>
                </c:pt>
                <c:pt idx="3">
                  <c:v>zaměstnanec, zaměstnavatel</c:v>
                </c:pt>
                <c:pt idx="4">
                  <c:v>zaměstnanec, zaměstnavatel, podnikatel</c:v>
                </c:pt>
                <c:pt idx="5">
                  <c:v>zaměstnavatel</c:v>
                </c:pt>
                <c:pt idx="6">
                  <c:v>zaměstnavatel, podnikatel</c:v>
                </c:pt>
                <c:pt idx="7">
                  <c:v>Neodpověděl/a</c:v>
                </c:pt>
              </c:strCache>
            </c:strRef>
          </c:cat>
          <c:val>
            <c:numRef>
              <c:f>Grafy!$C$503:$J$503</c:f>
              <c:numCache>
                <c:formatCode>General</c:formatCode>
                <c:ptCount val="8"/>
                <c:pt idx="0">
                  <c:v>93</c:v>
                </c:pt>
                <c:pt idx="1">
                  <c:v>310</c:v>
                </c:pt>
                <c:pt idx="2">
                  <c:v>13</c:v>
                </c:pt>
                <c:pt idx="3">
                  <c:v>6</c:v>
                </c:pt>
                <c:pt idx="4">
                  <c:v>5</c:v>
                </c:pt>
                <c:pt idx="5">
                  <c:v>73</c:v>
                </c:pt>
                <c:pt idx="6">
                  <c:v>14</c:v>
                </c:pt>
                <c:pt idx="7">
                  <c:v>8</c:v>
                </c:pt>
              </c:numCache>
            </c:numRef>
          </c:val>
        </c:ser>
        <c:dLbls>
          <c:dLblPos val="out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Lbls>
            <c:dLbl>
              <c:idx val="0"/>
              <c:layout>
                <c:manualLayout>
                  <c:x val="-0.40701334208223972"/>
                  <c:y val="0.65301472732575094"/>
                </c:manualLayout>
              </c:layout>
              <c:showLegendKey val="0"/>
              <c:showVal val="0"/>
              <c:showCatName val="1"/>
              <c:showSerName val="0"/>
              <c:showPercent val="1"/>
              <c:showBubbleSize val="0"/>
              <c:extLst>
                <c:ext xmlns:c15="http://schemas.microsoft.com/office/drawing/2012/chart" uri="{CE6537A1-D6FC-4f65-9D91-7224C49458BB}">
                  <c15:layout/>
                </c:ext>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Grafy!$C$28:$G$28</c:f>
              <c:strCache>
                <c:ptCount val="5"/>
                <c:pt idx="0">
                  <c:v>Jsem OSVČ</c:v>
                </c:pt>
                <c:pt idx="1">
                  <c:v>1 -10 zaměstnanců</c:v>
                </c:pt>
                <c:pt idx="2">
                  <c:v>11-50 zaměstnanců</c:v>
                </c:pt>
                <c:pt idx="3">
                  <c:v>51-250 zaměstnanců</c:v>
                </c:pt>
                <c:pt idx="4">
                  <c:v>251 a více zaměstnanců</c:v>
                </c:pt>
              </c:strCache>
            </c:strRef>
          </c:cat>
          <c:val>
            <c:numRef>
              <c:f>Grafy!$C$29:$G$29</c:f>
              <c:numCache>
                <c:formatCode>General</c:formatCode>
                <c:ptCount val="5"/>
                <c:pt idx="0">
                  <c:v>195</c:v>
                </c:pt>
                <c:pt idx="1">
                  <c:v>152</c:v>
                </c:pt>
                <c:pt idx="2">
                  <c:v>127</c:v>
                </c:pt>
                <c:pt idx="3">
                  <c:v>147</c:v>
                </c:pt>
                <c:pt idx="4">
                  <c:v>191</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8740157499999996" l="0.70000000000000007" r="0.70000000000000007" t="0.78740157499999996"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Grafy!$C$49:$H$49</c:f>
              <c:strCache>
                <c:ptCount val="6"/>
                <c:pt idx="0">
                  <c:v>Ano, jejich podíl ze všech zaměstnanců je 51-100%</c:v>
                </c:pt>
                <c:pt idx="1">
                  <c:v>Ano, jejich podíl ze všech zaměstnanců je 1-50%</c:v>
                </c:pt>
                <c:pt idx="2">
                  <c:v>Jsem OSVČ; na mou kvalifikaci zákon klade požadavky</c:v>
                </c:pt>
                <c:pt idx="3">
                  <c:v>Jsem OSVČ; na mou kvalifikaci zákon neklade požadavky</c:v>
                </c:pt>
                <c:pt idx="4">
                  <c:v>Nezaměstnávám takové pracovníky</c:v>
                </c:pt>
                <c:pt idx="5">
                  <c:v>Ano; jejich podíl ze všech zaměstnanců je 1-50%,  Ano; jejich podíl ze všech zaměstnanců je 51-100%</c:v>
                </c:pt>
              </c:strCache>
            </c:strRef>
          </c:cat>
          <c:val>
            <c:numRef>
              <c:f>Grafy!$C$50:$H$50</c:f>
              <c:numCache>
                <c:formatCode>General</c:formatCode>
                <c:ptCount val="6"/>
                <c:pt idx="0">
                  <c:v>187</c:v>
                </c:pt>
                <c:pt idx="1">
                  <c:v>193</c:v>
                </c:pt>
                <c:pt idx="2">
                  <c:v>137</c:v>
                </c:pt>
                <c:pt idx="3">
                  <c:v>51</c:v>
                </c:pt>
                <c:pt idx="4">
                  <c:v>235</c:v>
                </c:pt>
                <c:pt idx="5">
                  <c:v>6</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8740157499999996" l="0.70000000000000007" r="0.70000000000000007" t="0.78740157499999996"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58739513389051"/>
          <c:y val="0.20259652326067937"/>
          <c:w val="0.32540907846641876"/>
          <c:h val="0.76871999695690219"/>
        </c:manualLayout>
      </c:layout>
      <c:pieChart>
        <c:varyColors val="1"/>
        <c:ser>
          <c:idx val="0"/>
          <c:order val="0"/>
          <c:dLbls>
            <c:dLbl>
              <c:idx val="0"/>
              <c:layout>
                <c:manualLayout>
                  <c:x val="-0.19425728225689581"/>
                  <c:y val="1.2077294685990338E-3"/>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2.3283110887734788E-2"/>
                  <c:y val="3.9855072463768126E-2"/>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0.14801317920366333"/>
                  <c:y val="-0.22792270531400965"/>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spPr>
              <a:noFill/>
              <a:ln>
                <a:noFill/>
              </a:ln>
              <a:effectLst/>
            </c:sp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Grafy!$C$198:$E$198</c:f>
              <c:strCache>
                <c:ptCount val="3"/>
                <c:pt idx="0">
                  <c:v>Ano, ale zaměstnávám pouze pracovníky z jiných členských států EU, jejichž kvalifikace nemusí být v ČR úředně uznána (nevykonávají regulované povolání)</c:v>
                </c:pt>
                <c:pt idx="1">
                  <c:v>Ano, zaměstnávám pracovníky z jiných členských států EU, jejichž kvalifikace musí být v ČR úředně uznána (vykonávají regulované povolání)</c:v>
                </c:pt>
                <c:pt idx="2">
                  <c:v>Nezaměstnávám zahraniční pracovníky</c:v>
                </c:pt>
              </c:strCache>
            </c:strRef>
          </c:cat>
          <c:val>
            <c:numRef>
              <c:f>Grafy!$C$199:$E$199</c:f>
              <c:numCache>
                <c:formatCode>General</c:formatCode>
                <c:ptCount val="3"/>
                <c:pt idx="0">
                  <c:v>93</c:v>
                </c:pt>
                <c:pt idx="1">
                  <c:v>42</c:v>
                </c:pt>
                <c:pt idx="2">
                  <c:v>657</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8740157499999996" l="0.70000000000000007" r="0.70000000000000007" t="0.78740157499999996"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cat>
            <c:strRef>
              <c:f>Grafy!$C$219:$F$219</c:f>
              <c:strCache>
                <c:ptCount val="4"/>
                <c:pt idx="0">
                  <c:v>Nepřiměřené omezení </c:v>
                </c:pt>
                <c:pt idx="1">
                  <c:v>Požadavky zákona na výkon profese mi nevadí</c:v>
                </c:pt>
                <c:pt idx="2">
                  <c:v>Požadavky zákona na výkon profese mi pomáhají při výběru pracovníka</c:v>
                </c:pt>
                <c:pt idx="3">
                  <c:v>Neodpověděl</c:v>
                </c:pt>
              </c:strCache>
            </c:strRef>
          </c:cat>
          <c:val>
            <c:numRef>
              <c:f>Grafy!$C$220:$F$220</c:f>
              <c:numCache>
                <c:formatCode>General</c:formatCode>
                <c:ptCount val="4"/>
                <c:pt idx="0">
                  <c:v>68</c:v>
                </c:pt>
                <c:pt idx="1">
                  <c:v>420</c:v>
                </c:pt>
                <c:pt idx="2">
                  <c:v>250</c:v>
                </c:pt>
                <c:pt idx="3">
                  <c:v>79</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4663922432689425"/>
          <c:y val="0"/>
          <c:w val="0.33600719649740102"/>
          <c:h val="1"/>
        </c:manualLayout>
      </c:layout>
      <c:overlay val="0"/>
    </c:legend>
    <c:plotVisOnly val="1"/>
    <c:dispBlanksAs val="gap"/>
    <c:showDLblsOverMax val="0"/>
  </c:chart>
  <c:printSettings>
    <c:headerFooter/>
    <c:pageMargins b="0.78740157499999996" l="0.70000000000000007" r="0.70000000000000007" t="0.78740157499999996"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Grafy!$C$240:$H$240</c:f>
              <c:strCache>
                <c:ptCount val="6"/>
                <c:pt idx="0">
                  <c:v>1 (Nejvíce rozhodující faktor)</c:v>
                </c:pt>
                <c:pt idx="1">
                  <c:v>2</c:v>
                </c:pt>
                <c:pt idx="2">
                  <c:v>3</c:v>
                </c:pt>
                <c:pt idx="3">
                  <c:v>4</c:v>
                </c:pt>
                <c:pt idx="4">
                  <c:v>5 (Nejméně rozhodující faktor)</c:v>
                </c:pt>
                <c:pt idx="5">
                  <c:v>Neodpověděl</c:v>
                </c:pt>
              </c:strCache>
            </c:strRef>
          </c:cat>
          <c:val>
            <c:numRef>
              <c:f>Grafy!$C$241:$H$241</c:f>
              <c:numCache>
                <c:formatCode>General</c:formatCode>
                <c:ptCount val="6"/>
                <c:pt idx="0">
                  <c:v>158</c:v>
                </c:pt>
                <c:pt idx="1">
                  <c:v>161</c:v>
                </c:pt>
                <c:pt idx="2">
                  <c:v>293</c:v>
                </c:pt>
                <c:pt idx="3">
                  <c:v>89</c:v>
                </c:pt>
                <c:pt idx="4">
                  <c:v>49</c:v>
                </c:pt>
                <c:pt idx="5">
                  <c:v>76</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8740157499999996" l="0.70000000000000007" r="0.70000000000000007" t="0.78740157499999996"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Grafy!$C$261:$H$261</c:f>
              <c:strCache>
                <c:ptCount val="6"/>
                <c:pt idx="0">
                  <c:v>1 (Nejvíce rozhodující faktor)</c:v>
                </c:pt>
                <c:pt idx="1">
                  <c:v>2</c:v>
                </c:pt>
                <c:pt idx="2">
                  <c:v>3</c:v>
                </c:pt>
                <c:pt idx="3">
                  <c:v>4</c:v>
                </c:pt>
                <c:pt idx="4">
                  <c:v>5 (Nejméně rozhodující faktor)</c:v>
                </c:pt>
                <c:pt idx="5">
                  <c:v>Neodpověděl</c:v>
                </c:pt>
              </c:strCache>
            </c:strRef>
          </c:cat>
          <c:val>
            <c:numRef>
              <c:f>Grafy!$C$262:$H$262</c:f>
              <c:numCache>
                <c:formatCode>General</c:formatCode>
                <c:ptCount val="6"/>
                <c:pt idx="0">
                  <c:v>317</c:v>
                </c:pt>
                <c:pt idx="1">
                  <c:v>245</c:v>
                </c:pt>
                <c:pt idx="2">
                  <c:v>122</c:v>
                </c:pt>
                <c:pt idx="3">
                  <c:v>53</c:v>
                </c:pt>
                <c:pt idx="4">
                  <c:v>36</c:v>
                </c:pt>
                <c:pt idx="5">
                  <c:v>54</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8740157499999996" l="0.70000000000000007" r="0.70000000000000007" t="0.78740157499999996"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Grafy!$C$286:$H$286</c:f>
              <c:strCache>
                <c:ptCount val="6"/>
                <c:pt idx="0">
                  <c:v>1 (Ověření faktických schopností je nejvíce rozhodující faktor)</c:v>
                </c:pt>
                <c:pt idx="1">
                  <c:v>2</c:v>
                </c:pt>
                <c:pt idx="2">
                  <c:v>3</c:v>
                </c:pt>
                <c:pt idx="3">
                  <c:v>4</c:v>
                </c:pt>
                <c:pt idx="4">
                  <c:v>5 (Ověření faktických schopností je nejméně rozhodující faktor)</c:v>
                </c:pt>
                <c:pt idx="5">
                  <c:v>Neodpověděl</c:v>
                </c:pt>
              </c:strCache>
            </c:strRef>
          </c:cat>
          <c:val>
            <c:numRef>
              <c:f>Grafy!$C$287:$H$287</c:f>
              <c:numCache>
                <c:formatCode>General</c:formatCode>
                <c:ptCount val="6"/>
                <c:pt idx="0">
                  <c:v>566</c:v>
                </c:pt>
                <c:pt idx="1">
                  <c:v>95</c:v>
                </c:pt>
                <c:pt idx="2">
                  <c:v>29</c:v>
                </c:pt>
                <c:pt idx="3">
                  <c:v>12</c:v>
                </c:pt>
                <c:pt idx="4">
                  <c:v>83</c:v>
                </c:pt>
                <c:pt idx="5">
                  <c:v>41</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3246061455432834"/>
          <c:y val="1.7505103528725578E-3"/>
          <c:w val="0.3268743054564639"/>
          <c:h val="0.84974159920150849"/>
        </c:manualLayout>
      </c:layout>
      <c:overlay val="0"/>
    </c:legend>
    <c:plotVisOnly val="1"/>
    <c:dispBlanksAs val="gap"/>
    <c:showDLblsOverMax val="0"/>
  </c:chart>
  <c:printSettings>
    <c:headerFooter/>
    <c:pageMargins b="0.78740157499999996" l="0.70000000000000007" r="0.70000000000000007" t="0.78740157499999996"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Grafy!$C$308:$G$308</c:f>
              <c:strCache>
                <c:ptCount val="5"/>
                <c:pt idx="0">
                  <c:v>Ano, potíže mi způsobila procedura uznávání odborné kvalifikace pracovníka</c:v>
                </c:pt>
                <c:pt idx="1">
                  <c:v>Ano, potíže mi způsobily požadavky na výkon profese</c:v>
                </c:pt>
                <c:pt idx="2">
                  <c:v>Ano, potíže mi způsobily požadavky na výkon profese a zároveň: Ano, potíže mi způsobila procedura uznávání odborné kvalifikace pracovníka</c:v>
                </c:pt>
                <c:pt idx="3">
                  <c:v>Ne</c:v>
                </c:pt>
                <c:pt idx="4">
                  <c:v>Neodpověděl</c:v>
                </c:pt>
              </c:strCache>
            </c:strRef>
          </c:cat>
          <c:val>
            <c:numRef>
              <c:f>Grafy!$C$309:$G$309</c:f>
              <c:numCache>
                <c:formatCode>General</c:formatCode>
                <c:ptCount val="5"/>
                <c:pt idx="0">
                  <c:v>37</c:v>
                </c:pt>
                <c:pt idx="1">
                  <c:v>42</c:v>
                </c:pt>
                <c:pt idx="2">
                  <c:v>7</c:v>
                </c:pt>
                <c:pt idx="3">
                  <c:v>690</c:v>
                </c:pt>
                <c:pt idx="4">
                  <c:v>31</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5076010307454768"/>
          <c:y val="1.2594463427920565E-2"/>
          <c:w val="0.33184206025407759"/>
          <c:h val="0.75108871391076115"/>
        </c:manualLayout>
      </c:layout>
      <c:overlay val="0"/>
    </c:legend>
    <c:plotVisOnly val="1"/>
    <c:dispBlanksAs val="gap"/>
    <c:showDLblsOverMax val="0"/>
  </c:chart>
  <c:printSettings>
    <c:headerFooter/>
    <c:pageMargins b="0.78740157499999996" l="0.70000000000000007" r="0.70000000000000007" t="0.78740157499999996"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590550</xdr:colOff>
      <xdr:row>7</xdr:row>
      <xdr:rowOff>0</xdr:rowOff>
    </xdr:from>
    <xdr:to>
      <xdr:col>8</xdr:col>
      <xdr:colOff>9525</xdr:colOff>
      <xdr:row>23</xdr:row>
      <xdr:rowOff>152400</xdr:rowOff>
    </xdr:to>
    <xdr:graphicFrame macro="">
      <xdr:nvGraphicFramePr>
        <xdr:cNvPr id="10" name="Graf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30</xdr:row>
      <xdr:rowOff>9525</xdr:rowOff>
    </xdr:from>
    <xdr:to>
      <xdr:col>7</xdr:col>
      <xdr:colOff>657225</xdr:colOff>
      <xdr:row>47</xdr:row>
      <xdr:rowOff>0</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609599</xdr:colOff>
      <xdr:row>51</xdr:row>
      <xdr:rowOff>9525</xdr:rowOff>
    </xdr:from>
    <xdr:to>
      <xdr:col>7</xdr:col>
      <xdr:colOff>38100</xdr:colOff>
      <xdr:row>68</xdr:row>
      <xdr:rowOff>0</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590549</xdr:colOff>
      <xdr:row>200</xdr:row>
      <xdr:rowOff>0</xdr:rowOff>
    </xdr:from>
    <xdr:to>
      <xdr:col>5</xdr:col>
      <xdr:colOff>76200</xdr:colOff>
      <xdr:row>216</xdr:row>
      <xdr:rowOff>47625</xdr:rowOff>
    </xdr:to>
    <xdr:graphicFrame macro="">
      <xdr:nvGraphicFramePr>
        <xdr:cNvPr id="6" name="Graf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221</xdr:row>
      <xdr:rowOff>9525</xdr:rowOff>
    </xdr:from>
    <xdr:to>
      <xdr:col>3</xdr:col>
      <xdr:colOff>590550</xdr:colOff>
      <xdr:row>238</xdr:row>
      <xdr:rowOff>0</xdr:rowOff>
    </xdr:to>
    <xdr:graphicFrame macro="">
      <xdr:nvGraphicFramePr>
        <xdr:cNvPr id="7" name="Graf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85725</xdr:colOff>
      <xdr:row>241</xdr:row>
      <xdr:rowOff>76200</xdr:rowOff>
    </xdr:from>
    <xdr:to>
      <xdr:col>3</xdr:col>
      <xdr:colOff>666750</xdr:colOff>
      <xdr:row>258</xdr:row>
      <xdr:rowOff>66675</xdr:rowOff>
    </xdr:to>
    <xdr:graphicFrame macro="">
      <xdr:nvGraphicFramePr>
        <xdr:cNvPr id="8" name="Graf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263</xdr:row>
      <xdr:rowOff>9525</xdr:rowOff>
    </xdr:from>
    <xdr:to>
      <xdr:col>3</xdr:col>
      <xdr:colOff>257175</xdr:colOff>
      <xdr:row>282</xdr:row>
      <xdr:rowOff>152400</xdr:rowOff>
    </xdr:to>
    <xdr:graphicFrame macro="">
      <xdr:nvGraphicFramePr>
        <xdr:cNvPr id="9" name="Graf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288</xdr:row>
      <xdr:rowOff>28575</xdr:rowOff>
    </xdr:from>
    <xdr:to>
      <xdr:col>4</xdr:col>
      <xdr:colOff>628650</xdr:colOff>
      <xdr:row>304</xdr:row>
      <xdr:rowOff>142875</xdr:rowOff>
    </xdr:to>
    <xdr:graphicFrame macro="">
      <xdr:nvGraphicFramePr>
        <xdr:cNvPr id="11" name="Graf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9525</xdr:colOff>
      <xdr:row>310</xdr:row>
      <xdr:rowOff>57150</xdr:rowOff>
    </xdr:from>
    <xdr:to>
      <xdr:col>8</xdr:col>
      <xdr:colOff>28576</xdr:colOff>
      <xdr:row>332</xdr:row>
      <xdr:rowOff>66675</xdr:rowOff>
    </xdr:to>
    <xdr:graphicFrame macro="">
      <xdr:nvGraphicFramePr>
        <xdr:cNvPr id="12" name="Graf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66675</xdr:colOff>
      <xdr:row>337</xdr:row>
      <xdr:rowOff>22225</xdr:rowOff>
    </xdr:from>
    <xdr:to>
      <xdr:col>3</xdr:col>
      <xdr:colOff>647700</xdr:colOff>
      <xdr:row>358</xdr:row>
      <xdr:rowOff>25400</xdr:rowOff>
    </xdr:to>
    <xdr:graphicFrame macro="">
      <xdr:nvGraphicFramePr>
        <xdr:cNvPr id="13" name="Graf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41273</xdr:colOff>
      <xdr:row>363</xdr:row>
      <xdr:rowOff>101599</xdr:rowOff>
    </xdr:from>
    <xdr:to>
      <xdr:col>22</xdr:col>
      <xdr:colOff>1358900</xdr:colOff>
      <xdr:row>413</xdr:row>
      <xdr:rowOff>149225</xdr:rowOff>
    </xdr:to>
    <xdr:graphicFrame macro="">
      <xdr:nvGraphicFramePr>
        <xdr:cNvPr id="14" name="Graf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76200</xdr:colOff>
      <xdr:row>417</xdr:row>
      <xdr:rowOff>9525</xdr:rowOff>
    </xdr:from>
    <xdr:to>
      <xdr:col>4</xdr:col>
      <xdr:colOff>76200</xdr:colOff>
      <xdr:row>434</xdr:row>
      <xdr:rowOff>0</xdr:rowOff>
    </xdr:to>
    <xdr:graphicFrame macro="">
      <xdr:nvGraphicFramePr>
        <xdr:cNvPr id="15" name="Graf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38100</xdr:colOff>
      <xdr:row>438</xdr:row>
      <xdr:rowOff>28575</xdr:rowOff>
    </xdr:from>
    <xdr:to>
      <xdr:col>3</xdr:col>
      <xdr:colOff>619125</xdr:colOff>
      <xdr:row>455</xdr:row>
      <xdr:rowOff>19050</xdr:rowOff>
    </xdr:to>
    <xdr:graphicFrame macro="">
      <xdr:nvGraphicFramePr>
        <xdr:cNvPr id="16" name="Graf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155574</xdr:colOff>
      <xdr:row>459</xdr:row>
      <xdr:rowOff>161924</xdr:rowOff>
    </xdr:from>
    <xdr:to>
      <xdr:col>9</xdr:col>
      <xdr:colOff>203199</xdr:colOff>
      <xdr:row>500</xdr:row>
      <xdr:rowOff>76200</xdr:rowOff>
    </xdr:to>
    <xdr:graphicFrame macro="">
      <xdr:nvGraphicFramePr>
        <xdr:cNvPr id="17" name="Graf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581024</xdr:colOff>
      <xdr:row>76</xdr:row>
      <xdr:rowOff>9523</xdr:rowOff>
    </xdr:from>
    <xdr:to>
      <xdr:col>7</xdr:col>
      <xdr:colOff>1371599</xdr:colOff>
      <xdr:row>194</xdr:row>
      <xdr:rowOff>142875</xdr:rowOff>
    </xdr:to>
    <xdr:graphicFrame macro="">
      <xdr:nvGraphicFramePr>
        <xdr:cNvPr id="18" name="Graf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495300</xdr:colOff>
      <xdr:row>504</xdr:row>
      <xdr:rowOff>0</xdr:rowOff>
    </xdr:from>
    <xdr:to>
      <xdr:col>5</xdr:col>
      <xdr:colOff>546100</xdr:colOff>
      <xdr:row>528</xdr:row>
      <xdr:rowOff>69849</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0"/>
  <sheetViews>
    <sheetView workbookViewId="0">
      <pane ySplit="1" topLeftCell="A359" activePane="bottomLeft" state="frozen"/>
      <selection pane="bottomLeft" activeCell="C3" sqref="C3"/>
    </sheetView>
  </sheetViews>
  <sheetFormatPr defaultColWidth="17.140625" defaultRowHeight="12.75" customHeight="1" x14ac:dyDescent="0.2"/>
  <sheetData>
    <row r="1" spans="1:22" ht="183.75" customHeight="1" x14ac:dyDescent="0.2">
      <c r="A1" s="2" t="s">
        <v>0</v>
      </c>
      <c r="B1" s="8" t="s">
        <v>1</v>
      </c>
      <c r="C1" s="1" t="s">
        <v>2</v>
      </c>
      <c r="D1" s="8" t="s">
        <v>3</v>
      </c>
      <c r="E1" s="1" t="s">
        <v>4</v>
      </c>
      <c r="F1" s="8" t="s">
        <v>5</v>
      </c>
      <c r="G1" s="1" t="s">
        <v>6</v>
      </c>
      <c r="H1" s="1" t="s">
        <v>7</v>
      </c>
      <c r="I1" s="1" t="s">
        <v>8</v>
      </c>
      <c r="J1" s="1" t="s">
        <v>9</v>
      </c>
      <c r="K1" s="1" t="s">
        <v>10</v>
      </c>
      <c r="L1" s="1" t="s">
        <v>11</v>
      </c>
      <c r="M1" s="1" t="s">
        <v>12</v>
      </c>
      <c r="N1" s="8" t="s">
        <v>13</v>
      </c>
      <c r="O1" s="1" t="s">
        <v>14</v>
      </c>
      <c r="P1" s="8" t="s">
        <v>15</v>
      </c>
      <c r="Q1" s="1" t="s">
        <v>16</v>
      </c>
      <c r="R1" s="8" t="s">
        <v>17</v>
      </c>
      <c r="S1" s="8" t="s">
        <v>18</v>
      </c>
      <c r="T1" s="8" t="s">
        <v>19</v>
      </c>
      <c r="U1" s="8" t="s">
        <v>20</v>
      </c>
      <c r="V1" s="1" t="s">
        <v>21</v>
      </c>
    </row>
    <row r="2" spans="1:22" ht="409.5" x14ac:dyDescent="0.2">
      <c r="A2" s="3">
        <v>41725.644236111097</v>
      </c>
      <c r="B2" s="4" t="s">
        <v>22</v>
      </c>
      <c r="C2" s="4" t="s">
        <v>23</v>
      </c>
      <c r="D2" s="4" t="s">
        <v>24</v>
      </c>
      <c r="E2" s="4" t="s">
        <v>25</v>
      </c>
      <c r="F2" s="4" t="s">
        <v>26</v>
      </c>
      <c r="G2" s="4" t="s">
        <v>27</v>
      </c>
      <c r="H2" s="4" t="s">
        <v>28</v>
      </c>
      <c r="I2" s="4" t="s">
        <v>27</v>
      </c>
      <c r="J2" s="4">
        <v>3</v>
      </c>
      <c r="K2" s="4">
        <v>2</v>
      </c>
      <c r="L2" s="4">
        <v>5</v>
      </c>
      <c r="M2" s="4" t="s">
        <v>27</v>
      </c>
      <c r="N2" s="4" t="s">
        <v>29</v>
      </c>
      <c r="O2" s="4"/>
      <c r="P2" s="4" t="s">
        <v>30</v>
      </c>
      <c r="Q2" s="4" t="s">
        <v>27</v>
      </c>
      <c r="R2" s="6" t="s">
        <v>31</v>
      </c>
      <c r="S2" s="4" t="s">
        <v>32</v>
      </c>
      <c r="T2" s="4" t="s">
        <v>33</v>
      </c>
      <c r="U2" s="4" t="s">
        <v>27</v>
      </c>
      <c r="V2" s="4" t="s">
        <v>27</v>
      </c>
    </row>
    <row r="3" spans="1:22" ht="76.5" x14ac:dyDescent="0.2">
      <c r="A3" s="3">
        <v>41729.882071759297</v>
      </c>
      <c r="B3" s="4" t="s">
        <v>34</v>
      </c>
      <c r="C3" s="4" t="s">
        <v>35</v>
      </c>
      <c r="D3" s="4" t="s">
        <v>36</v>
      </c>
      <c r="E3" s="4"/>
      <c r="F3" s="4" t="s">
        <v>37</v>
      </c>
      <c r="G3" s="4"/>
      <c r="H3" s="4" t="s">
        <v>38</v>
      </c>
      <c r="I3" s="4"/>
      <c r="J3" s="4">
        <v>5</v>
      </c>
      <c r="K3" s="4">
        <v>3</v>
      </c>
      <c r="L3" s="4">
        <v>1</v>
      </c>
      <c r="M3" s="4"/>
      <c r="N3" s="4" t="s">
        <v>33</v>
      </c>
      <c r="O3" s="4"/>
      <c r="P3" s="4" t="s">
        <v>30</v>
      </c>
      <c r="Q3" s="4"/>
      <c r="R3" s="6" t="s">
        <v>39</v>
      </c>
      <c r="S3" s="4" t="s">
        <v>40</v>
      </c>
      <c r="T3" s="4" t="s">
        <v>41</v>
      </c>
      <c r="U3" s="4"/>
      <c r="V3" s="4" t="s">
        <v>42</v>
      </c>
    </row>
    <row r="4" spans="1:22" ht="51" x14ac:dyDescent="0.2">
      <c r="A4" s="3">
        <v>41730.670925925901</v>
      </c>
      <c r="B4" s="4" t="s">
        <v>43</v>
      </c>
      <c r="C4" s="4" t="s">
        <v>23</v>
      </c>
      <c r="D4" s="4" t="s">
        <v>24</v>
      </c>
      <c r="E4" s="4" t="s">
        <v>44</v>
      </c>
      <c r="F4" s="4" t="s">
        <v>37</v>
      </c>
      <c r="G4" s="4"/>
      <c r="H4" s="4" t="s">
        <v>38</v>
      </c>
      <c r="I4" s="4"/>
      <c r="J4" s="4">
        <v>3</v>
      </c>
      <c r="K4" s="4">
        <v>5</v>
      </c>
      <c r="L4" s="4">
        <v>5</v>
      </c>
      <c r="M4" s="4"/>
      <c r="N4" s="4" t="s">
        <v>33</v>
      </c>
      <c r="O4" s="4"/>
      <c r="P4" s="4" t="s">
        <v>45</v>
      </c>
      <c r="Q4" s="4"/>
      <c r="R4" s="4" t="s">
        <v>46</v>
      </c>
      <c r="S4" s="4" t="s">
        <v>32</v>
      </c>
      <c r="T4" s="4" t="s">
        <v>33</v>
      </c>
      <c r="U4" s="4"/>
      <c r="V4" s="4" t="s">
        <v>47</v>
      </c>
    </row>
    <row r="5" spans="1:22" ht="51" x14ac:dyDescent="0.2">
      <c r="A5" s="3">
        <v>41730.989236111098</v>
      </c>
      <c r="B5" s="4" t="s">
        <v>48</v>
      </c>
      <c r="C5" s="4" t="s">
        <v>49</v>
      </c>
      <c r="D5" s="4" t="s">
        <v>50</v>
      </c>
      <c r="E5" s="4" t="s">
        <v>409</v>
      </c>
      <c r="F5" s="4" t="s">
        <v>37</v>
      </c>
      <c r="G5" s="4"/>
      <c r="H5" s="4" t="s">
        <v>38</v>
      </c>
      <c r="I5" s="4"/>
      <c r="J5" s="4">
        <v>1</v>
      </c>
      <c r="K5" s="4">
        <v>1</v>
      </c>
      <c r="L5" s="4">
        <v>2</v>
      </c>
      <c r="M5" s="4"/>
      <c r="N5" s="4" t="s">
        <v>33</v>
      </c>
      <c r="O5" s="4"/>
      <c r="P5" s="4" t="s">
        <v>30</v>
      </c>
      <c r="Q5" s="4"/>
      <c r="R5" s="4" t="s">
        <v>39</v>
      </c>
      <c r="S5" s="4" t="s">
        <v>32</v>
      </c>
      <c r="T5" s="4" t="s">
        <v>33</v>
      </c>
      <c r="U5" s="4"/>
      <c r="V5" s="4" t="s">
        <v>51</v>
      </c>
    </row>
    <row r="6" spans="1:22" ht="114.75" x14ac:dyDescent="0.2">
      <c r="A6" s="3">
        <v>41731.317268518498</v>
      </c>
      <c r="B6" s="4" t="s">
        <v>52</v>
      </c>
      <c r="C6" s="4" t="s">
        <v>53</v>
      </c>
      <c r="D6" s="4" t="s">
        <v>24</v>
      </c>
      <c r="E6" s="4" t="s">
        <v>54</v>
      </c>
      <c r="F6" s="4" t="s">
        <v>26</v>
      </c>
      <c r="G6" s="6" t="s">
        <v>55</v>
      </c>
      <c r="H6" s="4" t="s">
        <v>56</v>
      </c>
      <c r="I6" s="4"/>
      <c r="J6" s="4">
        <v>2</v>
      </c>
      <c r="K6" s="4">
        <v>1</v>
      </c>
      <c r="L6" s="4">
        <v>2</v>
      </c>
      <c r="M6" s="4" t="s">
        <v>57</v>
      </c>
      <c r="N6" s="4" t="s">
        <v>33</v>
      </c>
      <c r="O6" s="4"/>
      <c r="P6" s="4" t="s">
        <v>30</v>
      </c>
      <c r="Q6" s="4"/>
      <c r="R6" s="4" t="s">
        <v>39</v>
      </c>
      <c r="S6" s="4" t="s">
        <v>40</v>
      </c>
      <c r="T6" s="4" t="s">
        <v>33</v>
      </c>
      <c r="U6" s="4"/>
      <c r="V6" s="4"/>
    </row>
    <row r="7" spans="1:22" ht="63.75" x14ac:dyDescent="0.2">
      <c r="A7" s="3">
        <v>41731.329675925903</v>
      </c>
      <c r="B7" s="4" t="s">
        <v>52</v>
      </c>
      <c r="C7" s="4" t="s">
        <v>35</v>
      </c>
      <c r="D7" s="4" t="s">
        <v>58</v>
      </c>
      <c r="E7" s="4"/>
      <c r="F7" s="4"/>
      <c r="G7" s="4"/>
      <c r="H7" s="4"/>
      <c r="I7" s="4"/>
      <c r="J7" s="4"/>
      <c r="K7" s="4"/>
      <c r="L7" s="4"/>
      <c r="M7" s="4"/>
      <c r="N7" s="4"/>
      <c r="O7" s="4"/>
      <c r="P7" s="4"/>
      <c r="Q7" s="4"/>
      <c r="R7" s="4"/>
      <c r="S7" s="4" t="s">
        <v>59</v>
      </c>
      <c r="T7" s="4" t="s">
        <v>33</v>
      </c>
      <c r="U7" s="4"/>
      <c r="V7" s="4" t="s">
        <v>60</v>
      </c>
    </row>
    <row r="8" spans="1:22" ht="140.25" x14ac:dyDescent="0.2">
      <c r="A8" s="3">
        <v>41731.335775462998</v>
      </c>
      <c r="B8" s="4" t="s">
        <v>61</v>
      </c>
      <c r="C8" s="4" t="s">
        <v>53</v>
      </c>
      <c r="D8" s="4" t="s">
        <v>62</v>
      </c>
      <c r="E8" s="4"/>
      <c r="F8" s="4" t="s">
        <v>63</v>
      </c>
      <c r="G8" s="4"/>
      <c r="H8" s="4" t="s">
        <v>38</v>
      </c>
      <c r="I8" s="4"/>
      <c r="J8" s="4">
        <v>2</v>
      </c>
      <c r="K8" s="4">
        <v>3</v>
      </c>
      <c r="L8" s="4">
        <v>1</v>
      </c>
      <c r="M8" s="4"/>
      <c r="N8" s="4" t="s">
        <v>33</v>
      </c>
      <c r="O8" s="4"/>
      <c r="P8" s="4" t="s">
        <v>45</v>
      </c>
      <c r="Q8" s="4"/>
      <c r="R8" s="4"/>
      <c r="S8" s="4" t="s">
        <v>59</v>
      </c>
      <c r="T8" s="4" t="s">
        <v>41</v>
      </c>
      <c r="U8" s="4"/>
      <c r="V8" s="4"/>
    </row>
    <row r="9" spans="1:22" ht="63.75" x14ac:dyDescent="0.2">
      <c r="A9" s="3">
        <v>41731.442962963003</v>
      </c>
      <c r="B9" s="4" t="s">
        <v>52</v>
      </c>
      <c r="C9" s="4" t="s">
        <v>23</v>
      </c>
      <c r="D9" s="4" t="s">
        <v>24</v>
      </c>
      <c r="E9" s="4"/>
      <c r="F9" s="4" t="s">
        <v>37</v>
      </c>
      <c r="G9" s="4"/>
      <c r="H9" s="4" t="s">
        <v>38</v>
      </c>
      <c r="I9" s="4"/>
      <c r="J9" s="4">
        <v>1</v>
      </c>
      <c r="K9" s="4">
        <v>3</v>
      </c>
      <c r="L9" s="4">
        <v>2</v>
      </c>
      <c r="M9" s="4"/>
      <c r="N9" s="4" t="s">
        <v>33</v>
      </c>
      <c r="O9" s="4"/>
      <c r="P9" s="4" t="s">
        <v>30</v>
      </c>
      <c r="Q9" s="4"/>
      <c r="R9" s="4" t="s">
        <v>64</v>
      </c>
      <c r="S9" s="4" t="s">
        <v>59</v>
      </c>
      <c r="T9" s="4" t="s">
        <v>41</v>
      </c>
      <c r="U9" s="4"/>
      <c r="V9" s="4"/>
    </row>
    <row r="10" spans="1:22" ht="76.5" x14ac:dyDescent="0.2">
      <c r="A10" s="3">
        <v>41731.363425925898</v>
      </c>
      <c r="B10" s="4" t="s">
        <v>52</v>
      </c>
      <c r="C10" s="4" t="s">
        <v>23</v>
      </c>
      <c r="D10" s="4" t="s">
        <v>24</v>
      </c>
      <c r="E10" s="4" t="s">
        <v>65</v>
      </c>
      <c r="F10" s="4" t="s">
        <v>37</v>
      </c>
      <c r="G10" s="4"/>
      <c r="H10" s="4" t="s">
        <v>56</v>
      </c>
      <c r="I10" s="4"/>
      <c r="J10" s="4">
        <v>1</v>
      </c>
      <c r="K10" s="4">
        <v>1</v>
      </c>
      <c r="L10" s="4">
        <v>2</v>
      </c>
      <c r="M10" s="4"/>
      <c r="N10" s="4" t="s">
        <v>33</v>
      </c>
      <c r="O10" s="4"/>
      <c r="P10" s="4" t="s">
        <v>30</v>
      </c>
      <c r="Q10" s="4"/>
      <c r="R10" s="4" t="s">
        <v>64</v>
      </c>
      <c r="S10" s="4" t="s">
        <v>59</v>
      </c>
      <c r="T10" s="4" t="s">
        <v>33</v>
      </c>
      <c r="U10" s="4"/>
      <c r="V10" s="4" t="s">
        <v>66</v>
      </c>
    </row>
    <row r="11" spans="1:22" ht="140.25" x14ac:dyDescent="0.2">
      <c r="A11" s="3">
        <v>41731.407685185201</v>
      </c>
      <c r="B11" s="4" t="s">
        <v>52</v>
      </c>
      <c r="C11" s="4" t="s">
        <v>53</v>
      </c>
      <c r="D11" s="4" t="s">
        <v>24</v>
      </c>
      <c r="E11" s="4">
        <v>2</v>
      </c>
      <c r="F11" s="4" t="s">
        <v>63</v>
      </c>
      <c r="G11" s="4"/>
      <c r="H11" s="4" t="s">
        <v>56</v>
      </c>
      <c r="I11" s="4"/>
      <c r="J11" s="4">
        <v>1</v>
      </c>
      <c r="K11" s="4">
        <v>1</v>
      </c>
      <c r="L11" s="4">
        <v>1</v>
      </c>
      <c r="M11" s="4"/>
      <c r="N11" s="4" t="s">
        <v>33</v>
      </c>
      <c r="O11" s="4"/>
      <c r="P11" s="4" t="s">
        <v>30</v>
      </c>
      <c r="Q11" s="4"/>
      <c r="R11" s="4" t="s">
        <v>46</v>
      </c>
      <c r="S11" s="4" t="s">
        <v>40</v>
      </c>
      <c r="T11" s="4" t="s">
        <v>33</v>
      </c>
      <c r="U11" s="4"/>
      <c r="V11" s="4" t="s">
        <v>67</v>
      </c>
    </row>
    <row r="12" spans="1:22" ht="63.75" x14ac:dyDescent="0.2">
      <c r="A12" s="3">
        <v>41731.470902777801</v>
      </c>
      <c r="B12" s="4" t="s">
        <v>68</v>
      </c>
      <c r="C12" s="4" t="s">
        <v>35</v>
      </c>
      <c r="D12" s="4" t="s">
        <v>58</v>
      </c>
      <c r="E12" s="4"/>
      <c r="F12" s="4" t="s">
        <v>37</v>
      </c>
      <c r="G12" s="4"/>
      <c r="H12" s="4" t="s">
        <v>38</v>
      </c>
      <c r="I12" s="4"/>
      <c r="J12" s="4">
        <v>2</v>
      </c>
      <c r="K12" s="4">
        <v>4</v>
      </c>
      <c r="L12" s="4">
        <v>2</v>
      </c>
      <c r="M12" s="4"/>
      <c r="N12" s="4" t="s">
        <v>33</v>
      </c>
      <c r="O12" s="4"/>
      <c r="P12" s="4" t="s">
        <v>30</v>
      </c>
      <c r="Q12" s="4"/>
      <c r="R12" s="4" t="s">
        <v>39</v>
      </c>
      <c r="S12" s="4" t="s">
        <v>59</v>
      </c>
      <c r="T12" s="4" t="s">
        <v>33</v>
      </c>
      <c r="U12" s="4"/>
      <c r="V12" s="4" t="s">
        <v>69</v>
      </c>
    </row>
    <row r="13" spans="1:22" ht="165.75" x14ac:dyDescent="0.2">
      <c r="A13" s="3">
        <v>41731.497858796298</v>
      </c>
      <c r="B13" s="4" t="s">
        <v>61</v>
      </c>
      <c r="C13" s="4" t="s">
        <v>70</v>
      </c>
      <c r="D13" s="4" t="s">
        <v>50</v>
      </c>
      <c r="E13" s="4" t="s">
        <v>71</v>
      </c>
      <c r="F13" s="4" t="s">
        <v>63</v>
      </c>
      <c r="G13" s="4"/>
      <c r="H13" s="4" t="s">
        <v>38</v>
      </c>
      <c r="I13" s="4"/>
      <c r="J13" s="4">
        <v>2</v>
      </c>
      <c r="K13" s="4">
        <v>1</v>
      </c>
      <c r="L13" s="4">
        <v>1</v>
      </c>
      <c r="M13" s="4"/>
      <c r="N13" s="4" t="s">
        <v>33</v>
      </c>
      <c r="O13" s="4"/>
      <c r="P13" s="4" t="s">
        <v>30</v>
      </c>
      <c r="Q13" s="4"/>
      <c r="R13" s="4" t="s">
        <v>72</v>
      </c>
      <c r="S13" s="4"/>
      <c r="T13" s="4" t="s">
        <v>33</v>
      </c>
      <c r="U13" s="4"/>
      <c r="V13" s="4" t="s">
        <v>73</v>
      </c>
    </row>
    <row r="14" spans="1:22" ht="409.5" x14ac:dyDescent="0.2">
      <c r="A14" s="3">
        <v>41732.416504629597</v>
      </c>
      <c r="B14" s="4" t="s">
        <v>48</v>
      </c>
      <c r="C14" s="4" t="s">
        <v>35</v>
      </c>
      <c r="D14" s="4" t="s">
        <v>36</v>
      </c>
      <c r="E14" s="4"/>
      <c r="F14" s="4" t="s">
        <v>37</v>
      </c>
      <c r="G14" s="4"/>
      <c r="H14" s="4" t="s">
        <v>56</v>
      </c>
      <c r="I14" s="4"/>
      <c r="J14" s="4">
        <v>3</v>
      </c>
      <c r="K14" s="4">
        <v>1</v>
      </c>
      <c r="L14" s="4">
        <v>1</v>
      </c>
      <c r="M14" s="4" t="s">
        <v>74</v>
      </c>
      <c r="N14" s="4" t="s">
        <v>29</v>
      </c>
      <c r="O14" s="4" t="s">
        <v>75</v>
      </c>
      <c r="P14" s="4" t="s">
        <v>45</v>
      </c>
      <c r="Q14" s="4" t="s">
        <v>76</v>
      </c>
      <c r="R14" s="6" t="s">
        <v>77</v>
      </c>
      <c r="S14" s="4" t="s">
        <v>59</v>
      </c>
      <c r="T14" s="4" t="s">
        <v>41</v>
      </c>
      <c r="U14" s="6" t="s">
        <v>78</v>
      </c>
      <c r="V14" s="4" t="s">
        <v>79</v>
      </c>
    </row>
    <row r="15" spans="1:22" ht="76.5" x14ac:dyDescent="0.2">
      <c r="A15" s="3">
        <v>41732.4917824074</v>
      </c>
      <c r="B15" s="4" t="s">
        <v>34</v>
      </c>
      <c r="C15" s="4" t="s">
        <v>49</v>
      </c>
      <c r="D15" s="4" t="s">
        <v>62</v>
      </c>
      <c r="E15" s="4"/>
      <c r="F15" s="4" t="s">
        <v>37</v>
      </c>
      <c r="G15" s="4"/>
      <c r="H15" s="4"/>
      <c r="I15" s="4" t="s">
        <v>80</v>
      </c>
      <c r="J15" s="4">
        <v>3</v>
      </c>
      <c r="K15" s="4">
        <v>2</v>
      </c>
      <c r="L15" s="4">
        <v>1</v>
      </c>
      <c r="M15" s="4" t="s">
        <v>81</v>
      </c>
      <c r="N15" s="4" t="s">
        <v>33</v>
      </c>
      <c r="O15" s="4"/>
      <c r="P15" s="4" t="s">
        <v>30</v>
      </c>
      <c r="Q15" s="4" t="s">
        <v>82</v>
      </c>
      <c r="R15" s="4"/>
      <c r="S15" s="4" t="s">
        <v>40</v>
      </c>
      <c r="T15" s="4" t="s">
        <v>33</v>
      </c>
      <c r="U15" s="4"/>
      <c r="V15" s="4" t="s">
        <v>83</v>
      </c>
    </row>
    <row r="16" spans="1:22" ht="51" x14ac:dyDescent="0.2">
      <c r="A16" s="3">
        <v>41732.494513888902</v>
      </c>
      <c r="B16" s="4" t="s">
        <v>34</v>
      </c>
      <c r="C16" s="4" t="s">
        <v>35</v>
      </c>
      <c r="D16" s="4" t="s">
        <v>62</v>
      </c>
      <c r="E16" s="4"/>
      <c r="F16" s="4" t="s">
        <v>37</v>
      </c>
      <c r="G16" s="4"/>
      <c r="H16" s="4"/>
      <c r="I16" s="4" t="s">
        <v>84</v>
      </c>
      <c r="J16" s="4">
        <v>3</v>
      </c>
      <c r="K16" s="4">
        <v>2</v>
      </c>
      <c r="L16" s="4">
        <v>1</v>
      </c>
      <c r="M16" s="4"/>
      <c r="N16" s="4" t="s">
        <v>33</v>
      </c>
      <c r="O16" s="4"/>
      <c r="P16" s="4" t="s">
        <v>30</v>
      </c>
      <c r="Q16" s="4"/>
      <c r="R16" s="4"/>
      <c r="S16" s="4"/>
      <c r="T16" s="4" t="s">
        <v>33</v>
      </c>
      <c r="U16" s="4"/>
      <c r="V16" s="4" t="s">
        <v>83</v>
      </c>
    </row>
    <row r="17" spans="1:22" ht="127.5" x14ac:dyDescent="0.2">
      <c r="A17" s="3">
        <v>41732.569039351802</v>
      </c>
      <c r="B17" s="4" t="s">
        <v>85</v>
      </c>
      <c r="C17" s="4" t="s">
        <v>23</v>
      </c>
      <c r="D17" s="4" t="s">
        <v>24</v>
      </c>
      <c r="E17" s="4" t="s">
        <v>86</v>
      </c>
      <c r="F17" s="4" t="s">
        <v>37</v>
      </c>
      <c r="G17" s="4"/>
      <c r="H17" s="4" t="s">
        <v>56</v>
      </c>
      <c r="I17" s="4" t="s">
        <v>87</v>
      </c>
      <c r="J17" s="4">
        <v>5</v>
      </c>
      <c r="K17" s="4">
        <v>4</v>
      </c>
      <c r="L17" s="4">
        <v>5</v>
      </c>
      <c r="M17" s="4"/>
      <c r="N17" s="4" t="s">
        <v>33</v>
      </c>
      <c r="O17" s="4"/>
      <c r="P17" s="4" t="s">
        <v>30</v>
      </c>
      <c r="Q17" s="4"/>
      <c r="R17" s="4" t="s">
        <v>88</v>
      </c>
      <c r="S17" s="4" t="s">
        <v>59</v>
      </c>
      <c r="T17" s="4" t="s">
        <v>33</v>
      </c>
      <c r="U17" s="4"/>
      <c r="V17" s="4" t="s">
        <v>89</v>
      </c>
    </row>
    <row r="18" spans="1:22" ht="153" x14ac:dyDescent="0.2">
      <c r="A18" s="3">
        <v>41733.275034722203</v>
      </c>
      <c r="B18" s="4" t="s">
        <v>34</v>
      </c>
      <c r="C18" s="4" t="s">
        <v>35</v>
      </c>
      <c r="D18" s="4" t="s">
        <v>58</v>
      </c>
      <c r="E18" s="4"/>
      <c r="F18" s="4" t="s">
        <v>37</v>
      </c>
      <c r="G18" s="4"/>
      <c r="H18" s="4" t="s">
        <v>38</v>
      </c>
      <c r="I18" s="4"/>
      <c r="J18" s="4">
        <v>3</v>
      </c>
      <c r="K18" s="4">
        <v>1</v>
      </c>
      <c r="L18" s="4">
        <v>2</v>
      </c>
      <c r="M18" s="4"/>
      <c r="N18" s="4" t="s">
        <v>33</v>
      </c>
      <c r="O18" s="4"/>
      <c r="P18" s="4" t="s">
        <v>90</v>
      </c>
      <c r="Q18" s="4" t="s">
        <v>91</v>
      </c>
      <c r="R18" s="6" t="s">
        <v>92</v>
      </c>
      <c r="S18" s="4" t="s">
        <v>59</v>
      </c>
      <c r="T18" s="4" t="s">
        <v>33</v>
      </c>
      <c r="U18" s="4"/>
      <c r="V18" s="4" t="s">
        <v>93</v>
      </c>
    </row>
    <row r="19" spans="1:22" ht="63.75" x14ac:dyDescent="0.2">
      <c r="A19" s="3">
        <v>41733.284768518497</v>
      </c>
      <c r="B19" s="4" t="s">
        <v>34</v>
      </c>
      <c r="C19" s="4" t="s">
        <v>49</v>
      </c>
      <c r="D19" s="4" t="s">
        <v>58</v>
      </c>
      <c r="E19" s="4"/>
      <c r="F19" s="4" t="s">
        <v>37</v>
      </c>
      <c r="G19" s="4"/>
      <c r="H19" s="4"/>
      <c r="I19" s="4"/>
      <c r="J19" s="4"/>
      <c r="K19" s="4"/>
      <c r="L19" s="4"/>
      <c r="M19" s="4"/>
      <c r="N19" s="4" t="s">
        <v>33</v>
      </c>
      <c r="O19" s="4"/>
      <c r="P19" s="4" t="s">
        <v>45</v>
      </c>
      <c r="Q19" s="4"/>
      <c r="R19" s="4" t="s">
        <v>94</v>
      </c>
      <c r="S19" s="4" t="s">
        <v>59</v>
      </c>
      <c r="T19" s="4"/>
      <c r="U19" s="4"/>
      <c r="V19" s="4" t="s">
        <v>95</v>
      </c>
    </row>
    <row r="20" spans="1:22" ht="204" x14ac:dyDescent="0.2">
      <c r="A20" s="3">
        <v>41733.407627314802</v>
      </c>
      <c r="B20" s="4" t="s">
        <v>96</v>
      </c>
      <c r="C20" s="4" t="s">
        <v>35</v>
      </c>
      <c r="D20" s="4" t="s">
        <v>58</v>
      </c>
      <c r="E20" s="4" t="s">
        <v>97</v>
      </c>
      <c r="F20" s="4" t="s">
        <v>37</v>
      </c>
      <c r="G20" s="4"/>
      <c r="H20" s="4" t="s">
        <v>38</v>
      </c>
      <c r="I20" s="4"/>
      <c r="J20" s="4">
        <v>3</v>
      </c>
      <c r="K20" s="4">
        <v>2</v>
      </c>
      <c r="L20" s="4">
        <v>1</v>
      </c>
      <c r="M20" s="4"/>
      <c r="N20" s="4" t="s">
        <v>98</v>
      </c>
      <c r="O20" s="4"/>
      <c r="P20" s="4" t="s">
        <v>30</v>
      </c>
      <c r="Q20" s="4" t="s">
        <v>99</v>
      </c>
      <c r="R20" s="6" t="s">
        <v>100</v>
      </c>
      <c r="S20" s="4" t="s">
        <v>59</v>
      </c>
      <c r="T20" s="4" t="s">
        <v>41</v>
      </c>
      <c r="U20" s="4"/>
      <c r="V20" s="4" t="s">
        <v>101</v>
      </c>
    </row>
    <row r="21" spans="1:22" ht="191.25" x14ac:dyDescent="0.2">
      <c r="A21" s="3">
        <v>41733.447280092601</v>
      </c>
      <c r="B21" s="4" t="s">
        <v>34</v>
      </c>
      <c r="C21" s="4" t="s">
        <v>35</v>
      </c>
      <c r="D21" s="4" t="s">
        <v>58</v>
      </c>
      <c r="E21" s="4"/>
      <c r="F21" s="4" t="s">
        <v>37</v>
      </c>
      <c r="G21" s="4"/>
      <c r="H21" s="4" t="s">
        <v>56</v>
      </c>
      <c r="I21" s="4" t="s">
        <v>102</v>
      </c>
      <c r="J21" s="4">
        <v>2</v>
      </c>
      <c r="K21" s="4">
        <v>3</v>
      </c>
      <c r="L21" s="4">
        <v>1</v>
      </c>
      <c r="M21" s="4"/>
      <c r="N21" s="4" t="s">
        <v>29</v>
      </c>
      <c r="O21" s="4" t="s">
        <v>103</v>
      </c>
      <c r="P21" s="4" t="s">
        <v>30</v>
      </c>
      <c r="Q21" s="4"/>
      <c r="R21" s="4" t="s">
        <v>88</v>
      </c>
      <c r="S21" s="4" t="s">
        <v>59</v>
      </c>
      <c r="T21" s="4" t="s">
        <v>33</v>
      </c>
      <c r="U21" s="4"/>
      <c r="V21" s="4" t="s">
        <v>104</v>
      </c>
    </row>
    <row r="22" spans="1:22" ht="114.75" x14ac:dyDescent="0.2">
      <c r="A22" s="3">
        <v>41736.4137962963</v>
      </c>
      <c r="B22" s="4" t="s">
        <v>105</v>
      </c>
      <c r="C22" s="4" t="s">
        <v>70</v>
      </c>
      <c r="D22" s="4" t="s">
        <v>24</v>
      </c>
      <c r="E22" s="4"/>
      <c r="F22" s="4" t="s">
        <v>26</v>
      </c>
      <c r="G22" s="4"/>
      <c r="H22" s="4" t="s">
        <v>38</v>
      </c>
      <c r="I22" s="4"/>
      <c r="J22" s="4">
        <v>2</v>
      </c>
      <c r="K22" s="4">
        <v>1</v>
      </c>
      <c r="L22" s="4">
        <v>1</v>
      </c>
      <c r="M22" s="4"/>
      <c r="N22" s="4" t="s">
        <v>98</v>
      </c>
      <c r="O22" s="4"/>
      <c r="P22" s="4" t="s">
        <v>30</v>
      </c>
      <c r="Q22" s="4"/>
      <c r="R22" s="4" t="s">
        <v>39</v>
      </c>
      <c r="S22" s="4" t="s">
        <v>59</v>
      </c>
      <c r="T22" s="4" t="s">
        <v>33</v>
      </c>
      <c r="U22" s="4"/>
      <c r="V22" s="4"/>
    </row>
    <row r="23" spans="1:22" ht="76.5" x14ac:dyDescent="0.2">
      <c r="A23" s="3">
        <v>41734.044999999998</v>
      </c>
      <c r="B23" s="4" t="s">
        <v>34</v>
      </c>
      <c r="C23" s="4" t="s">
        <v>49</v>
      </c>
      <c r="D23" s="4" t="s">
        <v>24</v>
      </c>
      <c r="E23" s="4" t="s">
        <v>106</v>
      </c>
      <c r="F23" s="4" t="s">
        <v>37</v>
      </c>
      <c r="G23" s="4"/>
      <c r="H23" s="4" t="s">
        <v>56</v>
      </c>
      <c r="I23" s="4" t="s">
        <v>107</v>
      </c>
      <c r="J23" s="4">
        <v>2</v>
      </c>
      <c r="K23" s="4">
        <v>2</v>
      </c>
      <c r="L23" s="4">
        <v>1</v>
      </c>
      <c r="M23" s="4" t="s">
        <v>108</v>
      </c>
      <c r="N23" s="4" t="s">
        <v>33</v>
      </c>
      <c r="O23" s="4"/>
      <c r="P23" s="4" t="s">
        <v>30</v>
      </c>
      <c r="Q23" s="4"/>
      <c r="R23" s="4" t="s">
        <v>64</v>
      </c>
      <c r="S23" s="4" t="s">
        <v>40</v>
      </c>
      <c r="T23" s="4" t="s">
        <v>33</v>
      </c>
      <c r="U23" s="4"/>
      <c r="V23" s="4" t="s">
        <v>109</v>
      </c>
    </row>
    <row r="24" spans="1:22" ht="63.75" x14ac:dyDescent="0.2">
      <c r="A24" s="3">
        <v>41737.639386574097</v>
      </c>
      <c r="B24" s="4" t="s">
        <v>110</v>
      </c>
      <c r="C24" s="4" t="s">
        <v>49</v>
      </c>
      <c r="D24" s="4" t="s">
        <v>62</v>
      </c>
      <c r="E24" s="4"/>
      <c r="F24" s="4" t="s">
        <v>37</v>
      </c>
      <c r="G24" s="4"/>
      <c r="H24" s="4" t="s">
        <v>38</v>
      </c>
      <c r="I24" s="4"/>
      <c r="J24" s="4">
        <v>2</v>
      </c>
      <c r="K24" s="4">
        <v>4</v>
      </c>
      <c r="L24" s="4">
        <v>5</v>
      </c>
      <c r="M24" s="4"/>
      <c r="N24" s="4" t="s">
        <v>33</v>
      </c>
      <c r="O24" s="4"/>
      <c r="P24" s="4" t="s">
        <v>45</v>
      </c>
      <c r="Q24" s="4"/>
      <c r="R24" s="4" t="s">
        <v>111</v>
      </c>
      <c r="S24" s="4" t="s">
        <v>59</v>
      </c>
      <c r="T24" s="4" t="s">
        <v>33</v>
      </c>
      <c r="U24" s="4"/>
      <c r="V24" s="4"/>
    </row>
    <row r="25" spans="1:22" ht="76.5" x14ac:dyDescent="0.2">
      <c r="A25" s="3">
        <v>41736.544363425899</v>
      </c>
      <c r="B25" s="4" t="s">
        <v>52</v>
      </c>
      <c r="C25" s="4" t="s">
        <v>53</v>
      </c>
      <c r="D25" s="4" t="s">
        <v>62</v>
      </c>
      <c r="E25" s="4"/>
      <c r="F25" s="4" t="s">
        <v>37</v>
      </c>
      <c r="G25" s="4"/>
      <c r="H25" s="4"/>
      <c r="I25" s="4"/>
      <c r="J25" s="4">
        <v>1</v>
      </c>
      <c r="K25" s="4">
        <v>1</v>
      </c>
      <c r="L25" s="4">
        <v>1</v>
      </c>
      <c r="M25" s="4"/>
      <c r="N25" s="4" t="s">
        <v>98</v>
      </c>
      <c r="O25" s="4"/>
      <c r="P25" s="4" t="s">
        <v>30</v>
      </c>
      <c r="Q25" s="4"/>
      <c r="R25" s="4" t="s">
        <v>112</v>
      </c>
      <c r="S25" s="4" t="s">
        <v>40</v>
      </c>
      <c r="T25" s="4" t="s">
        <v>41</v>
      </c>
      <c r="U25" s="4"/>
      <c r="V25" s="4" t="s">
        <v>113</v>
      </c>
    </row>
    <row r="26" spans="1:22" ht="153" x14ac:dyDescent="0.2">
      <c r="A26" s="3">
        <v>41737.645706018498</v>
      </c>
      <c r="B26" s="4" t="s">
        <v>34</v>
      </c>
      <c r="C26" s="4" t="s">
        <v>35</v>
      </c>
      <c r="D26" s="4" t="s">
        <v>58</v>
      </c>
      <c r="E26" s="4" t="s">
        <v>114</v>
      </c>
      <c r="F26" s="4"/>
      <c r="G26" s="4"/>
      <c r="H26" s="4" t="s">
        <v>38</v>
      </c>
      <c r="I26" s="4"/>
      <c r="J26" s="4"/>
      <c r="K26" s="4">
        <v>1</v>
      </c>
      <c r="L26" s="4">
        <v>1</v>
      </c>
      <c r="M26" s="4"/>
      <c r="N26" s="4" t="s">
        <v>33</v>
      </c>
      <c r="O26" s="4"/>
      <c r="P26" s="4" t="s">
        <v>30</v>
      </c>
      <c r="Q26" s="4"/>
      <c r="R26" s="4" t="s">
        <v>39</v>
      </c>
      <c r="S26" s="4" t="s">
        <v>59</v>
      </c>
      <c r="T26" s="4" t="s">
        <v>33</v>
      </c>
      <c r="U26" s="4"/>
      <c r="V26" s="4" t="s">
        <v>115</v>
      </c>
    </row>
    <row r="27" spans="1:22" ht="191.25" x14ac:dyDescent="0.2">
      <c r="A27" s="3">
        <v>41738.209189814799</v>
      </c>
      <c r="B27" s="4" t="s">
        <v>116</v>
      </c>
      <c r="C27" s="4" t="s">
        <v>49</v>
      </c>
      <c r="D27" s="4" t="s">
        <v>50</v>
      </c>
      <c r="E27" s="4"/>
      <c r="F27" s="4" t="s">
        <v>37</v>
      </c>
      <c r="G27" s="4"/>
      <c r="H27" s="4" t="s">
        <v>28</v>
      </c>
      <c r="I27" s="4" t="s">
        <v>117</v>
      </c>
      <c r="J27" s="4">
        <v>1</v>
      </c>
      <c r="K27" s="4">
        <v>5</v>
      </c>
      <c r="L27" s="4">
        <v>5</v>
      </c>
      <c r="M27" s="4" t="s">
        <v>118</v>
      </c>
      <c r="N27" s="4" t="s">
        <v>98</v>
      </c>
      <c r="O27" s="4" t="s">
        <v>119</v>
      </c>
      <c r="P27" s="4" t="s">
        <v>90</v>
      </c>
      <c r="Q27" s="4" t="s">
        <v>120</v>
      </c>
      <c r="R27" s="6" t="s">
        <v>121</v>
      </c>
      <c r="S27" s="4" t="s">
        <v>59</v>
      </c>
      <c r="T27" s="4" t="s">
        <v>41</v>
      </c>
      <c r="U27" s="6" t="s">
        <v>122</v>
      </c>
      <c r="V27" s="4" t="s">
        <v>123</v>
      </c>
    </row>
    <row r="28" spans="1:22" ht="409.5" x14ac:dyDescent="0.2">
      <c r="A28" s="3">
        <v>41738.426516203697</v>
      </c>
      <c r="B28" s="4" t="s">
        <v>34</v>
      </c>
      <c r="C28" s="4" t="s">
        <v>49</v>
      </c>
      <c r="D28" s="4" t="s">
        <v>24</v>
      </c>
      <c r="E28" s="4" t="s">
        <v>124</v>
      </c>
      <c r="F28" s="4" t="s">
        <v>37</v>
      </c>
      <c r="G28" s="4"/>
      <c r="H28" s="4" t="s">
        <v>28</v>
      </c>
      <c r="I28" s="4" t="s">
        <v>125</v>
      </c>
      <c r="J28" s="4">
        <v>1</v>
      </c>
      <c r="K28" s="4">
        <v>3</v>
      </c>
      <c r="L28" s="4">
        <v>1</v>
      </c>
      <c r="M28" s="4" t="s">
        <v>126</v>
      </c>
      <c r="N28" s="4" t="s">
        <v>29</v>
      </c>
      <c r="O28" s="4" t="s">
        <v>127</v>
      </c>
      <c r="P28" s="4" t="s">
        <v>90</v>
      </c>
      <c r="Q28" s="4" t="s">
        <v>128</v>
      </c>
      <c r="R28" s="6" t="s">
        <v>129</v>
      </c>
      <c r="S28" s="4" t="s">
        <v>59</v>
      </c>
      <c r="T28" s="4" t="s">
        <v>33</v>
      </c>
      <c r="U28" s="4"/>
      <c r="V28" s="4" t="s">
        <v>130</v>
      </c>
    </row>
    <row r="29" spans="1:22" ht="280.5" x14ac:dyDescent="0.2">
      <c r="A29" s="3">
        <v>41738.3679513889</v>
      </c>
      <c r="B29" s="4" t="s">
        <v>52</v>
      </c>
      <c r="C29" s="4" t="s">
        <v>23</v>
      </c>
      <c r="D29" s="4" t="s">
        <v>62</v>
      </c>
      <c r="E29" s="4"/>
      <c r="F29" s="4" t="s">
        <v>37</v>
      </c>
      <c r="G29" s="4"/>
      <c r="H29" s="4"/>
      <c r="I29" s="4" t="s">
        <v>131</v>
      </c>
      <c r="J29" s="4">
        <v>3</v>
      </c>
      <c r="K29" s="4">
        <v>5</v>
      </c>
      <c r="L29" s="4">
        <v>5</v>
      </c>
      <c r="M29" s="4"/>
      <c r="N29" s="4" t="s">
        <v>29</v>
      </c>
      <c r="O29" s="4" t="s">
        <v>132</v>
      </c>
      <c r="P29" s="4" t="s">
        <v>90</v>
      </c>
      <c r="Q29" s="4" t="s">
        <v>133</v>
      </c>
      <c r="R29" s="4" t="s">
        <v>134</v>
      </c>
      <c r="S29" s="4" t="s">
        <v>40</v>
      </c>
      <c r="T29" s="4" t="s">
        <v>41</v>
      </c>
      <c r="U29" s="6" t="s">
        <v>135</v>
      </c>
      <c r="V29" s="4" t="s">
        <v>136</v>
      </c>
    </row>
    <row r="30" spans="1:22" ht="369.75" x14ac:dyDescent="0.2">
      <c r="A30" s="3">
        <v>41738.538807870398</v>
      </c>
      <c r="B30" s="6" t="s">
        <v>137</v>
      </c>
      <c r="C30" s="4" t="s">
        <v>49</v>
      </c>
      <c r="D30" s="4" t="s">
        <v>50</v>
      </c>
      <c r="E30" s="4" t="s">
        <v>138</v>
      </c>
      <c r="F30" s="4" t="s">
        <v>37</v>
      </c>
      <c r="G30" s="4"/>
      <c r="H30" s="4" t="s">
        <v>28</v>
      </c>
      <c r="I30" s="4" t="s">
        <v>139</v>
      </c>
      <c r="J30" s="4"/>
      <c r="K30" s="4"/>
      <c r="L30" s="4"/>
      <c r="M30" s="4"/>
      <c r="N30" s="4" t="s">
        <v>98</v>
      </c>
      <c r="O30" s="4" t="s">
        <v>138</v>
      </c>
      <c r="P30" s="4" t="s">
        <v>90</v>
      </c>
      <c r="Q30" s="4" t="s">
        <v>140</v>
      </c>
      <c r="R30" s="4" t="s">
        <v>112</v>
      </c>
      <c r="S30" s="4" t="s">
        <v>59</v>
      </c>
      <c r="T30" s="4"/>
      <c r="U30" s="4"/>
      <c r="V30" s="4" t="s">
        <v>137</v>
      </c>
    </row>
    <row r="31" spans="1:22" ht="409.5" x14ac:dyDescent="0.2">
      <c r="A31" s="3">
        <v>41740.464537036998</v>
      </c>
      <c r="B31" s="4" t="s">
        <v>137</v>
      </c>
      <c r="C31" s="4" t="s">
        <v>35</v>
      </c>
      <c r="D31" s="4" t="s">
        <v>58</v>
      </c>
      <c r="E31" s="4"/>
      <c r="F31" s="4" t="s">
        <v>37</v>
      </c>
      <c r="G31" s="4"/>
      <c r="H31" s="4"/>
      <c r="I31" s="4"/>
      <c r="J31" s="4"/>
      <c r="K31" s="4"/>
      <c r="L31" s="4"/>
      <c r="M31" s="4"/>
      <c r="N31" s="4"/>
      <c r="O31" s="4"/>
      <c r="P31" s="4" t="s">
        <v>90</v>
      </c>
      <c r="Q31" s="4" t="s">
        <v>142</v>
      </c>
      <c r="R31" s="4" t="s">
        <v>112</v>
      </c>
      <c r="S31" s="4" t="s">
        <v>59</v>
      </c>
      <c r="T31" s="4" t="s">
        <v>41</v>
      </c>
      <c r="U31" s="4"/>
      <c r="V31" s="4" t="s">
        <v>141</v>
      </c>
    </row>
    <row r="32" spans="1:22" ht="89.25" x14ac:dyDescent="0.2">
      <c r="A32" s="3">
        <v>41741.275162037004</v>
      </c>
      <c r="B32" s="4" t="s">
        <v>34</v>
      </c>
      <c r="C32" s="4" t="s">
        <v>49</v>
      </c>
      <c r="D32" s="4" t="s">
        <v>58</v>
      </c>
      <c r="E32" s="4"/>
      <c r="F32" s="4" t="s">
        <v>37</v>
      </c>
      <c r="G32" s="4"/>
      <c r="H32" s="4"/>
      <c r="I32" s="4"/>
      <c r="J32" s="4"/>
      <c r="K32" s="4"/>
      <c r="L32" s="4">
        <v>1</v>
      </c>
      <c r="M32" s="4" t="s">
        <v>143</v>
      </c>
      <c r="N32" s="4" t="s">
        <v>33</v>
      </c>
      <c r="O32" s="4"/>
      <c r="P32" s="4" t="s">
        <v>90</v>
      </c>
      <c r="Q32" s="4"/>
      <c r="R32" s="4" t="s">
        <v>39</v>
      </c>
      <c r="S32" s="4" t="s">
        <v>32</v>
      </c>
      <c r="T32" s="4" t="s">
        <v>41</v>
      </c>
      <c r="U32" s="4"/>
      <c r="V32" s="4" t="s">
        <v>144</v>
      </c>
    </row>
    <row r="33" spans="1:22" ht="63.75" x14ac:dyDescent="0.2">
      <c r="A33" s="3">
        <v>41742.724733796298</v>
      </c>
      <c r="B33" s="4" t="s">
        <v>34</v>
      </c>
      <c r="C33" s="4" t="s">
        <v>35</v>
      </c>
      <c r="D33" s="4" t="s">
        <v>58</v>
      </c>
      <c r="E33" s="4"/>
      <c r="F33" s="4" t="s">
        <v>37</v>
      </c>
      <c r="G33" s="4"/>
      <c r="H33" s="4" t="s">
        <v>38</v>
      </c>
      <c r="I33" s="4"/>
      <c r="J33" s="4">
        <v>3</v>
      </c>
      <c r="K33" s="4">
        <v>3</v>
      </c>
      <c r="L33" s="4">
        <v>5</v>
      </c>
      <c r="M33" s="4"/>
      <c r="N33" s="4" t="s">
        <v>33</v>
      </c>
      <c r="O33" s="4"/>
      <c r="P33" s="4" t="s">
        <v>45</v>
      </c>
      <c r="Q33" s="4"/>
      <c r="R33" s="6" t="s">
        <v>145</v>
      </c>
      <c r="S33" s="4" t="s">
        <v>59</v>
      </c>
      <c r="T33" s="4" t="s">
        <v>33</v>
      </c>
      <c r="U33" s="4"/>
      <c r="V33" s="4" t="s">
        <v>146</v>
      </c>
    </row>
    <row r="34" spans="1:22" ht="357" x14ac:dyDescent="0.2">
      <c r="A34" s="3">
        <v>41745.5765509259</v>
      </c>
      <c r="B34" s="4" t="s">
        <v>147</v>
      </c>
      <c r="C34" s="4" t="s">
        <v>49</v>
      </c>
      <c r="D34" s="4" t="s">
        <v>24</v>
      </c>
      <c r="E34" s="4" t="s">
        <v>148</v>
      </c>
      <c r="F34" s="4" t="s">
        <v>37</v>
      </c>
      <c r="G34" s="4"/>
      <c r="H34" s="4" t="s">
        <v>28</v>
      </c>
      <c r="I34" s="4" t="s">
        <v>149</v>
      </c>
      <c r="J34" s="4">
        <v>3</v>
      </c>
      <c r="K34" s="4">
        <v>2</v>
      </c>
      <c r="L34" s="4">
        <v>1</v>
      </c>
      <c r="M34" s="4"/>
      <c r="N34" s="4"/>
      <c r="O34" s="4"/>
      <c r="P34" s="4" t="s">
        <v>90</v>
      </c>
      <c r="Q34" s="4" t="s">
        <v>150</v>
      </c>
      <c r="R34" s="6" t="s">
        <v>151</v>
      </c>
      <c r="S34" s="4" t="s">
        <v>59</v>
      </c>
      <c r="T34" s="4"/>
      <c r="U34" s="4"/>
      <c r="V34" s="4" t="s">
        <v>147</v>
      </c>
    </row>
    <row r="35" spans="1:22" ht="76.5" x14ac:dyDescent="0.2">
      <c r="A35" s="3">
        <v>41746.588946759301</v>
      </c>
      <c r="B35" s="6" t="s">
        <v>152</v>
      </c>
      <c r="C35" s="4" t="s">
        <v>70</v>
      </c>
      <c r="D35" s="4" t="s">
        <v>50</v>
      </c>
      <c r="E35" s="4" t="s">
        <v>153</v>
      </c>
      <c r="F35" s="4" t="s">
        <v>37</v>
      </c>
      <c r="G35" s="4"/>
      <c r="H35" s="4" t="s">
        <v>38</v>
      </c>
      <c r="I35" s="4"/>
      <c r="J35" s="4">
        <v>1</v>
      </c>
      <c r="K35" s="4">
        <v>1</v>
      </c>
      <c r="L35" s="4">
        <v>1</v>
      </c>
      <c r="M35" s="4"/>
      <c r="N35" s="4" t="s">
        <v>33</v>
      </c>
      <c r="O35" s="4"/>
      <c r="P35" s="4" t="s">
        <v>30</v>
      </c>
      <c r="Q35" s="4"/>
      <c r="R35" s="4" t="s">
        <v>39</v>
      </c>
      <c r="S35" s="4" t="s">
        <v>40</v>
      </c>
      <c r="T35" s="4" t="s">
        <v>41</v>
      </c>
      <c r="U35" s="4"/>
      <c r="V35" s="4"/>
    </row>
    <row r="36" spans="1:22" ht="76.5" x14ac:dyDescent="0.2">
      <c r="A36" s="3">
        <v>41751.447141203702</v>
      </c>
      <c r="B36" s="4" t="s">
        <v>34</v>
      </c>
      <c r="C36" s="4" t="s">
        <v>23</v>
      </c>
      <c r="D36" s="4" t="s">
        <v>24</v>
      </c>
      <c r="E36" s="4" t="s">
        <v>154</v>
      </c>
      <c r="F36" s="4" t="s">
        <v>37</v>
      </c>
      <c r="G36" s="4"/>
      <c r="H36" s="4" t="s">
        <v>56</v>
      </c>
      <c r="I36" s="4"/>
      <c r="J36" s="4">
        <v>2</v>
      </c>
      <c r="K36" s="4">
        <v>1</v>
      </c>
      <c r="L36" s="4">
        <v>1</v>
      </c>
      <c r="M36" s="4"/>
      <c r="N36" s="4" t="s">
        <v>33</v>
      </c>
      <c r="O36" s="4"/>
      <c r="P36" s="4" t="s">
        <v>30</v>
      </c>
      <c r="Q36" s="4"/>
      <c r="R36" s="4" t="s">
        <v>39</v>
      </c>
      <c r="S36" s="4" t="s">
        <v>40</v>
      </c>
      <c r="T36" s="4" t="s">
        <v>33</v>
      </c>
      <c r="U36" s="4"/>
      <c r="V36" s="4" t="s">
        <v>155</v>
      </c>
    </row>
    <row r="37" spans="1:22" ht="140.25" x14ac:dyDescent="0.2">
      <c r="A37" s="3">
        <v>41751.463611111103</v>
      </c>
      <c r="B37" s="4" t="s">
        <v>61</v>
      </c>
      <c r="C37" s="4" t="s">
        <v>70</v>
      </c>
      <c r="D37" s="4" t="s">
        <v>24</v>
      </c>
      <c r="E37" s="4" t="s">
        <v>156</v>
      </c>
      <c r="F37" s="4" t="s">
        <v>63</v>
      </c>
      <c r="G37" s="4" t="s">
        <v>157</v>
      </c>
      <c r="H37" s="4" t="s">
        <v>38</v>
      </c>
      <c r="I37" s="4"/>
      <c r="J37" s="4">
        <v>3</v>
      </c>
      <c r="K37" s="4">
        <v>1</v>
      </c>
      <c r="L37" s="4">
        <v>1</v>
      </c>
      <c r="M37" s="4"/>
      <c r="N37" s="4" t="s">
        <v>98</v>
      </c>
      <c r="O37" s="4"/>
      <c r="P37" s="4"/>
      <c r="Q37" s="4"/>
      <c r="R37" s="4" t="s">
        <v>121</v>
      </c>
      <c r="S37" s="4" t="s">
        <v>59</v>
      </c>
      <c r="T37" s="4" t="s">
        <v>41</v>
      </c>
      <c r="U37" s="4"/>
      <c r="V37" s="4"/>
    </row>
    <row r="38" spans="1:22" ht="51" x14ac:dyDescent="0.2">
      <c r="A38" s="3">
        <v>41751.46125</v>
      </c>
      <c r="B38" s="4" t="s">
        <v>428</v>
      </c>
      <c r="C38" s="4" t="s">
        <v>23</v>
      </c>
      <c r="D38" s="4" t="s">
        <v>50</v>
      </c>
      <c r="E38" s="4" t="s">
        <v>158</v>
      </c>
      <c r="F38" s="4" t="s">
        <v>37</v>
      </c>
      <c r="G38" s="4"/>
      <c r="H38" s="4" t="s">
        <v>38</v>
      </c>
      <c r="I38" s="4"/>
      <c r="J38" s="4">
        <v>3</v>
      </c>
      <c r="K38" s="4">
        <v>1</v>
      </c>
      <c r="L38" s="4">
        <v>1</v>
      </c>
      <c r="M38" s="4"/>
      <c r="N38" s="4" t="s">
        <v>33</v>
      </c>
      <c r="O38" s="4"/>
      <c r="P38" s="4" t="s">
        <v>45</v>
      </c>
      <c r="Q38" s="4"/>
      <c r="R38" s="4" t="s">
        <v>111</v>
      </c>
      <c r="S38" s="4" t="s">
        <v>32</v>
      </c>
      <c r="T38" s="4" t="s">
        <v>41</v>
      </c>
      <c r="U38" s="6" t="s">
        <v>159</v>
      </c>
      <c r="V38" s="4"/>
    </row>
    <row r="39" spans="1:22" ht="63.75" x14ac:dyDescent="0.2">
      <c r="A39" s="3">
        <v>41751.462893518503</v>
      </c>
      <c r="B39" s="4" t="s">
        <v>34</v>
      </c>
      <c r="C39" s="4" t="s">
        <v>23</v>
      </c>
      <c r="D39" s="4" t="s">
        <v>62</v>
      </c>
      <c r="E39" s="4"/>
      <c r="F39" s="4" t="s">
        <v>37</v>
      </c>
      <c r="G39" s="4"/>
      <c r="H39" s="4" t="s">
        <v>28</v>
      </c>
      <c r="I39" s="4"/>
      <c r="J39" s="4">
        <v>3</v>
      </c>
      <c r="K39" s="4">
        <v>1</v>
      </c>
      <c r="L39" s="4">
        <v>1</v>
      </c>
      <c r="M39" s="4"/>
      <c r="N39" s="4" t="s">
        <v>33</v>
      </c>
      <c r="O39" s="4"/>
      <c r="P39" s="4" t="s">
        <v>45</v>
      </c>
      <c r="Q39" s="4"/>
      <c r="R39" s="4" t="s">
        <v>160</v>
      </c>
      <c r="S39" s="4" t="s">
        <v>59</v>
      </c>
      <c r="T39" s="4" t="s">
        <v>41</v>
      </c>
      <c r="U39" s="4"/>
      <c r="V39" s="4"/>
    </row>
    <row r="40" spans="1:22" ht="140.25" x14ac:dyDescent="0.2">
      <c r="A40" s="3">
        <v>41751.4618402778</v>
      </c>
      <c r="B40" s="4" t="s">
        <v>161</v>
      </c>
      <c r="C40" s="4" t="s">
        <v>53</v>
      </c>
      <c r="D40" s="4" t="s">
        <v>62</v>
      </c>
      <c r="E40" s="4"/>
      <c r="F40" s="4" t="s">
        <v>63</v>
      </c>
      <c r="G40" s="4"/>
      <c r="H40" s="4" t="s">
        <v>56</v>
      </c>
      <c r="I40" s="4"/>
      <c r="J40" s="4">
        <v>3</v>
      </c>
      <c r="K40" s="4">
        <v>2</v>
      </c>
      <c r="L40" s="4">
        <v>1</v>
      </c>
      <c r="M40" s="4"/>
      <c r="N40" s="4" t="s">
        <v>33</v>
      </c>
      <c r="O40" s="4"/>
      <c r="P40" s="4" t="s">
        <v>45</v>
      </c>
      <c r="Q40" s="4"/>
      <c r="R40" s="4" t="s">
        <v>162</v>
      </c>
      <c r="S40" s="4" t="s">
        <v>59</v>
      </c>
      <c r="T40" s="4" t="s">
        <v>41</v>
      </c>
      <c r="U40" s="4"/>
      <c r="V40" s="4"/>
    </row>
    <row r="41" spans="1:22" ht="25.5" x14ac:dyDescent="0.2">
      <c r="A41" s="3">
        <v>41751.465300925898</v>
      </c>
      <c r="B41" s="4" t="s">
        <v>61</v>
      </c>
      <c r="C41" s="4"/>
      <c r="D41" s="4"/>
      <c r="E41" s="4"/>
      <c r="F41" s="4"/>
      <c r="G41" s="4"/>
      <c r="H41" s="4"/>
      <c r="I41" s="4"/>
      <c r="J41" s="4"/>
      <c r="K41" s="4"/>
      <c r="L41" s="4"/>
      <c r="M41" s="4"/>
      <c r="N41" s="4"/>
      <c r="O41" s="4"/>
      <c r="P41" s="4"/>
      <c r="Q41" s="4"/>
      <c r="R41" s="4"/>
      <c r="S41" s="4"/>
      <c r="T41" s="4"/>
      <c r="U41" s="4"/>
      <c r="V41" s="4" t="s">
        <v>163</v>
      </c>
    </row>
    <row r="42" spans="1:22" ht="76.5" x14ac:dyDescent="0.2">
      <c r="A42" s="3">
        <v>41751.465347222198</v>
      </c>
      <c r="B42" s="4" t="s">
        <v>34</v>
      </c>
      <c r="C42" s="4" t="s">
        <v>23</v>
      </c>
      <c r="D42" s="4" t="s">
        <v>62</v>
      </c>
      <c r="E42" s="4"/>
      <c r="F42" s="4" t="s">
        <v>37</v>
      </c>
      <c r="G42" s="4"/>
      <c r="H42" s="4" t="s">
        <v>56</v>
      </c>
      <c r="I42" s="4"/>
      <c r="J42" s="4">
        <v>3</v>
      </c>
      <c r="K42" s="4">
        <v>2</v>
      </c>
      <c r="L42" s="4">
        <v>1</v>
      </c>
      <c r="M42" s="4" t="s">
        <v>164</v>
      </c>
      <c r="N42" s="4" t="s">
        <v>33</v>
      </c>
      <c r="O42" s="4"/>
      <c r="P42" s="4" t="s">
        <v>30</v>
      </c>
      <c r="Q42" s="4" t="s">
        <v>165</v>
      </c>
      <c r="R42" s="4" t="s">
        <v>39</v>
      </c>
      <c r="S42" s="4" t="s">
        <v>40</v>
      </c>
      <c r="T42" s="4" t="s">
        <v>41</v>
      </c>
      <c r="U42" s="4"/>
      <c r="V42" s="4" t="s">
        <v>166</v>
      </c>
    </row>
    <row r="43" spans="1:22" ht="63.75" x14ac:dyDescent="0.2">
      <c r="A43" s="3">
        <v>41751.466701388897</v>
      </c>
      <c r="B43" s="4" t="s">
        <v>34</v>
      </c>
      <c r="C43" s="4" t="s">
        <v>49</v>
      </c>
      <c r="D43" s="4" t="s">
        <v>50</v>
      </c>
      <c r="E43" s="4" t="s">
        <v>409</v>
      </c>
      <c r="F43" s="4" t="s">
        <v>37</v>
      </c>
      <c r="G43" s="4"/>
      <c r="H43" s="4" t="s">
        <v>38</v>
      </c>
      <c r="I43" s="4"/>
      <c r="J43" s="4">
        <v>2</v>
      </c>
      <c r="K43" s="4">
        <v>4</v>
      </c>
      <c r="L43" s="4">
        <v>4</v>
      </c>
      <c r="M43" s="4"/>
      <c r="N43" s="4" t="s">
        <v>33</v>
      </c>
      <c r="O43" s="4"/>
      <c r="P43" s="4" t="s">
        <v>30</v>
      </c>
      <c r="Q43" s="4"/>
      <c r="R43" s="4" t="s">
        <v>46</v>
      </c>
      <c r="S43" s="4" t="s">
        <v>59</v>
      </c>
      <c r="T43" s="4"/>
      <c r="U43" s="4"/>
      <c r="V43" s="4" t="s">
        <v>167</v>
      </c>
    </row>
    <row r="44" spans="1:22" ht="140.25" x14ac:dyDescent="0.2">
      <c r="A44" s="3">
        <v>41751.469571759299</v>
      </c>
      <c r="B44" s="4" t="s">
        <v>34</v>
      </c>
      <c r="C44" s="4" t="s">
        <v>53</v>
      </c>
      <c r="D44" s="4" t="s">
        <v>62</v>
      </c>
      <c r="E44" s="4"/>
      <c r="F44" s="4" t="s">
        <v>63</v>
      </c>
      <c r="G44" s="4"/>
      <c r="H44" s="4"/>
      <c r="I44" s="4"/>
      <c r="J44" s="4">
        <v>1</v>
      </c>
      <c r="K44" s="4">
        <v>3</v>
      </c>
      <c r="L44" s="4">
        <v>1</v>
      </c>
      <c r="M44" s="4"/>
      <c r="N44" s="4" t="s">
        <v>33</v>
      </c>
      <c r="O44" s="4"/>
      <c r="P44" s="4" t="s">
        <v>45</v>
      </c>
      <c r="Q44" s="4"/>
      <c r="R44" s="4" t="s">
        <v>168</v>
      </c>
      <c r="S44" s="4" t="s">
        <v>32</v>
      </c>
      <c r="T44" s="4" t="s">
        <v>33</v>
      </c>
      <c r="U44" s="4"/>
      <c r="V44" s="4" t="s">
        <v>169</v>
      </c>
    </row>
    <row r="45" spans="1:22" ht="140.25" x14ac:dyDescent="0.2">
      <c r="A45" s="3">
        <v>41751.469594907401</v>
      </c>
      <c r="B45" s="4" t="s">
        <v>61</v>
      </c>
      <c r="C45" s="4" t="s">
        <v>53</v>
      </c>
      <c r="D45" s="4" t="s">
        <v>62</v>
      </c>
      <c r="E45" s="4"/>
      <c r="F45" s="4" t="s">
        <v>63</v>
      </c>
      <c r="G45" s="4"/>
      <c r="H45" s="4" t="s">
        <v>38</v>
      </c>
      <c r="I45" s="4"/>
      <c r="J45" s="4">
        <v>1</v>
      </c>
      <c r="K45" s="4">
        <v>2</v>
      </c>
      <c r="L45" s="4">
        <v>2</v>
      </c>
      <c r="M45" s="4" t="s">
        <v>170</v>
      </c>
      <c r="N45" s="4" t="s">
        <v>33</v>
      </c>
      <c r="O45" s="4"/>
      <c r="P45" s="4" t="s">
        <v>30</v>
      </c>
      <c r="Q45" s="4"/>
      <c r="R45" s="4" t="s">
        <v>39</v>
      </c>
      <c r="S45" s="4" t="s">
        <v>59</v>
      </c>
      <c r="T45" s="4" t="s">
        <v>33</v>
      </c>
      <c r="U45" s="4"/>
      <c r="V45" s="4" t="s">
        <v>171</v>
      </c>
    </row>
    <row r="46" spans="1:22" ht="63.75" x14ac:dyDescent="0.2">
      <c r="A46" s="3">
        <v>41751.468553240702</v>
      </c>
      <c r="B46" s="4" t="s">
        <v>152</v>
      </c>
      <c r="C46" s="4" t="s">
        <v>23</v>
      </c>
      <c r="D46" s="4" t="s">
        <v>62</v>
      </c>
      <c r="E46" s="4"/>
      <c r="F46" s="4" t="s">
        <v>37</v>
      </c>
      <c r="G46" s="4"/>
      <c r="H46" s="4" t="s">
        <v>38</v>
      </c>
      <c r="I46" s="4"/>
      <c r="J46" s="4">
        <v>2</v>
      </c>
      <c r="K46" s="4">
        <v>3</v>
      </c>
      <c r="L46" s="4">
        <v>2</v>
      </c>
      <c r="M46" s="4"/>
      <c r="N46" s="4" t="s">
        <v>33</v>
      </c>
      <c r="O46" s="4"/>
      <c r="P46" s="4" t="s">
        <v>30</v>
      </c>
      <c r="Q46" s="4"/>
      <c r="R46" s="4" t="s">
        <v>160</v>
      </c>
      <c r="S46" s="4" t="s">
        <v>59</v>
      </c>
      <c r="T46" s="4" t="s">
        <v>41</v>
      </c>
      <c r="U46" s="4"/>
      <c r="V46" s="4" t="s">
        <v>172</v>
      </c>
    </row>
    <row r="47" spans="1:22" ht="63.75" x14ac:dyDescent="0.2">
      <c r="A47" s="3">
        <v>41751.471377314803</v>
      </c>
      <c r="B47" s="4" t="s">
        <v>52</v>
      </c>
      <c r="C47" s="4" t="s">
        <v>23</v>
      </c>
      <c r="D47" s="4" t="s">
        <v>24</v>
      </c>
      <c r="E47" s="4" t="s">
        <v>173</v>
      </c>
      <c r="F47" s="4" t="s">
        <v>37</v>
      </c>
      <c r="G47" s="4"/>
      <c r="H47" s="4" t="s">
        <v>38</v>
      </c>
      <c r="I47" s="4"/>
      <c r="J47" s="4"/>
      <c r="K47" s="4"/>
      <c r="L47" s="4"/>
      <c r="M47" s="4"/>
      <c r="N47" s="4" t="s">
        <v>33</v>
      </c>
      <c r="O47" s="4"/>
      <c r="P47" s="4" t="s">
        <v>30</v>
      </c>
      <c r="Q47" s="4"/>
      <c r="R47" s="4" t="s">
        <v>39</v>
      </c>
      <c r="S47" s="4" t="s">
        <v>59</v>
      </c>
      <c r="T47" s="4" t="s">
        <v>41</v>
      </c>
      <c r="U47" s="4"/>
      <c r="V47" s="4"/>
    </row>
    <row r="48" spans="1:22" ht="63.75" x14ac:dyDescent="0.2">
      <c r="A48" s="3">
        <v>41751.470810185201</v>
      </c>
      <c r="B48" s="4" t="s">
        <v>174</v>
      </c>
      <c r="C48" s="4" t="s">
        <v>49</v>
      </c>
      <c r="D48" s="4" t="s">
        <v>62</v>
      </c>
      <c r="E48" s="4"/>
      <c r="F48" s="4" t="s">
        <v>37</v>
      </c>
      <c r="G48" s="4"/>
      <c r="H48" s="4" t="s">
        <v>38</v>
      </c>
      <c r="I48" s="4"/>
      <c r="J48" s="4">
        <v>5</v>
      </c>
      <c r="K48" s="4">
        <v>1</v>
      </c>
      <c r="L48" s="4">
        <v>1</v>
      </c>
      <c r="M48" s="4"/>
      <c r="N48" s="4" t="s">
        <v>33</v>
      </c>
      <c r="O48" s="4"/>
      <c r="P48" s="4" t="s">
        <v>45</v>
      </c>
      <c r="Q48" s="4"/>
      <c r="R48" s="4" t="s">
        <v>160</v>
      </c>
      <c r="S48" s="4" t="s">
        <v>59</v>
      </c>
      <c r="T48" s="4" t="s">
        <v>41</v>
      </c>
      <c r="U48" s="4"/>
      <c r="V48" s="4"/>
    </row>
    <row r="49" spans="1:22" ht="63.75" x14ac:dyDescent="0.2">
      <c r="A49" s="3">
        <v>41751.470914351798</v>
      </c>
      <c r="B49" s="4" t="s">
        <v>175</v>
      </c>
      <c r="C49" s="4" t="s">
        <v>49</v>
      </c>
      <c r="D49" s="4" t="s">
        <v>62</v>
      </c>
      <c r="E49" s="4"/>
      <c r="F49" s="4" t="s">
        <v>37</v>
      </c>
      <c r="G49" s="4"/>
      <c r="H49" s="4" t="s">
        <v>38</v>
      </c>
      <c r="I49" s="4"/>
      <c r="J49" s="4">
        <v>1</v>
      </c>
      <c r="K49" s="4">
        <v>1</v>
      </c>
      <c r="L49" s="4">
        <v>1</v>
      </c>
      <c r="M49" s="4"/>
      <c r="N49" s="4" t="s">
        <v>33</v>
      </c>
      <c r="O49" s="4"/>
      <c r="P49" s="4" t="s">
        <v>30</v>
      </c>
      <c r="Q49" s="4"/>
      <c r="R49" s="4" t="s">
        <v>39</v>
      </c>
      <c r="S49" s="4" t="s">
        <v>59</v>
      </c>
      <c r="T49" s="4" t="s">
        <v>33</v>
      </c>
      <c r="U49" s="4"/>
      <c r="V49" s="4"/>
    </row>
    <row r="50" spans="1:22" ht="76.5" x14ac:dyDescent="0.2">
      <c r="A50" s="3">
        <v>41751.472175925897</v>
      </c>
      <c r="B50" s="4" t="s">
        <v>68</v>
      </c>
      <c r="C50" s="4" t="s">
        <v>53</v>
      </c>
      <c r="D50" s="4" t="s">
        <v>24</v>
      </c>
      <c r="E50" s="4" t="s">
        <v>176</v>
      </c>
      <c r="F50" s="4" t="s">
        <v>37</v>
      </c>
      <c r="G50" s="4"/>
      <c r="H50" s="4" t="s">
        <v>56</v>
      </c>
      <c r="I50" s="4"/>
      <c r="J50" s="4">
        <v>3</v>
      </c>
      <c r="K50" s="4">
        <v>2</v>
      </c>
      <c r="L50" s="4">
        <v>1</v>
      </c>
      <c r="M50" s="4"/>
      <c r="N50" s="4" t="s">
        <v>33</v>
      </c>
      <c r="O50" s="4"/>
      <c r="P50" s="4" t="s">
        <v>45</v>
      </c>
      <c r="Q50" s="4"/>
      <c r="R50" s="6" t="s">
        <v>177</v>
      </c>
      <c r="S50" s="4" t="s">
        <v>59</v>
      </c>
      <c r="T50" s="4" t="s">
        <v>33</v>
      </c>
      <c r="U50" s="4"/>
      <c r="V50" s="4"/>
    </row>
    <row r="51" spans="1:22" ht="63.75" x14ac:dyDescent="0.2">
      <c r="A51" s="3">
        <v>41751.472175925897</v>
      </c>
      <c r="B51" s="4" t="s">
        <v>61</v>
      </c>
      <c r="C51" s="4" t="s">
        <v>53</v>
      </c>
      <c r="D51" s="4" t="s">
        <v>50</v>
      </c>
      <c r="E51" s="4" t="s">
        <v>178</v>
      </c>
      <c r="F51" s="4" t="s">
        <v>37</v>
      </c>
      <c r="G51" s="4"/>
      <c r="H51" s="4" t="s">
        <v>56</v>
      </c>
      <c r="I51" s="4"/>
      <c r="J51" s="4">
        <v>1</v>
      </c>
      <c r="K51" s="4">
        <v>1</v>
      </c>
      <c r="L51" s="4">
        <v>1</v>
      </c>
      <c r="M51" s="4"/>
      <c r="N51" s="4" t="s">
        <v>98</v>
      </c>
      <c r="O51" s="4"/>
      <c r="P51" s="4" t="s">
        <v>90</v>
      </c>
      <c r="Q51" s="4"/>
      <c r="R51" s="4" t="s">
        <v>111</v>
      </c>
      <c r="S51" s="4" t="s">
        <v>59</v>
      </c>
      <c r="T51" s="4" t="s">
        <v>41</v>
      </c>
      <c r="U51" s="4"/>
      <c r="V51" s="4" t="s">
        <v>179</v>
      </c>
    </row>
    <row r="52" spans="1:22" ht="114.75" x14ac:dyDescent="0.2">
      <c r="A52" s="3">
        <v>41751.472418981502</v>
      </c>
      <c r="B52" s="4" t="s">
        <v>34</v>
      </c>
      <c r="C52" s="4" t="s">
        <v>53</v>
      </c>
      <c r="D52" s="4" t="s">
        <v>62</v>
      </c>
      <c r="E52" s="4"/>
      <c r="F52" s="4" t="s">
        <v>37</v>
      </c>
      <c r="G52" s="4"/>
      <c r="H52" s="4" t="s">
        <v>38</v>
      </c>
      <c r="I52" s="4"/>
      <c r="J52" s="4">
        <v>3</v>
      </c>
      <c r="K52" s="4">
        <v>1</v>
      </c>
      <c r="L52" s="4">
        <v>1</v>
      </c>
      <c r="M52" s="4"/>
      <c r="N52" s="4" t="s">
        <v>180</v>
      </c>
      <c r="O52" s="4"/>
      <c r="P52" s="4" t="s">
        <v>90</v>
      </c>
      <c r="Q52" s="4"/>
      <c r="R52" s="4" t="s">
        <v>160</v>
      </c>
      <c r="S52" s="4" t="s">
        <v>59</v>
      </c>
      <c r="T52" s="4" t="s">
        <v>41</v>
      </c>
      <c r="U52" s="4"/>
      <c r="V52" s="4"/>
    </row>
    <row r="53" spans="1:22" ht="63.75" x14ac:dyDescent="0.2">
      <c r="A53" s="3">
        <v>41751.473668981504</v>
      </c>
      <c r="B53" s="4" t="s">
        <v>68</v>
      </c>
      <c r="C53" s="4" t="s">
        <v>49</v>
      </c>
      <c r="D53" s="4" t="s">
        <v>24</v>
      </c>
      <c r="E53" s="4" t="s">
        <v>181</v>
      </c>
      <c r="F53" s="4" t="s">
        <v>37</v>
      </c>
      <c r="G53" s="4"/>
      <c r="H53" s="4" t="s">
        <v>38</v>
      </c>
      <c r="I53" s="4"/>
      <c r="J53" s="4">
        <v>2</v>
      </c>
      <c r="K53" s="4">
        <v>1</v>
      </c>
      <c r="L53" s="4">
        <v>1</v>
      </c>
      <c r="M53" s="4"/>
      <c r="N53" s="4" t="s">
        <v>33</v>
      </c>
      <c r="O53" s="4"/>
      <c r="P53" s="4" t="s">
        <v>45</v>
      </c>
      <c r="Q53" s="4"/>
      <c r="R53" s="4" t="s">
        <v>39</v>
      </c>
      <c r="S53" s="4" t="s">
        <v>59</v>
      </c>
      <c r="T53" s="4" t="s">
        <v>33</v>
      </c>
      <c r="U53" s="4"/>
      <c r="V53" s="4"/>
    </row>
    <row r="54" spans="1:22" ht="63.75" x14ac:dyDescent="0.2">
      <c r="A54" s="3">
        <v>41751.473946759303</v>
      </c>
      <c r="B54" s="4" t="s">
        <v>61</v>
      </c>
      <c r="C54" s="4" t="s">
        <v>23</v>
      </c>
      <c r="D54" s="4" t="s">
        <v>62</v>
      </c>
      <c r="E54" s="4"/>
      <c r="F54" s="4" t="s">
        <v>37</v>
      </c>
      <c r="G54" s="4"/>
      <c r="H54" s="4" t="s">
        <v>38</v>
      </c>
      <c r="I54" s="4"/>
      <c r="J54" s="4">
        <v>3</v>
      </c>
      <c r="K54" s="4">
        <v>3</v>
      </c>
      <c r="L54" s="4">
        <v>1</v>
      </c>
      <c r="M54" s="4"/>
      <c r="N54" s="4" t="s">
        <v>33</v>
      </c>
      <c r="O54" s="4"/>
      <c r="P54" s="4" t="s">
        <v>45</v>
      </c>
      <c r="Q54" s="4"/>
      <c r="R54" s="4" t="s">
        <v>160</v>
      </c>
      <c r="S54" s="4" t="s">
        <v>59</v>
      </c>
      <c r="T54" s="4" t="s">
        <v>33</v>
      </c>
      <c r="U54" s="4"/>
      <c r="V54" s="4"/>
    </row>
    <row r="55" spans="1:22" ht="63.75" x14ac:dyDescent="0.2">
      <c r="A55" s="3">
        <v>41751.474386574097</v>
      </c>
      <c r="B55" s="4" t="s">
        <v>61</v>
      </c>
      <c r="C55" s="4" t="s">
        <v>53</v>
      </c>
      <c r="D55" s="4" t="s">
        <v>24</v>
      </c>
      <c r="E55" s="4" t="s">
        <v>182</v>
      </c>
      <c r="F55" s="4" t="s">
        <v>37</v>
      </c>
      <c r="G55" s="4"/>
      <c r="H55" s="4" t="s">
        <v>38</v>
      </c>
      <c r="I55" s="4"/>
      <c r="J55" s="4">
        <v>3</v>
      </c>
      <c r="K55" s="4">
        <v>1</v>
      </c>
      <c r="L55" s="4">
        <v>1</v>
      </c>
      <c r="M55" s="4"/>
      <c r="N55" s="4" t="s">
        <v>33</v>
      </c>
      <c r="O55" s="4"/>
      <c r="P55" s="4" t="s">
        <v>45</v>
      </c>
      <c r="Q55" s="4"/>
      <c r="R55" s="4" t="s">
        <v>183</v>
      </c>
      <c r="S55" s="4" t="s">
        <v>59</v>
      </c>
      <c r="T55" s="4" t="s">
        <v>33</v>
      </c>
      <c r="U55" s="4"/>
      <c r="V55" s="4"/>
    </row>
    <row r="56" spans="1:22" ht="76.5" x14ac:dyDescent="0.2">
      <c r="A56" s="3">
        <v>41751.474618055603</v>
      </c>
      <c r="B56" s="4" t="s">
        <v>68</v>
      </c>
      <c r="C56" s="4" t="s">
        <v>49</v>
      </c>
      <c r="D56" s="4" t="s">
        <v>50</v>
      </c>
      <c r="E56" s="4" t="s">
        <v>184</v>
      </c>
      <c r="F56" s="4" t="s">
        <v>37</v>
      </c>
      <c r="G56" s="4"/>
      <c r="H56" s="4" t="s">
        <v>56</v>
      </c>
      <c r="I56" s="4"/>
      <c r="J56" s="4">
        <v>3</v>
      </c>
      <c r="K56" s="4">
        <v>3</v>
      </c>
      <c r="L56" s="4">
        <v>1</v>
      </c>
      <c r="M56" s="4"/>
      <c r="N56" s="4" t="s">
        <v>33</v>
      </c>
      <c r="O56" s="4"/>
      <c r="P56" s="4" t="s">
        <v>30</v>
      </c>
      <c r="Q56" s="4"/>
      <c r="R56" s="4" t="s">
        <v>64</v>
      </c>
      <c r="S56" s="4" t="s">
        <v>40</v>
      </c>
      <c r="T56" s="4" t="s">
        <v>33</v>
      </c>
      <c r="U56" s="4"/>
      <c r="V56" s="4"/>
    </row>
    <row r="57" spans="1:22" ht="140.25" x14ac:dyDescent="0.2">
      <c r="A57" s="3">
        <v>41751.479444444398</v>
      </c>
      <c r="B57" s="4" t="s">
        <v>152</v>
      </c>
      <c r="C57" s="4" t="s">
        <v>70</v>
      </c>
      <c r="D57" s="4" t="s">
        <v>50</v>
      </c>
      <c r="E57" s="4"/>
      <c r="F57" s="4" t="s">
        <v>63</v>
      </c>
      <c r="G57" s="4"/>
      <c r="H57" s="4" t="s">
        <v>38</v>
      </c>
      <c r="I57" s="4"/>
      <c r="J57" s="4">
        <v>1</v>
      </c>
      <c r="K57" s="4">
        <v>1</v>
      </c>
      <c r="L57" s="4">
        <v>1</v>
      </c>
      <c r="M57" s="4"/>
      <c r="N57" s="4" t="s">
        <v>33</v>
      </c>
      <c r="O57" s="4"/>
      <c r="P57" s="4" t="s">
        <v>30</v>
      </c>
      <c r="Q57" s="4"/>
      <c r="R57" s="4"/>
      <c r="S57" s="4" t="s">
        <v>59</v>
      </c>
      <c r="T57" s="4" t="s">
        <v>33</v>
      </c>
      <c r="U57" s="4"/>
      <c r="V57" s="4" t="s">
        <v>185</v>
      </c>
    </row>
    <row r="58" spans="1:22" ht="140.25" x14ac:dyDescent="0.2">
      <c r="A58" s="3">
        <v>41751.475902777798</v>
      </c>
      <c r="B58" s="4" t="s">
        <v>61</v>
      </c>
      <c r="C58" s="4" t="s">
        <v>23</v>
      </c>
      <c r="D58" s="4" t="s">
        <v>50</v>
      </c>
      <c r="E58" s="4" t="s">
        <v>186</v>
      </c>
      <c r="F58" s="4" t="s">
        <v>63</v>
      </c>
      <c r="G58" s="4" t="s">
        <v>187</v>
      </c>
      <c r="H58" s="4" t="s">
        <v>38</v>
      </c>
      <c r="I58" s="4"/>
      <c r="J58" s="4">
        <v>4</v>
      </c>
      <c r="K58" s="4">
        <v>3</v>
      </c>
      <c r="L58" s="4">
        <v>1</v>
      </c>
      <c r="M58" s="4"/>
      <c r="N58" s="4" t="s">
        <v>33</v>
      </c>
      <c r="O58" s="4"/>
      <c r="P58" s="4" t="s">
        <v>45</v>
      </c>
      <c r="Q58" s="4"/>
      <c r="R58" s="4" t="s">
        <v>183</v>
      </c>
      <c r="S58" s="4" t="s">
        <v>59</v>
      </c>
      <c r="T58" s="4" t="s">
        <v>41</v>
      </c>
      <c r="U58" s="4"/>
      <c r="V58" s="4"/>
    </row>
    <row r="59" spans="1:22" ht="38.25" x14ac:dyDescent="0.2">
      <c r="A59" s="3">
        <v>41751.500254629602</v>
      </c>
      <c r="B59" s="4" t="s">
        <v>34</v>
      </c>
      <c r="C59" s="4" t="s">
        <v>23</v>
      </c>
      <c r="D59" s="4" t="s">
        <v>62</v>
      </c>
      <c r="E59" s="4"/>
      <c r="F59" s="4" t="s">
        <v>37</v>
      </c>
      <c r="G59" s="4"/>
      <c r="H59" s="4" t="s">
        <v>38</v>
      </c>
      <c r="I59" s="4"/>
      <c r="J59" s="4">
        <v>3</v>
      </c>
      <c r="K59" s="4">
        <v>4</v>
      </c>
      <c r="L59" s="4">
        <v>5</v>
      </c>
      <c r="M59" s="4"/>
      <c r="N59" s="4" t="s">
        <v>33</v>
      </c>
      <c r="O59" s="4"/>
      <c r="P59" s="4" t="s">
        <v>45</v>
      </c>
      <c r="Q59" s="4"/>
      <c r="R59" s="4" t="s">
        <v>39</v>
      </c>
      <c r="S59" s="4" t="s">
        <v>32</v>
      </c>
      <c r="T59" s="4" t="s">
        <v>33</v>
      </c>
      <c r="U59" s="4"/>
      <c r="V59" s="4" t="s">
        <v>188</v>
      </c>
    </row>
    <row r="60" spans="1:22" ht="63.75" x14ac:dyDescent="0.2">
      <c r="A60" s="3">
        <v>41751.479918981502</v>
      </c>
      <c r="B60" s="4" t="s">
        <v>61</v>
      </c>
      <c r="C60" s="4" t="s">
        <v>53</v>
      </c>
      <c r="D60" s="4" t="s">
        <v>62</v>
      </c>
      <c r="E60" s="4"/>
      <c r="F60" s="4" t="s">
        <v>37</v>
      </c>
      <c r="G60" s="4"/>
      <c r="H60" s="4" t="s">
        <v>56</v>
      </c>
      <c r="I60" s="4"/>
      <c r="J60" s="4">
        <v>3</v>
      </c>
      <c r="K60" s="4">
        <v>1</v>
      </c>
      <c r="L60" s="4">
        <v>1</v>
      </c>
      <c r="M60" s="4"/>
      <c r="N60" s="4" t="s">
        <v>33</v>
      </c>
      <c r="O60" s="4"/>
      <c r="P60" s="4" t="s">
        <v>45</v>
      </c>
      <c r="Q60" s="4"/>
      <c r="R60" s="4" t="s">
        <v>160</v>
      </c>
      <c r="S60" s="4" t="s">
        <v>59</v>
      </c>
      <c r="T60" s="4" t="s">
        <v>33</v>
      </c>
      <c r="U60" s="4"/>
      <c r="V60" s="4" t="s">
        <v>189</v>
      </c>
    </row>
    <row r="61" spans="1:22" ht="140.25" x14ac:dyDescent="0.2">
      <c r="A61" s="3">
        <v>41751.505891203698</v>
      </c>
      <c r="B61" s="4" t="s">
        <v>190</v>
      </c>
      <c r="C61" s="4" t="s">
        <v>49</v>
      </c>
      <c r="D61" s="4" t="s">
        <v>62</v>
      </c>
      <c r="E61" s="4"/>
      <c r="F61" s="4" t="s">
        <v>63</v>
      </c>
      <c r="G61" s="4" t="s">
        <v>191</v>
      </c>
      <c r="H61" s="4" t="s">
        <v>38</v>
      </c>
      <c r="I61" s="4"/>
      <c r="J61" s="4">
        <v>1</v>
      </c>
      <c r="K61" s="4">
        <v>1</v>
      </c>
      <c r="L61" s="4">
        <v>1</v>
      </c>
      <c r="M61" s="4"/>
      <c r="N61" s="4" t="s">
        <v>33</v>
      </c>
      <c r="O61" s="4"/>
      <c r="P61" s="4" t="s">
        <v>45</v>
      </c>
      <c r="Q61" s="4"/>
      <c r="R61" s="4" t="s">
        <v>39</v>
      </c>
      <c r="S61" s="4" t="s">
        <v>32</v>
      </c>
      <c r="T61" s="4" t="s">
        <v>33</v>
      </c>
      <c r="U61" s="4"/>
      <c r="V61" s="4" t="s">
        <v>192</v>
      </c>
    </row>
    <row r="62" spans="1:22" ht="63.75" x14ac:dyDescent="0.2">
      <c r="A62" s="3">
        <v>41751.511168981502</v>
      </c>
      <c r="B62" s="4" t="s">
        <v>61</v>
      </c>
      <c r="C62" s="4" t="s">
        <v>70</v>
      </c>
      <c r="D62" s="4" t="s">
        <v>62</v>
      </c>
      <c r="E62" s="4"/>
      <c r="F62" s="4" t="s">
        <v>37</v>
      </c>
      <c r="G62" s="4"/>
      <c r="H62" s="4" t="s">
        <v>38</v>
      </c>
      <c r="I62" s="4"/>
      <c r="J62" s="4">
        <v>3</v>
      </c>
      <c r="K62" s="4">
        <v>1</v>
      </c>
      <c r="L62" s="4">
        <v>1</v>
      </c>
      <c r="M62" s="4"/>
      <c r="N62" s="4" t="s">
        <v>33</v>
      </c>
      <c r="O62" s="4"/>
      <c r="P62" s="4" t="s">
        <v>30</v>
      </c>
      <c r="Q62" s="4"/>
      <c r="R62" s="4" t="s">
        <v>39</v>
      </c>
      <c r="S62" s="4" t="s">
        <v>59</v>
      </c>
      <c r="T62" s="4" t="s">
        <v>33</v>
      </c>
      <c r="U62" s="4"/>
      <c r="V62" s="4"/>
    </row>
    <row r="63" spans="1:22" ht="51" x14ac:dyDescent="0.2">
      <c r="A63" s="3">
        <v>41751.514583333301</v>
      </c>
      <c r="B63" s="4" t="s">
        <v>34</v>
      </c>
      <c r="C63" s="4" t="s">
        <v>23</v>
      </c>
      <c r="D63" s="4" t="s">
        <v>62</v>
      </c>
      <c r="E63" s="4"/>
      <c r="F63" s="4" t="s">
        <v>37</v>
      </c>
      <c r="G63" s="4"/>
      <c r="H63" s="4"/>
      <c r="I63" s="4"/>
      <c r="J63" s="4">
        <v>2</v>
      </c>
      <c r="K63" s="4">
        <v>1</v>
      </c>
      <c r="L63" s="4">
        <v>1</v>
      </c>
      <c r="M63" s="4"/>
      <c r="N63" s="4" t="s">
        <v>33</v>
      </c>
      <c r="O63" s="4"/>
      <c r="P63" s="4" t="s">
        <v>30</v>
      </c>
      <c r="Q63" s="4"/>
      <c r="R63" s="4" t="s">
        <v>46</v>
      </c>
      <c r="S63" s="4" t="s">
        <v>32</v>
      </c>
      <c r="T63" s="4" t="s">
        <v>41</v>
      </c>
      <c r="U63" s="4"/>
      <c r="V63" s="4"/>
    </row>
    <row r="64" spans="1:22" ht="89.25" x14ac:dyDescent="0.2">
      <c r="A64" s="3">
        <v>41751.5229861111</v>
      </c>
      <c r="B64" s="4" t="s">
        <v>61</v>
      </c>
      <c r="C64" s="4" t="s">
        <v>23</v>
      </c>
      <c r="D64" s="4" t="s">
        <v>24</v>
      </c>
      <c r="E64" s="4" t="s">
        <v>193</v>
      </c>
      <c r="F64" s="4" t="s">
        <v>37</v>
      </c>
      <c r="G64" s="4"/>
      <c r="H64" s="4" t="s">
        <v>38</v>
      </c>
      <c r="I64" s="4"/>
      <c r="J64" s="4">
        <v>4</v>
      </c>
      <c r="K64" s="4">
        <v>2</v>
      </c>
      <c r="L64" s="4">
        <v>1</v>
      </c>
      <c r="M64" s="4" t="s">
        <v>194</v>
      </c>
      <c r="N64" s="4" t="s">
        <v>33</v>
      </c>
      <c r="O64" s="4"/>
      <c r="P64" s="4" t="s">
        <v>30</v>
      </c>
      <c r="Q64" s="4"/>
      <c r="R64" s="4" t="s">
        <v>39</v>
      </c>
      <c r="S64" s="4" t="s">
        <v>59</v>
      </c>
      <c r="T64" s="4" t="s">
        <v>33</v>
      </c>
      <c r="U64" s="4"/>
      <c r="V64" s="4"/>
    </row>
    <row r="65" spans="1:22" ht="51" x14ac:dyDescent="0.2">
      <c r="A65" s="3">
        <v>41751.5246990741</v>
      </c>
      <c r="B65" s="4" t="s">
        <v>68</v>
      </c>
      <c r="C65" s="4" t="s">
        <v>23</v>
      </c>
      <c r="D65" s="4" t="s">
        <v>24</v>
      </c>
      <c r="E65" s="4"/>
      <c r="F65" s="4" t="s">
        <v>37</v>
      </c>
      <c r="G65" s="4"/>
      <c r="H65" s="4" t="s">
        <v>56</v>
      </c>
      <c r="I65" s="4"/>
      <c r="J65" s="4">
        <v>2</v>
      </c>
      <c r="K65" s="4">
        <v>2</v>
      </c>
      <c r="L65" s="4">
        <v>3</v>
      </c>
      <c r="M65" s="4"/>
      <c r="N65" s="4" t="s">
        <v>33</v>
      </c>
      <c r="O65" s="4"/>
      <c r="P65" s="4" t="s">
        <v>45</v>
      </c>
      <c r="Q65" s="4"/>
      <c r="R65" s="4" t="s">
        <v>112</v>
      </c>
      <c r="S65" s="4" t="s">
        <v>32</v>
      </c>
      <c r="T65" s="4" t="s">
        <v>33</v>
      </c>
      <c r="U65" s="4"/>
      <c r="V65" s="4"/>
    </row>
    <row r="66" spans="1:22" ht="63.75" x14ac:dyDescent="0.2">
      <c r="A66" s="3">
        <v>41751.524328703701</v>
      </c>
      <c r="B66" s="4" t="s">
        <v>195</v>
      </c>
      <c r="C66" s="4" t="s">
        <v>23</v>
      </c>
      <c r="D66" s="4" t="s">
        <v>62</v>
      </c>
      <c r="E66" s="4"/>
      <c r="F66" s="4" t="s">
        <v>37</v>
      </c>
      <c r="G66" s="4"/>
      <c r="H66" s="4" t="s">
        <v>28</v>
      </c>
      <c r="I66" s="4"/>
      <c r="J66" s="4">
        <v>2</v>
      </c>
      <c r="K66" s="4">
        <v>1</v>
      </c>
      <c r="L66" s="4">
        <v>1</v>
      </c>
      <c r="M66" s="4"/>
      <c r="N66" s="4" t="s">
        <v>33</v>
      </c>
      <c r="O66" s="4"/>
      <c r="P66" s="4" t="s">
        <v>45</v>
      </c>
      <c r="Q66" s="4"/>
      <c r="R66" s="4" t="s">
        <v>160</v>
      </c>
      <c r="S66" s="4" t="s">
        <v>59</v>
      </c>
      <c r="T66" s="4" t="s">
        <v>41</v>
      </c>
      <c r="U66" s="4" t="s">
        <v>196</v>
      </c>
      <c r="V66" s="4"/>
    </row>
    <row r="67" spans="1:22" ht="140.25" x14ac:dyDescent="0.2">
      <c r="A67" s="3">
        <v>41751.527928240699</v>
      </c>
      <c r="B67" s="4" t="s">
        <v>197</v>
      </c>
      <c r="C67" s="4" t="s">
        <v>53</v>
      </c>
      <c r="D67" s="4" t="s">
        <v>50</v>
      </c>
      <c r="E67" s="4" t="s">
        <v>198</v>
      </c>
      <c r="F67" s="4" t="s">
        <v>63</v>
      </c>
      <c r="G67" s="4" t="s">
        <v>199</v>
      </c>
      <c r="H67" s="4" t="s">
        <v>38</v>
      </c>
      <c r="I67" s="4"/>
      <c r="J67" s="4">
        <v>2</v>
      </c>
      <c r="K67" s="4">
        <v>2</v>
      </c>
      <c r="L67" s="4">
        <v>1</v>
      </c>
      <c r="M67" s="4"/>
      <c r="N67" s="4" t="s">
        <v>33</v>
      </c>
      <c r="O67" s="4"/>
      <c r="P67" s="4" t="s">
        <v>45</v>
      </c>
      <c r="Q67" s="4"/>
      <c r="R67" s="4"/>
      <c r="S67" s="4" t="s">
        <v>59</v>
      </c>
      <c r="T67" s="4" t="s">
        <v>41</v>
      </c>
      <c r="U67" s="4"/>
      <c r="V67" s="4" t="s">
        <v>200</v>
      </c>
    </row>
    <row r="68" spans="1:22" ht="102" x14ac:dyDescent="0.2">
      <c r="A68" s="3">
        <v>41751.548518518503</v>
      </c>
      <c r="B68" s="4" t="s">
        <v>48</v>
      </c>
      <c r="C68" s="4" t="s">
        <v>35</v>
      </c>
      <c r="D68" s="4" t="s">
        <v>36</v>
      </c>
      <c r="E68" s="4"/>
      <c r="F68" s="4" t="s">
        <v>37</v>
      </c>
      <c r="G68" s="4"/>
      <c r="H68" s="4" t="s">
        <v>38</v>
      </c>
      <c r="I68" s="4"/>
      <c r="J68" s="4">
        <v>3</v>
      </c>
      <c r="K68" s="4">
        <v>2</v>
      </c>
      <c r="L68" s="4">
        <v>1</v>
      </c>
      <c r="M68" s="4"/>
      <c r="N68" s="4" t="s">
        <v>33</v>
      </c>
      <c r="O68" s="4"/>
      <c r="P68" s="4" t="s">
        <v>45</v>
      </c>
      <c r="Q68" s="4" t="s">
        <v>201</v>
      </c>
      <c r="R68" s="6" t="s">
        <v>202</v>
      </c>
      <c r="S68" s="4" t="s">
        <v>59</v>
      </c>
      <c r="T68" s="4" t="s">
        <v>33</v>
      </c>
      <c r="U68" s="4" t="s">
        <v>203</v>
      </c>
      <c r="V68" s="4" t="s">
        <v>204</v>
      </c>
    </row>
    <row r="69" spans="1:22" ht="114.75" x14ac:dyDescent="0.2">
      <c r="A69" s="3">
        <v>41751.558587963002</v>
      </c>
      <c r="B69" s="4" t="s">
        <v>61</v>
      </c>
      <c r="C69" s="4" t="s">
        <v>70</v>
      </c>
      <c r="D69" s="4" t="s">
        <v>24</v>
      </c>
      <c r="E69" s="4" t="s">
        <v>205</v>
      </c>
      <c r="F69" s="4" t="s">
        <v>26</v>
      </c>
      <c r="G69" s="4" t="s">
        <v>206</v>
      </c>
      <c r="H69" s="4" t="s">
        <v>28</v>
      </c>
      <c r="I69" s="4" t="s">
        <v>207</v>
      </c>
      <c r="J69" s="4">
        <v>5</v>
      </c>
      <c r="K69" s="4">
        <v>3</v>
      </c>
      <c r="L69" s="4">
        <v>1</v>
      </c>
      <c r="M69" s="4"/>
      <c r="N69" s="4" t="s">
        <v>29</v>
      </c>
      <c r="O69" s="4"/>
      <c r="P69" s="4" t="s">
        <v>90</v>
      </c>
      <c r="Q69" s="4"/>
      <c r="R69" s="4" t="s">
        <v>160</v>
      </c>
      <c r="S69" s="4" t="s">
        <v>40</v>
      </c>
      <c r="T69" s="4" t="s">
        <v>41</v>
      </c>
      <c r="U69" s="4"/>
      <c r="V69" s="4" t="s">
        <v>208</v>
      </c>
    </row>
    <row r="70" spans="1:22" ht="114.75" x14ac:dyDescent="0.2">
      <c r="A70" s="3">
        <v>41751.528043981503</v>
      </c>
      <c r="B70" s="4" t="s">
        <v>105</v>
      </c>
      <c r="C70" s="4" t="s">
        <v>70</v>
      </c>
      <c r="D70" s="4" t="s">
        <v>50</v>
      </c>
      <c r="E70" s="4" t="s">
        <v>209</v>
      </c>
      <c r="F70" s="4" t="s">
        <v>26</v>
      </c>
      <c r="G70" s="4" t="s">
        <v>210</v>
      </c>
      <c r="H70" s="4" t="s">
        <v>38</v>
      </c>
      <c r="I70" s="4"/>
      <c r="J70" s="4">
        <v>1</v>
      </c>
      <c r="K70" s="4">
        <v>2</v>
      </c>
      <c r="L70" s="4">
        <v>1</v>
      </c>
      <c r="M70" s="4"/>
      <c r="N70" s="4" t="s">
        <v>33</v>
      </c>
      <c r="O70" s="4"/>
      <c r="P70" s="4" t="s">
        <v>30</v>
      </c>
      <c r="Q70" s="4"/>
      <c r="R70" s="4" t="s">
        <v>39</v>
      </c>
      <c r="S70" s="4" t="s">
        <v>40</v>
      </c>
      <c r="T70" s="4" t="s">
        <v>33</v>
      </c>
      <c r="U70" s="4"/>
      <c r="V70" s="4" t="s">
        <v>211</v>
      </c>
    </row>
    <row r="71" spans="1:22" ht="140.25" x14ac:dyDescent="0.2">
      <c r="A71" s="3">
        <v>41751.528541666703</v>
      </c>
      <c r="B71" s="4" t="s">
        <v>61</v>
      </c>
      <c r="C71" s="4" t="s">
        <v>53</v>
      </c>
      <c r="D71" s="4" t="s">
        <v>50</v>
      </c>
      <c r="E71" s="4" t="s">
        <v>212</v>
      </c>
      <c r="F71" s="4" t="s">
        <v>63</v>
      </c>
      <c r="G71" s="6" t="s">
        <v>213</v>
      </c>
      <c r="H71" s="4" t="s">
        <v>38</v>
      </c>
      <c r="I71" s="4"/>
      <c r="J71" s="4">
        <v>2</v>
      </c>
      <c r="K71" s="4">
        <v>1</v>
      </c>
      <c r="L71" s="4">
        <v>1</v>
      </c>
      <c r="M71" s="4"/>
      <c r="N71" s="4" t="s">
        <v>33</v>
      </c>
      <c r="O71" s="4"/>
      <c r="P71" s="4" t="s">
        <v>45</v>
      </c>
      <c r="Q71" s="4"/>
      <c r="R71" s="4" t="s">
        <v>202</v>
      </c>
      <c r="S71" s="4" t="s">
        <v>59</v>
      </c>
      <c r="T71" s="4" t="s">
        <v>33</v>
      </c>
      <c r="U71" s="4"/>
      <c r="V71" s="4"/>
    </row>
    <row r="72" spans="1:22" ht="114.75" x14ac:dyDescent="0.2">
      <c r="A72" s="3">
        <v>41751.536701388897</v>
      </c>
      <c r="B72" s="4" t="s">
        <v>34</v>
      </c>
      <c r="C72" s="4" t="s">
        <v>49</v>
      </c>
      <c r="D72" s="4" t="s">
        <v>24</v>
      </c>
      <c r="E72" s="4" t="s">
        <v>214</v>
      </c>
      <c r="F72" s="4" t="s">
        <v>37</v>
      </c>
      <c r="G72" s="4"/>
      <c r="H72" s="4" t="s">
        <v>28</v>
      </c>
      <c r="I72" s="4"/>
      <c r="J72" s="4">
        <v>1</v>
      </c>
      <c r="K72" s="4">
        <v>1</v>
      </c>
      <c r="L72" s="4">
        <v>1</v>
      </c>
      <c r="M72" s="4"/>
      <c r="N72" s="4" t="s">
        <v>180</v>
      </c>
      <c r="O72" s="4" t="s">
        <v>215</v>
      </c>
      <c r="P72" s="4" t="s">
        <v>90</v>
      </c>
      <c r="Q72" s="4"/>
      <c r="R72" s="4" t="s">
        <v>168</v>
      </c>
      <c r="S72" s="4" t="s">
        <v>59</v>
      </c>
      <c r="T72" s="4" t="s">
        <v>41</v>
      </c>
      <c r="U72" s="6" t="s">
        <v>214</v>
      </c>
      <c r="V72" s="4"/>
    </row>
    <row r="73" spans="1:22" ht="76.5" x14ac:dyDescent="0.2">
      <c r="A73" s="3">
        <v>41751.539166666698</v>
      </c>
      <c r="B73" s="4" t="s">
        <v>175</v>
      </c>
      <c r="C73" s="4" t="s">
        <v>70</v>
      </c>
      <c r="D73" s="4" t="s">
        <v>24</v>
      </c>
      <c r="E73" s="4" t="s">
        <v>216</v>
      </c>
      <c r="F73" s="4" t="s">
        <v>37</v>
      </c>
      <c r="G73" s="4"/>
      <c r="H73" s="4" t="s">
        <v>38</v>
      </c>
      <c r="I73" s="4"/>
      <c r="J73" s="4">
        <v>3</v>
      </c>
      <c r="K73" s="4">
        <v>2</v>
      </c>
      <c r="L73" s="4">
        <v>1</v>
      </c>
      <c r="M73" s="4"/>
      <c r="N73" s="4" t="s">
        <v>29</v>
      </c>
      <c r="O73" s="4" t="s">
        <v>217</v>
      </c>
      <c r="P73" s="4" t="s">
        <v>30</v>
      </c>
      <c r="Q73" s="4"/>
      <c r="R73" s="4" t="s">
        <v>39</v>
      </c>
      <c r="S73" s="4" t="s">
        <v>40</v>
      </c>
      <c r="T73" s="4" t="s">
        <v>33</v>
      </c>
      <c r="U73" s="4"/>
      <c r="V73" s="4" t="s">
        <v>218</v>
      </c>
    </row>
    <row r="74" spans="1:22" ht="63.75" x14ac:dyDescent="0.2">
      <c r="A74" s="3">
        <v>41751.541331018503</v>
      </c>
      <c r="B74" s="4" t="s">
        <v>68</v>
      </c>
      <c r="C74" s="4" t="s">
        <v>49</v>
      </c>
      <c r="D74" s="4" t="s">
        <v>24</v>
      </c>
      <c r="E74" s="4">
        <v>379</v>
      </c>
      <c r="F74" s="4" t="s">
        <v>37</v>
      </c>
      <c r="G74" s="4"/>
      <c r="H74" s="4" t="s">
        <v>38</v>
      </c>
      <c r="I74" s="4"/>
      <c r="J74" s="4">
        <v>2</v>
      </c>
      <c r="K74" s="4">
        <v>1</v>
      </c>
      <c r="L74" s="4">
        <v>1</v>
      </c>
      <c r="M74" s="4"/>
      <c r="N74" s="4" t="s">
        <v>33</v>
      </c>
      <c r="O74" s="4"/>
      <c r="P74" s="4" t="s">
        <v>30</v>
      </c>
      <c r="Q74" s="4"/>
      <c r="R74" s="4" t="s">
        <v>39</v>
      </c>
      <c r="S74" s="4" t="s">
        <v>59</v>
      </c>
      <c r="T74" s="4" t="s">
        <v>33</v>
      </c>
      <c r="U74" s="4"/>
      <c r="V74" s="4"/>
    </row>
    <row r="75" spans="1:22" ht="51" x14ac:dyDescent="0.2">
      <c r="A75" s="3">
        <v>41751.552696759303</v>
      </c>
      <c r="B75" s="4" t="s">
        <v>105</v>
      </c>
      <c r="C75" s="4" t="s">
        <v>49</v>
      </c>
      <c r="D75" s="4" t="s">
        <v>62</v>
      </c>
      <c r="E75" s="4"/>
      <c r="F75" s="4" t="s">
        <v>37</v>
      </c>
      <c r="G75" s="4"/>
      <c r="H75" s="4" t="s">
        <v>28</v>
      </c>
      <c r="I75" s="4"/>
      <c r="J75" s="4">
        <v>3</v>
      </c>
      <c r="K75" s="4">
        <v>4</v>
      </c>
      <c r="L75" s="4">
        <v>5</v>
      </c>
      <c r="M75" s="4"/>
      <c r="N75" s="4" t="s">
        <v>29</v>
      </c>
      <c r="O75" s="4"/>
      <c r="P75" s="4" t="s">
        <v>90</v>
      </c>
      <c r="Q75" s="4"/>
      <c r="R75" s="4" t="s">
        <v>160</v>
      </c>
      <c r="S75" s="4" t="s">
        <v>32</v>
      </c>
      <c r="T75" s="4"/>
      <c r="U75" s="4"/>
      <c r="V75" s="4"/>
    </row>
    <row r="76" spans="1:22" ht="242.25" x14ac:dyDescent="0.2">
      <c r="A76" s="3">
        <v>41751.559502314798</v>
      </c>
      <c r="B76" s="4" t="s">
        <v>219</v>
      </c>
      <c r="C76" s="4" t="s">
        <v>49</v>
      </c>
      <c r="D76" s="4" t="s">
        <v>50</v>
      </c>
      <c r="E76" s="4" t="s">
        <v>220</v>
      </c>
      <c r="F76" s="4"/>
      <c r="G76" s="4"/>
      <c r="H76" s="4" t="s">
        <v>28</v>
      </c>
      <c r="I76" s="4" t="s">
        <v>221</v>
      </c>
      <c r="J76" s="4">
        <v>3</v>
      </c>
      <c r="K76" s="4">
        <v>2</v>
      </c>
      <c r="L76" s="4">
        <v>1</v>
      </c>
      <c r="M76" s="4"/>
      <c r="N76" s="4" t="s">
        <v>98</v>
      </c>
      <c r="O76" s="4" t="s">
        <v>222</v>
      </c>
      <c r="P76" s="4" t="s">
        <v>90</v>
      </c>
      <c r="Q76" s="4" t="s">
        <v>223</v>
      </c>
      <c r="R76" s="4" t="s">
        <v>168</v>
      </c>
      <c r="S76" s="4" t="s">
        <v>59</v>
      </c>
      <c r="T76" s="4" t="s">
        <v>41</v>
      </c>
      <c r="U76" s="6" t="s">
        <v>224</v>
      </c>
      <c r="V76" s="4" t="s">
        <v>225</v>
      </c>
    </row>
    <row r="77" spans="1:22" ht="102" x14ac:dyDescent="0.2">
      <c r="A77" s="3">
        <v>41751.570729166699</v>
      </c>
      <c r="B77" s="4" t="s">
        <v>152</v>
      </c>
      <c r="C77" s="4" t="s">
        <v>53</v>
      </c>
      <c r="D77" s="4" t="s">
        <v>24</v>
      </c>
      <c r="E77" s="4" t="s">
        <v>226</v>
      </c>
      <c r="F77" s="4" t="s">
        <v>37</v>
      </c>
      <c r="G77" s="4"/>
      <c r="H77" s="4" t="s">
        <v>38</v>
      </c>
      <c r="I77" s="4"/>
      <c r="J77" s="4">
        <v>3</v>
      </c>
      <c r="K77" s="4">
        <v>3</v>
      </c>
      <c r="L77" s="4">
        <v>1</v>
      </c>
      <c r="M77" s="4" t="s">
        <v>227</v>
      </c>
      <c r="N77" s="4" t="s">
        <v>33</v>
      </c>
      <c r="O77" s="4" t="s">
        <v>228</v>
      </c>
      <c r="P77" s="4" t="s">
        <v>30</v>
      </c>
      <c r="Q77" s="4"/>
      <c r="R77" s="4" t="s">
        <v>39</v>
      </c>
      <c r="S77" s="4" t="s">
        <v>59</v>
      </c>
      <c r="T77" s="4" t="s">
        <v>33</v>
      </c>
      <c r="U77" s="4"/>
      <c r="V77" s="4"/>
    </row>
    <row r="78" spans="1:22" ht="140.25" x14ac:dyDescent="0.2">
      <c r="A78" s="3">
        <v>41751.561909722201</v>
      </c>
      <c r="B78" s="4" t="s">
        <v>152</v>
      </c>
      <c r="C78" s="4" t="s">
        <v>53</v>
      </c>
      <c r="D78" s="4" t="s">
        <v>24</v>
      </c>
      <c r="E78" s="4"/>
      <c r="F78" s="4" t="s">
        <v>63</v>
      </c>
      <c r="G78" s="4"/>
      <c r="H78" s="4" t="s">
        <v>38</v>
      </c>
      <c r="I78" s="4"/>
      <c r="J78" s="4">
        <v>4</v>
      </c>
      <c r="K78" s="4">
        <v>4</v>
      </c>
      <c r="L78" s="4">
        <v>1</v>
      </c>
      <c r="M78" s="4"/>
      <c r="N78" s="4" t="s">
        <v>29</v>
      </c>
      <c r="O78" s="4"/>
      <c r="P78" s="4" t="s">
        <v>90</v>
      </c>
      <c r="Q78" s="4"/>
      <c r="R78" s="4" t="s">
        <v>111</v>
      </c>
      <c r="S78" s="4" t="s">
        <v>59</v>
      </c>
      <c r="T78" s="4" t="s">
        <v>41</v>
      </c>
      <c r="U78" s="4"/>
      <c r="V78" s="4"/>
    </row>
    <row r="79" spans="1:22" ht="76.5" x14ac:dyDescent="0.2">
      <c r="A79" s="3">
        <v>41751.5629976852</v>
      </c>
      <c r="B79" s="4" t="s">
        <v>229</v>
      </c>
      <c r="C79" s="4" t="s">
        <v>49</v>
      </c>
      <c r="D79" s="4" t="s">
        <v>62</v>
      </c>
      <c r="E79" s="4"/>
      <c r="F79" s="4" t="s">
        <v>37</v>
      </c>
      <c r="G79" s="4"/>
      <c r="H79" s="4" t="s">
        <v>38</v>
      </c>
      <c r="I79" s="4"/>
      <c r="J79" s="4">
        <v>5</v>
      </c>
      <c r="K79" s="4">
        <v>3</v>
      </c>
      <c r="L79" s="4">
        <v>3</v>
      </c>
      <c r="M79" s="4"/>
      <c r="N79" s="4" t="s">
        <v>33</v>
      </c>
      <c r="O79" s="4"/>
      <c r="P79" s="4" t="s">
        <v>45</v>
      </c>
      <c r="Q79" s="4"/>
      <c r="R79" s="4" t="s">
        <v>168</v>
      </c>
      <c r="S79" s="4" t="s">
        <v>32</v>
      </c>
      <c r="T79" s="4" t="s">
        <v>33</v>
      </c>
      <c r="U79" s="4"/>
      <c r="V79" s="4" t="s">
        <v>230</v>
      </c>
    </row>
    <row r="80" spans="1:22" ht="63.75" x14ac:dyDescent="0.2">
      <c r="A80" s="3">
        <v>41751.5637152778</v>
      </c>
      <c r="B80" s="4" t="s">
        <v>195</v>
      </c>
      <c r="C80" s="4" t="s">
        <v>49</v>
      </c>
      <c r="D80" s="4" t="s">
        <v>62</v>
      </c>
      <c r="E80" s="4"/>
      <c r="F80" s="4" t="s">
        <v>37</v>
      </c>
      <c r="G80" s="4"/>
      <c r="H80" s="4" t="s">
        <v>28</v>
      </c>
      <c r="I80" s="4"/>
      <c r="J80" s="4">
        <v>3</v>
      </c>
      <c r="K80" s="4">
        <v>5</v>
      </c>
      <c r="L80" s="4">
        <v>5</v>
      </c>
      <c r="M80" s="4"/>
      <c r="N80" s="4" t="s">
        <v>33</v>
      </c>
      <c r="O80" s="4"/>
      <c r="P80" s="4" t="s">
        <v>45</v>
      </c>
      <c r="Q80" s="4"/>
      <c r="R80" s="4" t="s">
        <v>111</v>
      </c>
      <c r="S80" s="4" t="s">
        <v>59</v>
      </c>
      <c r="T80" s="4" t="s">
        <v>41</v>
      </c>
      <c r="U80" s="4"/>
      <c r="V80" s="4" t="s">
        <v>231</v>
      </c>
    </row>
    <row r="81" spans="1:22" ht="114.75" x14ac:dyDescent="0.2">
      <c r="A81" s="3">
        <v>41751.572800925896</v>
      </c>
      <c r="B81" s="6" t="s">
        <v>232</v>
      </c>
      <c r="C81" s="4" t="s">
        <v>70</v>
      </c>
      <c r="D81" s="4" t="s">
        <v>62</v>
      </c>
      <c r="E81" s="4"/>
      <c r="F81" s="4" t="s">
        <v>26</v>
      </c>
      <c r="G81" s="4" t="s">
        <v>233</v>
      </c>
      <c r="H81" s="4" t="s">
        <v>38</v>
      </c>
      <c r="I81" s="4"/>
      <c r="J81" s="4">
        <v>1</v>
      </c>
      <c r="K81" s="4">
        <v>2</v>
      </c>
      <c r="L81" s="4">
        <v>4</v>
      </c>
      <c r="M81" s="4"/>
      <c r="N81" s="4" t="s">
        <v>33</v>
      </c>
      <c r="O81" s="4"/>
      <c r="P81" s="4" t="s">
        <v>45</v>
      </c>
      <c r="Q81" s="4"/>
      <c r="R81" s="4" t="s">
        <v>160</v>
      </c>
      <c r="S81" s="4" t="s">
        <v>59</v>
      </c>
      <c r="T81" s="4" t="s">
        <v>41</v>
      </c>
      <c r="U81" s="4"/>
      <c r="V81" s="4"/>
    </row>
    <row r="82" spans="1:22" ht="63.75" x14ac:dyDescent="0.2">
      <c r="A82" s="3">
        <v>41751.579039351898</v>
      </c>
      <c r="B82" s="4" t="s">
        <v>22</v>
      </c>
      <c r="C82" s="4" t="s">
        <v>53</v>
      </c>
      <c r="D82" s="4" t="s">
        <v>50</v>
      </c>
      <c r="E82" s="4" t="s">
        <v>234</v>
      </c>
      <c r="F82" s="4" t="s">
        <v>37</v>
      </c>
      <c r="G82" s="4"/>
      <c r="H82" s="4" t="s">
        <v>38</v>
      </c>
      <c r="I82" s="4"/>
      <c r="J82" s="4">
        <v>3</v>
      </c>
      <c r="K82" s="4">
        <v>3</v>
      </c>
      <c r="L82" s="4">
        <v>5</v>
      </c>
      <c r="M82" s="4"/>
      <c r="N82" s="4" t="s">
        <v>33</v>
      </c>
      <c r="O82" s="4"/>
      <c r="P82" s="4" t="s">
        <v>45</v>
      </c>
      <c r="Q82" s="4"/>
      <c r="R82" s="4" t="s">
        <v>94</v>
      </c>
      <c r="S82" s="4" t="s">
        <v>59</v>
      </c>
      <c r="T82" s="4" t="s">
        <v>33</v>
      </c>
      <c r="U82" s="4"/>
      <c r="V82" s="4" t="s">
        <v>235</v>
      </c>
    </row>
    <row r="83" spans="1:22" ht="178.5" x14ac:dyDescent="0.2">
      <c r="A83" s="3">
        <v>41751.652303240699</v>
      </c>
      <c r="B83" s="4" t="s">
        <v>161</v>
      </c>
      <c r="C83" s="4" t="s">
        <v>49</v>
      </c>
      <c r="D83" s="4" t="s">
        <v>50</v>
      </c>
      <c r="E83" s="4"/>
      <c r="F83" s="4" t="s">
        <v>37</v>
      </c>
      <c r="G83" s="4"/>
      <c r="H83" s="4" t="s">
        <v>38</v>
      </c>
      <c r="I83" s="4"/>
      <c r="J83" s="4">
        <v>2</v>
      </c>
      <c r="K83" s="4">
        <v>1</v>
      </c>
      <c r="L83" s="4">
        <v>1</v>
      </c>
      <c r="M83" s="4"/>
      <c r="N83" s="4" t="s">
        <v>33</v>
      </c>
      <c r="O83" s="4"/>
      <c r="P83" s="4" t="s">
        <v>90</v>
      </c>
      <c r="Q83" s="4" t="s">
        <v>236</v>
      </c>
      <c r="R83" s="6" t="s">
        <v>237</v>
      </c>
      <c r="S83" s="4" t="s">
        <v>59</v>
      </c>
      <c r="T83" s="4" t="s">
        <v>41</v>
      </c>
      <c r="U83" s="4" t="s">
        <v>238</v>
      </c>
      <c r="V83" s="4"/>
    </row>
    <row r="84" spans="1:22" ht="51" x14ac:dyDescent="0.2">
      <c r="A84" s="3">
        <v>41751.584780092599</v>
      </c>
      <c r="B84" s="4" t="s">
        <v>48</v>
      </c>
      <c r="C84" s="4" t="s">
        <v>49</v>
      </c>
      <c r="D84" s="4" t="s">
        <v>50</v>
      </c>
      <c r="E84" s="4" t="s">
        <v>239</v>
      </c>
      <c r="F84" s="4" t="s">
        <v>37</v>
      </c>
      <c r="G84" s="4"/>
      <c r="H84" s="4" t="s">
        <v>38</v>
      </c>
      <c r="I84" s="4"/>
      <c r="J84" s="4"/>
      <c r="K84" s="4">
        <v>2</v>
      </c>
      <c r="L84" s="4">
        <v>2</v>
      </c>
      <c r="M84" s="4"/>
      <c r="N84" s="4" t="s">
        <v>33</v>
      </c>
      <c r="O84" s="4"/>
      <c r="P84" s="4" t="s">
        <v>90</v>
      </c>
      <c r="Q84" s="4"/>
      <c r="R84" s="4" t="s">
        <v>160</v>
      </c>
      <c r="S84" s="4" t="s">
        <v>32</v>
      </c>
      <c r="T84" s="4" t="s">
        <v>33</v>
      </c>
      <c r="U84" s="4"/>
      <c r="V84" s="4" t="s">
        <v>240</v>
      </c>
    </row>
    <row r="85" spans="1:22" ht="76.5" x14ac:dyDescent="0.2">
      <c r="A85" s="3">
        <v>41751.587800925903</v>
      </c>
      <c r="B85" s="6" t="s">
        <v>232</v>
      </c>
      <c r="C85" s="4" t="s">
        <v>70</v>
      </c>
      <c r="D85" s="4" t="s">
        <v>50</v>
      </c>
      <c r="E85" s="4" t="s">
        <v>241</v>
      </c>
      <c r="F85" s="4" t="s">
        <v>37</v>
      </c>
      <c r="G85" s="4"/>
      <c r="H85" s="4" t="s">
        <v>38</v>
      </c>
      <c r="I85" s="4"/>
      <c r="J85" s="4">
        <v>1</v>
      </c>
      <c r="K85" s="4">
        <v>2</v>
      </c>
      <c r="L85" s="4">
        <v>1</v>
      </c>
      <c r="M85" s="4"/>
      <c r="N85" s="4" t="s">
        <v>33</v>
      </c>
      <c r="O85" s="4"/>
      <c r="P85" s="4" t="s">
        <v>45</v>
      </c>
      <c r="Q85" s="4"/>
      <c r="R85" s="4" t="s">
        <v>160</v>
      </c>
      <c r="S85" s="4" t="s">
        <v>40</v>
      </c>
      <c r="T85" s="4" t="s">
        <v>41</v>
      </c>
      <c r="U85" s="4"/>
      <c r="V85" s="4"/>
    </row>
    <row r="86" spans="1:22" ht="76.5" x14ac:dyDescent="0.2">
      <c r="A86" s="3">
        <v>41751.594583333303</v>
      </c>
      <c r="B86" s="4" t="s">
        <v>61</v>
      </c>
      <c r="C86" s="4" t="s">
        <v>53</v>
      </c>
      <c r="D86" s="4" t="s">
        <v>50</v>
      </c>
      <c r="E86" s="4" t="s">
        <v>242</v>
      </c>
      <c r="F86" s="4" t="s">
        <v>37</v>
      </c>
      <c r="G86" s="4"/>
      <c r="H86" s="4" t="s">
        <v>38</v>
      </c>
      <c r="I86" s="4"/>
      <c r="J86" s="4">
        <v>3</v>
      </c>
      <c r="K86" s="4">
        <v>3</v>
      </c>
      <c r="L86" s="4">
        <v>1</v>
      </c>
      <c r="M86" s="4"/>
      <c r="N86" s="4" t="s">
        <v>33</v>
      </c>
      <c r="O86" s="4"/>
      <c r="P86" s="4" t="s">
        <v>45</v>
      </c>
      <c r="Q86" s="4"/>
      <c r="R86" s="4" t="s">
        <v>39</v>
      </c>
      <c r="S86" s="4" t="s">
        <v>40</v>
      </c>
      <c r="T86" s="4" t="s">
        <v>41</v>
      </c>
      <c r="U86" s="4"/>
      <c r="V86" s="4" t="s">
        <v>243</v>
      </c>
    </row>
    <row r="87" spans="1:22" ht="165.75" x14ac:dyDescent="0.2">
      <c r="A87" s="3">
        <v>41751.617395833302</v>
      </c>
      <c r="B87" s="6" t="s">
        <v>244</v>
      </c>
      <c r="C87" s="4" t="s">
        <v>23</v>
      </c>
      <c r="D87" s="4" t="s">
        <v>62</v>
      </c>
      <c r="E87" s="4"/>
      <c r="F87" s="4" t="s">
        <v>26</v>
      </c>
      <c r="G87" s="6" t="s">
        <v>245</v>
      </c>
      <c r="H87" s="4"/>
      <c r="I87" s="4" t="s">
        <v>246</v>
      </c>
      <c r="J87" s="4">
        <v>3</v>
      </c>
      <c r="K87" s="4">
        <v>4</v>
      </c>
      <c r="L87" s="4">
        <v>5</v>
      </c>
      <c r="M87" s="4" t="s">
        <v>247</v>
      </c>
      <c r="N87" s="4" t="s">
        <v>33</v>
      </c>
      <c r="O87" s="4"/>
      <c r="P87" s="4" t="s">
        <v>90</v>
      </c>
      <c r="Q87" s="4" t="s">
        <v>248</v>
      </c>
      <c r="R87" s="4" t="s">
        <v>168</v>
      </c>
      <c r="S87" s="4" t="s">
        <v>32</v>
      </c>
      <c r="T87" s="4" t="s">
        <v>41</v>
      </c>
      <c r="U87" s="4"/>
      <c r="V87" s="4" t="s">
        <v>249</v>
      </c>
    </row>
    <row r="88" spans="1:22" ht="63.75" x14ac:dyDescent="0.2">
      <c r="A88" s="3">
        <v>41751.6550347222</v>
      </c>
      <c r="B88" s="4" t="s">
        <v>34</v>
      </c>
      <c r="C88" s="4" t="s">
        <v>23</v>
      </c>
      <c r="D88" s="4" t="s">
        <v>62</v>
      </c>
      <c r="E88" s="4"/>
      <c r="F88" s="4" t="s">
        <v>37</v>
      </c>
      <c r="G88" s="4"/>
      <c r="H88" s="4" t="s">
        <v>38</v>
      </c>
      <c r="I88" s="4"/>
      <c r="J88" s="4">
        <v>1</v>
      </c>
      <c r="K88" s="4">
        <v>1</v>
      </c>
      <c r="L88" s="4">
        <v>1</v>
      </c>
      <c r="M88" s="4"/>
      <c r="N88" s="4" t="s">
        <v>33</v>
      </c>
      <c r="O88" s="4"/>
      <c r="P88" s="4" t="s">
        <v>45</v>
      </c>
      <c r="Q88" s="4"/>
      <c r="R88" s="4" t="s">
        <v>45</v>
      </c>
      <c r="S88" s="4" t="s">
        <v>59</v>
      </c>
      <c r="T88" s="4" t="s">
        <v>33</v>
      </c>
      <c r="U88" s="4"/>
      <c r="V88" s="4" t="s">
        <v>250</v>
      </c>
    </row>
    <row r="89" spans="1:22" ht="63.75" x14ac:dyDescent="0.2">
      <c r="A89" s="3">
        <v>41751.669386574104</v>
      </c>
      <c r="B89" s="4" t="s">
        <v>152</v>
      </c>
      <c r="C89" s="4" t="s">
        <v>49</v>
      </c>
      <c r="D89" s="4" t="s">
        <v>62</v>
      </c>
      <c r="E89" s="4"/>
      <c r="F89" s="4" t="s">
        <v>37</v>
      </c>
      <c r="G89" s="4"/>
      <c r="H89" s="4" t="s">
        <v>38</v>
      </c>
      <c r="I89" s="4"/>
      <c r="J89" s="4">
        <v>2</v>
      </c>
      <c r="K89" s="4">
        <v>3</v>
      </c>
      <c r="L89" s="4">
        <v>2</v>
      </c>
      <c r="M89" s="4"/>
      <c r="N89" s="4" t="s">
        <v>33</v>
      </c>
      <c r="O89" s="4"/>
      <c r="P89" s="4" t="s">
        <v>45</v>
      </c>
      <c r="Q89" s="4"/>
      <c r="R89" s="4" t="s">
        <v>160</v>
      </c>
      <c r="S89" s="4" t="s">
        <v>59</v>
      </c>
      <c r="T89" s="4" t="s">
        <v>41</v>
      </c>
      <c r="U89" s="4"/>
      <c r="V89" s="4" t="s">
        <v>251</v>
      </c>
    </row>
    <row r="90" spans="1:22" ht="63.75" x14ac:dyDescent="0.2">
      <c r="A90" s="3">
        <v>41751.676180555602</v>
      </c>
      <c r="B90" s="4" t="s">
        <v>61</v>
      </c>
      <c r="C90" s="4" t="s">
        <v>23</v>
      </c>
      <c r="D90" s="4" t="s">
        <v>62</v>
      </c>
      <c r="E90" s="4"/>
      <c r="F90" s="4" t="s">
        <v>37</v>
      </c>
      <c r="G90" s="4"/>
      <c r="H90" s="4" t="s">
        <v>38</v>
      </c>
      <c r="I90" s="4"/>
      <c r="J90" s="4">
        <v>3</v>
      </c>
      <c r="K90" s="4">
        <v>5</v>
      </c>
      <c r="L90" s="4">
        <v>5</v>
      </c>
      <c r="M90" s="4"/>
      <c r="N90" s="4" t="s">
        <v>33</v>
      </c>
      <c r="O90" s="4"/>
      <c r="P90" s="4" t="s">
        <v>45</v>
      </c>
      <c r="Q90" s="4"/>
      <c r="R90" s="4" t="s">
        <v>45</v>
      </c>
      <c r="S90" s="4" t="s">
        <v>59</v>
      </c>
      <c r="T90" s="4" t="s">
        <v>41</v>
      </c>
      <c r="U90" s="4"/>
      <c r="V90" s="4" t="s">
        <v>252</v>
      </c>
    </row>
    <row r="91" spans="1:22" ht="63.75" x14ac:dyDescent="0.2">
      <c r="A91" s="3">
        <v>41751.679849537002</v>
      </c>
      <c r="B91" s="4" t="s">
        <v>61</v>
      </c>
      <c r="C91" s="4" t="s">
        <v>35</v>
      </c>
      <c r="D91" s="4" t="s">
        <v>58</v>
      </c>
      <c r="E91" s="4"/>
      <c r="F91" s="4" t="s">
        <v>37</v>
      </c>
      <c r="G91" s="4"/>
      <c r="H91" s="4" t="s">
        <v>56</v>
      </c>
      <c r="I91" s="4"/>
      <c r="J91" s="4"/>
      <c r="K91" s="4"/>
      <c r="L91" s="4"/>
      <c r="M91" s="4"/>
      <c r="N91" s="4"/>
      <c r="O91" s="4"/>
      <c r="P91" s="4" t="s">
        <v>30</v>
      </c>
      <c r="Q91" s="4"/>
      <c r="R91" s="4" t="s">
        <v>39</v>
      </c>
      <c r="S91" s="4" t="s">
        <v>59</v>
      </c>
      <c r="T91" s="4" t="s">
        <v>33</v>
      </c>
      <c r="U91" s="4"/>
      <c r="V91" s="4" t="s">
        <v>253</v>
      </c>
    </row>
    <row r="92" spans="1:22" ht="63.75" x14ac:dyDescent="0.2">
      <c r="A92" s="3">
        <v>41751.717256944401</v>
      </c>
      <c r="B92" s="4" t="s">
        <v>61</v>
      </c>
      <c r="C92" s="4" t="s">
        <v>53</v>
      </c>
      <c r="D92" s="4" t="s">
        <v>62</v>
      </c>
      <c r="E92" s="4"/>
      <c r="F92" s="4" t="s">
        <v>37</v>
      </c>
      <c r="G92" s="4"/>
      <c r="H92" s="4" t="s">
        <v>56</v>
      </c>
      <c r="I92" s="4"/>
      <c r="J92" s="4">
        <v>4</v>
      </c>
      <c r="K92" s="4">
        <v>5</v>
      </c>
      <c r="L92" s="4">
        <v>5</v>
      </c>
      <c r="M92" s="4"/>
      <c r="N92" s="4" t="s">
        <v>33</v>
      </c>
      <c r="O92" s="4"/>
      <c r="P92" s="4" t="s">
        <v>90</v>
      </c>
      <c r="Q92" s="4"/>
      <c r="R92" s="4" t="s">
        <v>160</v>
      </c>
      <c r="S92" s="4" t="s">
        <v>59</v>
      </c>
      <c r="T92" s="4" t="s">
        <v>41</v>
      </c>
      <c r="U92" s="4"/>
      <c r="V92" s="4"/>
    </row>
    <row r="93" spans="1:22" ht="63.75" x14ac:dyDescent="0.2">
      <c r="A93" s="3">
        <v>41751.684907407398</v>
      </c>
      <c r="B93" s="4" t="s">
        <v>34</v>
      </c>
      <c r="C93" s="4" t="s">
        <v>35</v>
      </c>
      <c r="D93" s="4" t="s">
        <v>58</v>
      </c>
      <c r="E93" s="4" t="s">
        <v>254</v>
      </c>
      <c r="F93" s="4" t="s">
        <v>37</v>
      </c>
      <c r="G93" s="4"/>
      <c r="H93" s="4" t="s">
        <v>38</v>
      </c>
      <c r="I93" s="4"/>
      <c r="J93" s="4">
        <v>4</v>
      </c>
      <c r="K93" s="4">
        <v>2</v>
      </c>
      <c r="L93" s="4">
        <v>2</v>
      </c>
      <c r="M93" s="4"/>
      <c r="N93" s="4" t="s">
        <v>33</v>
      </c>
      <c r="O93" s="4"/>
      <c r="P93" s="4" t="s">
        <v>30</v>
      </c>
      <c r="Q93" s="4"/>
      <c r="R93" s="4" t="s">
        <v>160</v>
      </c>
      <c r="S93" s="4" t="s">
        <v>59</v>
      </c>
      <c r="T93" s="4" t="s">
        <v>33</v>
      </c>
      <c r="U93" s="4"/>
      <c r="V93" s="4" t="s">
        <v>199</v>
      </c>
    </row>
    <row r="94" spans="1:22" ht="76.5" x14ac:dyDescent="0.2">
      <c r="A94" s="3">
        <v>41751.6855671296</v>
      </c>
      <c r="B94" s="4" t="s">
        <v>61</v>
      </c>
      <c r="C94" s="4" t="s">
        <v>70</v>
      </c>
      <c r="D94" s="4" t="s">
        <v>50</v>
      </c>
      <c r="E94" s="4" t="s">
        <v>255</v>
      </c>
      <c r="F94" s="4" t="s">
        <v>37</v>
      </c>
      <c r="G94" s="4"/>
      <c r="H94" s="4" t="s">
        <v>38</v>
      </c>
      <c r="I94" s="4"/>
      <c r="J94" s="4">
        <v>3</v>
      </c>
      <c r="K94" s="4">
        <v>1</v>
      </c>
      <c r="L94" s="4">
        <v>1</v>
      </c>
      <c r="M94" s="4"/>
      <c r="N94" s="4" t="s">
        <v>33</v>
      </c>
      <c r="O94" s="4"/>
      <c r="P94" s="4" t="s">
        <v>45</v>
      </c>
      <c r="Q94" s="4"/>
      <c r="R94" s="4" t="s">
        <v>160</v>
      </c>
      <c r="S94" s="4" t="s">
        <v>40</v>
      </c>
      <c r="T94" s="4" t="s">
        <v>41</v>
      </c>
      <c r="U94" s="4"/>
      <c r="V94" s="4" t="s">
        <v>256</v>
      </c>
    </row>
    <row r="95" spans="1:22" ht="63.75" x14ac:dyDescent="0.2">
      <c r="A95" s="3">
        <v>41751.691134259301</v>
      </c>
      <c r="B95" s="4" t="s">
        <v>34</v>
      </c>
      <c r="C95" s="4" t="s">
        <v>35</v>
      </c>
      <c r="D95" s="4" t="s">
        <v>36</v>
      </c>
      <c r="E95" s="4"/>
      <c r="F95" s="4" t="s">
        <v>37</v>
      </c>
      <c r="G95" s="4"/>
      <c r="H95" s="4" t="s">
        <v>28</v>
      </c>
      <c r="I95" s="4"/>
      <c r="J95" s="4">
        <v>1</v>
      </c>
      <c r="K95" s="4">
        <v>3</v>
      </c>
      <c r="L95" s="4">
        <v>5</v>
      </c>
      <c r="M95" s="4"/>
      <c r="N95" s="4" t="s">
        <v>29</v>
      </c>
      <c r="O95" s="4"/>
      <c r="P95" s="4" t="s">
        <v>90</v>
      </c>
      <c r="Q95" s="4"/>
      <c r="R95" s="4" t="s">
        <v>111</v>
      </c>
      <c r="S95" s="4" t="s">
        <v>59</v>
      </c>
      <c r="T95" s="4" t="s">
        <v>41</v>
      </c>
      <c r="U95" s="4"/>
      <c r="V95" s="4"/>
    </row>
    <row r="96" spans="1:22" ht="102" x14ac:dyDescent="0.2">
      <c r="A96" s="3">
        <v>41751.7559259259</v>
      </c>
      <c r="B96" s="4" t="s">
        <v>61</v>
      </c>
      <c r="C96" s="4" t="s">
        <v>49</v>
      </c>
      <c r="D96" s="4" t="s">
        <v>24</v>
      </c>
      <c r="E96" s="4" t="s">
        <v>257</v>
      </c>
      <c r="F96" s="4" t="s">
        <v>37</v>
      </c>
      <c r="G96" s="4"/>
      <c r="H96" s="4" t="s">
        <v>38</v>
      </c>
      <c r="I96" s="4"/>
      <c r="J96" s="4">
        <v>4</v>
      </c>
      <c r="K96" s="4">
        <v>2</v>
      </c>
      <c r="L96" s="4">
        <v>1</v>
      </c>
      <c r="M96" s="4"/>
      <c r="N96" s="4" t="s">
        <v>98</v>
      </c>
      <c r="O96" s="4"/>
      <c r="P96" s="4" t="s">
        <v>30</v>
      </c>
      <c r="Q96" s="4"/>
      <c r="R96" s="4" t="s">
        <v>94</v>
      </c>
      <c r="S96" s="4" t="s">
        <v>32</v>
      </c>
      <c r="T96" s="4" t="s">
        <v>41</v>
      </c>
      <c r="U96" s="4"/>
      <c r="V96" s="4"/>
    </row>
    <row r="97" spans="1:22" ht="140.25" x14ac:dyDescent="0.2">
      <c r="A97" s="3">
        <v>41751.7742476852</v>
      </c>
      <c r="B97" s="6" t="s">
        <v>428</v>
      </c>
      <c r="C97" s="4" t="s">
        <v>70</v>
      </c>
      <c r="D97" s="4" t="s">
        <v>62</v>
      </c>
      <c r="E97" s="4"/>
      <c r="F97" s="4" t="s">
        <v>63</v>
      </c>
      <c r="G97" s="4"/>
      <c r="H97" s="4" t="s">
        <v>28</v>
      </c>
      <c r="I97" s="4"/>
      <c r="J97" s="4">
        <v>5</v>
      </c>
      <c r="K97" s="4">
        <v>1</v>
      </c>
      <c r="L97" s="4">
        <v>1</v>
      </c>
      <c r="M97" s="4"/>
      <c r="N97" s="4" t="s">
        <v>180</v>
      </c>
      <c r="O97" s="4"/>
      <c r="P97" s="4" t="s">
        <v>90</v>
      </c>
      <c r="Q97" s="4"/>
      <c r="R97" s="4" t="s">
        <v>202</v>
      </c>
      <c r="S97" s="4" t="s">
        <v>59</v>
      </c>
      <c r="T97" s="4" t="s">
        <v>33</v>
      </c>
      <c r="U97" s="4"/>
      <c r="V97" s="4"/>
    </row>
    <row r="98" spans="1:22" ht="51" x14ac:dyDescent="0.2">
      <c r="A98" s="3">
        <v>41751.792847222197</v>
      </c>
      <c r="B98" s="4" t="s">
        <v>161</v>
      </c>
      <c r="C98" s="4" t="s">
        <v>49</v>
      </c>
      <c r="D98" s="4" t="s">
        <v>62</v>
      </c>
      <c r="E98" s="4"/>
      <c r="F98" s="4" t="s">
        <v>37</v>
      </c>
      <c r="G98" s="4"/>
      <c r="H98" s="4" t="s">
        <v>38</v>
      </c>
      <c r="I98" s="4"/>
      <c r="J98" s="4">
        <v>3</v>
      </c>
      <c r="K98" s="4">
        <v>3</v>
      </c>
      <c r="L98" s="4">
        <v>1</v>
      </c>
      <c r="M98" s="4"/>
      <c r="N98" s="4" t="s">
        <v>33</v>
      </c>
      <c r="O98" s="4"/>
      <c r="P98" s="4" t="s">
        <v>45</v>
      </c>
      <c r="Q98" s="4"/>
      <c r="R98" s="4" t="s">
        <v>111</v>
      </c>
      <c r="S98" s="4" t="s">
        <v>32</v>
      </c>
      <c r="T98" s="4" t="s">
        <v>41</v>
      </c>
      <c r="U98" s="4"/>
      <c r="V98" s="4"/>
    </row>
    <row r="99" spans="1:22" ht="76.5" x14ac:dyDescent="0.2">
      <c r="A99" s="3">
        <v>41751.805254629602</v>
      </c>
      <c r="B99" s="4" t="s">
        <v>68</v>
      </c>
      <c r="C99" s="4" t="s">
        <v>53</v>
      </c>
      <c r="D99" s="4" t="s">
        <v>50</v>
      </c>
      <c r="E99" s="4"/>
      <c r="F99" s="4" t="s">
        <v>37</v>
      </c>
      <c r="G99" s="4"/>
      <c r="H99" s="4" t="s">
        <v>56</v>
      </c>
      <c r="I99" s="4"/>
      <c r="J99" s="4">
        <v>3</v>
      </c>
      <c r="K99" s="4">
        <v>2</v>
      </c>
      <c r="L99" s="4">
        <v>1</v>
      </c>
      <c r="M99" s="4"/>
      <c r="N99" s="4" t="s">
        <v>98</v>
      </c>
      <c r="O99" s="4"/>
      <c r="P99" s="4" t="s">
        <v>30</v>
      </c>
      <c r="Q99" s="4"/>
      <c r="R99" s="4" t="s">
        <v>39</v>
      </c>
      <c r="S99" s="4" t="s">
        <v>40</v>
      </c>
      <c r="T99" s="4" t="s">
        <v>41</v>
      </c>
      <c r="U99" s="4"/>
      <c r="V99" s="4"/>
    </row>
    <row r="100" spans="1:22" ht="102" x14ac:dyDescent="0.2">
      <c r="A100" s="3">
        <v>41751.875</v>
      </c>
      <c r="B100" s="4" t="s">
        <v>152</v>
      </c>
      <c r="C100" s="4" t="s">
        <v>35</v>
      </c>
      <c r="D100" s="4" t="s">
        <v>58</v>
      </c>
      <c r="E100" s="4" t="s">
        <v>258</v>
      </c>
      <c r="F100" s="4" t="s">
        <v>37</v>
      </c>
      <c r="G100" s="4"/>
      <c r="H100" s="4" t="s">
        <v>28</v>
      </c>
      <c r="I100" s="4"/>
      <c r="J100" s="4">
        <v>3</v>
      </c>
      <c r="K100" s="4">
        <v>2</v>
      </c>
      <c r="L100" s="4">
        <v>1</v>
      </c>
      <c r="M100" s="4"/>
      <c r="N100" s="4" t="s">
        <v>29</v>
      </c>
      <c r="O100" s="4" t="s">
        <v>258</v>
      </c>
      <c r="P100" s="4" t="s">
        <v>90</v>
      </c>
      <c r="Q100" s="4"/>
      <c r="R100" s="4" t="s">
        <v>168</v>
      </c>
      <c r="S100" s="4" t="s">
        <v>59</v>
      </c>
      <c r="T100" s="4" t="s">
        <v>41</v>
      </c>
      <c r="U100" s="6" t="s">
        <v>259</v>
      </c>
      <c r="V100" s="4"/>
    </row>
    <row r="101" spans="1:22" ht="76.5" x14ac:dyDescent="0.2">
      <c r="A101" s="3">
        <v>41752.2993981482</v>
      </c>
      <c r="B101" s="4" t="s">
        <v>61</v>
      </c>
      <c r="C101" s="4" t="s">
        <v>70</v>
      </c>
      <c r="D101" s="4" t="s">
        <v>50</v>
      </c>
      <c r="E101" s="4" t="s">
        <v>260</v>
      </c>
      <c r="F101" s="4" t="s">
        <v>37</v>
      </c>
      <c r="G101" s="4"/>
      <c r="H101" s="4" t="s">
        <v>38</v>
      </c>
      <c r="I101" s="4"/>
      <c r="J101" s="4">
        <v>1</v>
      </c>
      <c r="K101" s="4">
        <v>2</v>
      </c>
      <c r="L101" s="4">
        <v>4</v>
      </c>
      <c r="M101" s="4"/>
      <c r="N101" s="4" t="s">
        <v>33</v>
      </c>
      <c r="O101" s="4"/>
      <c r="P101" s="4" t="s">
        <v>45</v>
      </c>
      <c r="Q101" s="4"/>
      <c r="R101" s="4" t="s">
        <v>64</v>
      </c>
      <c r="S101" s="4" t="s">
        <v>40</v>
      </c>
      <c r="T101" s="4" t="s">
        <v>33</v>
      </c>
      <c r="U101" s="4"/>
      <c r="V101" s="4"/>
    </row>
    <row r="102" spans="1:22" ht="76.5" x14ac:dyDescent="0.2">
      <c r="A102" s="3">
        <v>41752.325231481504</v>
      </c>
      <c r="B102" s="4" t="s">
        <v>68</v>
      </c>
      <c r="C102" s="4" t="s">
        <v>53</v>
      </c>
      <c r="D102" s="4" t="s">
        <v>62</v>
      </c>
      <c r="E102" s="4"/>
      <c r="F102" s="4" t="s">
        <v>37</v>
      </c>
      <c r="G102" s="4"/>
      <c r="H102" s="4" t="s">
        <v>38</v>
      </c>
      <c r="I102" s="4"/>
      <c r="J102" s="4">
        <v>2</v>
      </c>
      <c r="K102" s="4">
        <v>1</v>
      </c>
      <c r="L102" s="4">
        <v>2</v>
      </c>
      <c r="M102" s="4"/>
      <c r="N102" s="4" t="s">
        <v>33</v>
      </c>
      <c r="O102" s="4"/>
      <c r="P102" s="4" t="s">
        <v>45</v>
      </c>
      <c r="Q102" s="4"/>
      <c r="R102" s="4" t="s">
        <v>72</v>
      </c>
      <c r="S102" s="4" t="s">
        <v>32</v>
      </c>
      <c r="T102" s="4" t="s">
        <v>41</v>
      </c>
      <c r="U102" s="4"/>
      <c r="V102" s="4"/>
    </row>
    <row r="103" spans="1:22" ht="76.5" x14ac:dyDescent="0.2">
      <c r="A103" s="3">
        <v>41752.3301041667</v>
      </c>
      <c r="B103" s="4" t="s">
        <v>61</v>
      </c>
      <c r="C103" s="4" t="s">
        <v>70</v>
      </c>
      <c r="D103" s="4" t="s">
        <v>24</v>
      </c>
      <c r="E103" s="4" t="s">
        <v>261</v>
      </c>
      <c r="F103" s="4" t="s">
        <v>37</v>
      </c>
      <c r="G103" s="4"/>
      <c r="H103" s="4" t="s">
        <v>38</v>
      </c>
      <c r="I103" s="4"/>
      <c r="J103" s="4">
        <v>2</v>
      </c>
      <c r="K103" s="4">
        <v>1</v>
      </c>
      <c r="L103" s="4">
        <v>1</v>
      </c>
      <c r="M103" s="4"/>
      <c r="N103" s="4" t="s">
        <v>33</v>
      </c>
      <c r="O103" s="4"/>
      <c r="P103" s="4" t="s">
        <v>45</v>
      </c>
      <c r="Q103" s="4"/>
      <c r="R103" s="4" t="s">
        <v>46</v>
      </c>
      <c r="S103" s="4" t="s">
        <v>40</v>
      </c>
      <c r="T103" s="4" t="s">
        <v>41</v>
      </c>
      <c r="U103" s="6" t="s">
        <v>262</v>
      </c>
      <c r="V103" s="4"/>
    </row>
    <row r="104" spans="1:22" ht="63.75" x14ac:dyDescent="0.2">
      <c r="A104" s="3">
        <v>41752.331875000003</v>
      </c>
      <c r="B104" s="4" t="s">
        <v>61</v>
      </c>
      <c r="C104" s="4" t="s">
        <v>23</v>
      </c>
      <c r="D104" s="4" t="s">
        <v>62</v>
      </c>
      <c r="E104" s="4"/>
      <c r="F104" s="4" t="s">
        <v>37</v>
      </c>
      <c r="G104" s="4"/>
      <c r="H104" s="4" t="s">
        <v>38</v>
      </c>
      <c r="I104" s="4"/>
      <c r="J104" s="4">
        <v>3</v>
      </c>
      <c r="K104" s="4">
        <v>2</v>
      </c>
      <c r="L104" s="4">
        <v>1</v>
      </c>
      <c r="M104" s="4"/>
      <c r="N104" s="4" t="s">
        <v>33</v>
      </c>
      <c r="O104" s="4"/>
      <c r="P104" s="4" t="s">
        <v>45</v>
      </c>
      <c r="Q104" s="4"/>
      <c r="R104" s="4" t="s">
        <v>183</v>
      </c>
      <c r="S104" s="4" t="s">
        <v>59</v>
      </c>
      <c r="T104" s="4" t="s">
        <v>41</v>
      </c>
      <c r="U104" s="6" t="s">
        <v>263</v>
      </c>
      <c r="V104" s="4" t="s">
        <v>264</v>
      </c>
    </row>
    <row r="105" spans="1:22" ht="76.5" x14ac:dyDescent="0.2">
      <c r="A105" s="3">
        <v>41752.346631944398</v>
      </c>
      <c r="B105" s="4" t="s">
        <v>68</v>
      </c>
      <c r="C105" s="4" t="s">
        <v>23</v>
      </c>
      <c r="D105" s="4" t="s">
        <v>62</v>
      </c>
      <c r="E105" s="4"/>
      <c r="F105" s="4"/>
      <c r="G105" s="4"/>
      <c r="H105" s="4" t="s">
        <v>38</v>
      </c>
      <c r="I105" s="4"/>
      <c r="J105" s="4">
        <v>5</v>
      </c>
      <c r="K105" s="4">
        <v>2</v>
      </c>
      <c r="L105" s="4">
        <v>5</v>
      </c>
      <c r="M105" s="4"/>
      <c r="N105" s="4" t="s">
        <v>33</v>
      </c>
      <c r="O105" s="4"/>
      <c r="P105" s="4" t="s">
        <v>45</v>
      </c>
      <c r="Q105" s="4"/>
      <c r="R105" s="6" t="s">
        <v>265</v>
      </c>
      <c r="S105" s="4" t="s">
        <v>59</v>
      </c>
      <c r="T105" s="4" t="s">
        <v>33</v>
      </c>
      <c r="U105" s="4"/>
      <c r="V105" s="4"/>
    </row>
    <row r="106" spans="1:22" ht="63.75" x14ac:dyDescent="0.2">
      <c r="A106" s="3">
        <v>41752.361608796302</v>
      </c>
      <c r="B106" s="4" t="s">
        <v>266</v>
      </c>
      <c r="C106" s="4" t="s">
        <v>23</v>
      </c>
      <c r="D106" s="4" t="s">
        <v>62</v>
      </c>
      <c r="E106" s="4"/>
      <c r="F106" s="4" t="s">
        <v>37</v>
      </c>
      <c r="G106" s="4"/>
      <c r="H106" s="4" t="s">
        <v>38</v>
      </c>
      <c r="I106" s="4"/>
      <c r="J106" s="4">
        <v>2</v>
      </c>
      <c r="K106" s="4">
        <v>1</v>
      </c>
      <c r="L106" s="4">
        <v>1</v>
      </c>
      <c r="M106" s="4"/>
      <c r="N106" s="4" t="s">
        <v>33</v>
      </c>
      <c r="O106" s="4"/>
      <c r="P106" s="4" t="s">
        <v>30</v>
      </c>
      <c r="Q106" s="4"/>
      <c r="R106" s="4" t="s">
        <v>39</v>
      </c>
      <c r="S106" s="4" t="s">
        <v>59</v>
      </c>
      <c r="T106" s="4" t="s">
        <v>33</v>
      </c>
      <c r="U106" s="4"/>
      <c r="V106" s="4" t="s">
        <v>267</v>
      </c>
    </row>
    <row r="107" spans="1:22" ht="63.75" x14ac:dyDescent="0.2">
      <c r="A107" s="3">
        <v>41752.365474537</v>
      </c>
      <c r="B107" s="4" t="s">
        <v>268</v>
      </c>
      <c r="C107" s="4" t="s">
        <v>53</v>
      </c>
      <c r="D107" s="4" t="s">
        <v>62</v>
      </c>
      <c r="E107" s="4"/>
      <c r="F107" s="4" t="s">
        <v>37</v>
      </c>
      <c r="G107" s="4"/>
      <c r="H107" s="4" t="s">
        <v>38</v>
      </c>
      <c r="I107" s="4"/>
      <c r="J107" s="4">
        <v>3</v>
      </c>
      <c r="K107" s="4">
        <v>2</v>
      </c>
      <c r="L107" s="4">
        <v>1</v>
      </c>
      <c r="M107" s="4"/>
      <c r="N107" s="4" t="s">
        <v>33</v>
      </c>
      <c r="O107" s="4"/>
      <c r="P107" s="4" t="s">
        <v>45</v>
      </c>
      <c r="Q107" s="4"/>
      <c r="R107" s="4" t="s">
        <v>39</v>
      </c>
      <c r="S107" s="4" t="s">
        <v>59</v>
      </c>
      <c r="T107" s="4" t="s">
        <v>33</v>
      </c>
      <c r="U107" s="4"/>
      <c r="V107" s="4" t="s">
        <v>269</v>
      </c>
    </row>
    <row r="108" spans="1:22" ht="76.5" x14ac:dyDescent="0.2">
      <c r="A108" s="3">
        <v>41752.381828703699</v>
      </c>
      <c r="B108" s="4" t="s">
        <v>68</v>
      </c>
      <c r="C108" s="4" t="s">
        <v>53</v>
      </c>
      <c r="D108" s="4" t="s">
        <v>62</v>
      </c>
      <c r="E108" s="4"/>
      <c r="F108" s="4" t="s">
        <v>37</v>
      </c>
      <c r="G108" s="4"/>
      <c r="H108" s="4" t="s">
        <v>38</v>
      </c>
      <c r="I108" s="4"/>
      <c r="J108" s="4">
        <v>1</v>
      </c>
      <c r="K108" s="4">
        <v>1</v>
      </c>
      <c r="L108" s="4">
        <v>1</v>
      </c>
      <c r="M108" s="4"/>
      <c r="N108" s="4"/>
      <c r="O108" s="4"/>
      <c r="P108" s="4" t="s">
        <v>30</v>
      </c>
      <c r="Q108" s="4"/>
      <c r="R108" s="4" t="s">
        <v>39</v>
      </c>
      <c r="S108" s="4" t="s">
        <v>40</v>
      </c>
      <c r="T108" s="4" t="s">
        <v>33</v>
      </c>
      <c r="U108" s="4"/>
      <c r="V108" s="4"/>
    </row>
    <row r="109" spans="1:22" ht="63.75" x14ac:dyDescent="0.2">
      <c r="A109" s="3">
        <v>41752.396261574097</v>
      </c>
      <c r="B109" s="4" t="s">
        <v>270</v>
      </c>
      <c r="C109" s="4"/>
      <c r="D109" s="4" t="s">
        <v>50</v>
      </c>
      <c r="E109" s="4" t="s">
        <v>271</v>
      </c>
      <c r="F109" s="4" t="s">
        <v>37</v>
      </c>
      <c r="G109" s="4"/>
      <c r="H109" s="4" t="s">
        <v>56</v>
      </c>
      <c r="I109" s="4"/>
      <c r="J109" s="4">
        <v>3</v>
      </c>
      <c r="K109" s="4">
        <v>3</v>
      </c>
      <c r="L109" s="4">
        <v>2</v>
      </c>
      <c r="M109" s="4"/>
      <c r="N109" s="4" t="s">
        <v>33</v>
      </c>
      <c r="O109" s="4"/>
      <c r="P109" s="4" t="s">
        <v>30</v>
      </c>
      <c r="Q109" s="4"/>
      <c r="R109" s="4" t="s">
        <v>39</v>
      </c>
      <c r="S109" s="4" t="s">
        <v>59</v>
      </c>
      <c r="T109" s="4" t="s">
        <v>33</v>
      </c>
      <c r="U109" s="4"/>
      <c r="V109" s="4"/>
    </row>
    <row r="110" spans="1:22" ht="140.25" x14ac:dyDescent="0.2">
      <c r="A110" s="3">
        <v>41752.424884259301</v>
      </c>
      <c r="B110" s="4" t="s">
        <v>61</v>
      </c>
      <c r="C110" s="4" t="s">
        <v>70</v>
      </c>
      <c r="D110" s="4" t="s">
        <v>62</v>
      </c>
      <c r="E110" s="4"/>
      <c r="F110" s="4" t="s">
        <v>63</v>
      </c>
      <c r="G110" s="4"/>
      <c r="H110" s="4" t="s">
        <v>38</v>
      </c>
      <c r="I110" s="4"/>
      <c r="J110" s="4">
        <v>3</v>
      </c>
      <c r="K110" s="4">
        <v>1</v>
      </c>
      <c r="L110" s="4">
        <v>3</v>
      </c>
      <c r="M110" s="4"/>
      <c r="N110" s="4" t="s">
        <v>33</v>
      </c>
      <c r="O110" s="4"/>
      <c r="P110" s="4" t="s">
        <v>45</v>
      </c>
      <c r="Q110" s="4"/>
      <c r="R110" s="6" t="s">
        <v>94</v>
      </c>
      <c r="S110" s="4" t="s">
        <v>40</v>
      </c>
      <c r="T110" s="4" t="s">
        <v>41</v>
      </c>
      <c r="U110" s="4"/>
      <c r="V110" s="4"/>
    </row>
    <row r="111" spans="1:22" ht="63.75" x14ac:dyDescent="0.2">
      <c r="A111" s="3">
        <v>41752.427604166704</v>
      </c>
      <c r="B111" s="4" t="s">
        <v>52</v>
      </c>
      <c r="C111" s="4" t="s">
        <v>53</v>
      </c>
      <c r="D111" s="4" t="s">
        <v>24</v>
      </c>
      <c r="E111" s="4" t="s">
        <v>272</v>
      </c>
      <c r="F111" s="4" t="s">
        <v>37</v>
      </c>
      <c r="G111" s="4"/>
      <c r="H111" s="4" t="s">
        <v>56</v>
      </c>
      <c r="I111" s="4"/>
      <c r="J111" s="4">
        <v>2</v>
      </c>
      <c r="K111" s="4">
        <v>4</v>
      </c>
      <c r="L111" s="4">
        <v>1</v>
      </c>
      <c r="M111" s="4"/>
      <c r="N111" s="4" t="s">
        <v>33</v>
      </c>
      <c r="O111" s="4"/>
      <c r="P111" s="4" t="s">
        <v>30</v>
      </c>
      <c r="Q111" s="4"/>
      <c r="R111" s="4" t="s">
        <v>39</v>
      </c>
      <c r="S111" s="4" t="s">
        <v>59</v>
      </c>
      <c r="T111" s="4" t="s">
        <v>41</v>
      </c>
      <c r="U111" s="4"/>
      <c r="V111" s="4"/>
    </row>
    <row r="112" spans="1:22" ht="51" x14ac:dyDescent="0.2">
      <c r="A112" s="3">
        <v>41752.4266319444</v>
      </c>
      <c r="B112" s="4" t="s">
        <v>34</v>
      </c>
      <c r="C112" s="4" t="s">
        <v>23</v>
      </c>
      <c r="D112" s="4" t="s">
        <v>50</v>
      </c>
      <c r="E112" s="4" t="s">
        <v>273</v>
      </c>
      <c r="F112" s="4" t="s">
        <v>37</v>
      </c>
      <c r="G112" s="4"/>
      <c r="H112" s="4" t="s">
        <v>38</v>
      </c>
      <c r="I112" s="4"/>
      <c r="J112" s="4">
        <v>4</v>
      </c>
      <c r="K112" s="4">
        <v>2</v>
      </c>
      <c r="L112" s="4">
        <v>2</v>
      </c>
      <c r="M112" s="4"/>
      <c r="N112" s="4" t="s">
        <v>33</v>
      </c>
      <c r="O112" s="4"/>
      <c r="P112" s="4" t="s">
        <v>90</v>
      </c>
      <c r="Q112" s="4"/>
      <c r="R112" s="4" t="s">
        <v>121</v>
      </c>
      <c r="S112" s="4" t="s">
        <v>32</v>
      </c>
      <c r="T112" s="4" t="s">
        <v>41</v>
      </c>
      <c r="U112" s="4"/>
      <c r="V112" s="4"/>
    </row>
    <row r="113" spans="1:22" ht="63.75" x14ac:dyDescent="0.2">
      <c r="A113" s="3">
        <v>41752.423125000001</v>
      </c>
      <c r="B113" s="4" t="s">
        <v>175</v>
      </c>
      <c r="C113" s="4" t="s">
        <v>70</v>
      </c>
      <c r="D113" s="4" t="s">
        <v>24</v>
      </c>
      <c r="E113" s="4" t="s">
        <v>274</v>
      </c>
      <c r="F113" s="4" t="s">
        <v>37</v>
      </c>
      <c r="G113" s="4"/>
      <c r="H113" s="4" t="s">
        <v>56</v>
      </c>
      <c r="I113" s="4"/>
      <c r="J113" s="4">
        <v>3</v>
      </c>
      <c r="K113" s="4">
        <v>2</v>
      </c>
      <c r="L113" s="4">
        <v>1</v>
      </c>
      <c r="M113" s="4"/>
      <c r="N113" s="4" t="s">
        <v>33</v>
      </c>
      <c r="O113" s="4"/>
      <c r="P113" s="4" t="s">
        <v>30</v>
      </c>
      <c r="Q113" s="4"/>
      <c r="R113" s="6" t="s">
        <v>275</v>
      </c>
      <c r="S113" s="4" t="s">
        <v>59</v>
      </c>
      <c r="T113" s="4" t="s">
        <v>33</v>
      </c>
      <c r="U113" s="4"/>
      <c r="V113" s="4"/>
    </row>
    <row r="114" spans="1:22" ht="76.5" x14ac:dyDescent="0.2">
      <c r="A114" s="3">
        <v>41752.503518518497</v>
      </c>
      <c r="B114" s="4" t="s">
        <v>276</v>
      </c>
      <c r="C114" s="4" t="s">
        <v>70</v>
      </c>
      <c r="D114" s="4" t="s">
        <v>50</v>
      </c>
      <c r="E114" s="4" t="s">
        <v>277</v>
      </c>
      <c r="F114" s="4" t="s">
        <v>37</v>
      </c>
      <c r="G114" s="4"/>
      <c r="H114" s="4" t="s">
        <v>56</v>
      </c>
      <c r="I114" s="4"/>
      <c r="J114" s="4">
        <v>3</v>
      </c>
      <c r="K114" s="4">
        <v>2</v>
      </c>
      <c r="L114" s="4">
        <v>1</v>
      </c>
      <c r="M114" s="4"/>
      <c r="N114" s="4" t="s">
        <v>33</v>
      </c>
      <c r="O114" s="4"/>
      <c r="P114" s="4" t="s">
        <v>30</v>
      </c>
      <c r="Q114" s="4"/>
      <c r="R114" s="6" t="s">
        <v>278</v>
      </c>
      <c r="S114" s="4" t="s">
        <v>59</v>
      </c>
      <c r="T114" s="4" t="s">
        <v>33</v>
      </c>
      <c r="U114" s="4"/>
      <c r="V114" s="4" t="s">
        <v>279</v>
      </c>
    </row>
    <row r="115" spans="1:22" ht="63.75" x14ac:dyDescent="0.2">
      <c r="A115" s="3">
        <v>41752.535243055601</v>
      </c>
      <c r="B115" s="4" t="s">
        <v>197</v>
      </c>
      <c r="C115" s="4" t="s">
        <v>49</v>
      </c>
      <c r="D115" s="4" t="s">
        <v>62</v>
      </c>
      <c r="E115" s="4"/>
      <c r="F115" s="4" t="s">
        <v>37</v>
      </c>
      <c r="G115" s="4"/>
      <c r="H115" s="4" t="s">
        <v>38</v>
      </c>
      <c r="I115" s="4"/>
      <c r="J115" s="4">
        <v>3</v>
      </c>
      <c r="K115" s="4">
        <v>2</v>
      </c>
      <c r="L115" s="4">
        <v>1</v>
      </c>
      <c r="M115" s="4"/>
      <c r="N115" s="4" t="s">
        <v>33</v>
      </c>
      <c r="O115" s="4"/>
      <c r="P115" s="4" t="s">
        <v>30</v>
      </c>
      <c r="Q115" s="4"/>
      <c r="R115" s="4" t="s">
        <v>112</v>
      </c>
      <c r="S115" s="4" t="s">
        <v>59</v>
      </c>
      <c r="T115" s="4" t="s">
        <v>33</v>
      </c>
      <c r="U115" s="4"/>
      <c r="V115" s="4" t="s">
        <v>280</v>
      </c>
    </row>
    <row r="116" spans="1:22" ht="102" x14ac:dyDescent="0.2">
      <c r="A116" s="3">
        <v>41752.550000000003</v>
      </c>
      <c r="B116" s="4" t="s">
        <v>281</v>
      </c>
      <c r="C116" s="4" t="s">
        <v>70</v>
      </c>
      <c r="D116" s="4" t="s">
        <v>50</v>
      </c>
      <c r="E116" s="4"/>
      <c r="F116" s="4" t="s">
        <v>37</v>
      </c>
      <c r="G116" s="4"/>
      <c r="H116" s="4" t="s">
        <v>38</v>
      </c>
      <c r="I116" s="4"/>
      <c r="J116" s="4">
        <v>5</v>
      </c>
      <c r="K116" s="4">
        <v>2</v>
      </c>
      <c r="L116" s="4">
        <v>1</v>
      </c>
      <c r="M116" s="4"/>
      <c r="N116" s="4" t="s">
        <v>33</v>
      </c>
      <c r="O116" s="4"/>
      <c r="P116" s="4" t="s">
        <v>45</v>
      </c>
      <c r="Q116" s="4"/>
      <c r="R116" s="6" t="s">
        <v>282</v>
      </c>
      <c r="S116" s="4" t="s">
        <v>40</v>
      </c>
      <c r="T116" s="4" t="s">
        <v>41</v>
      </c>
      <c r="U116" s="4"/>
      <c r="V116" s="4"/>
    </row>
    <row r="117" spans="1:22" ht="140.25" x14ac:dyDescent="0.2">
      <c r="A117" s="3">
        <v>41752.5630439815</v>
      </c>
      <c r="B117" s="4" t="s">
        <v>61</v>
      </c>
      <c r="C117" s="4" t="s">
        <v>70</v>
      </c>
      <c r="D117" s="4" t="s">
        <v>50</v>
      </c>
      <c r="E117" s="4" t="s">
        <v>283</v>
      </c>
      <c r="F117" s="4" t="s">
        <v>63</v>
      </c>
      <c r="G117" s="4" t="s">
        <v>284</v>
      </c>
      <c r="H117" s="4" t="s">
        <v>38</v>
      </c>
      <c r="I117" s="4"/>
      <c r="J117" s="4">
        <v>1</v>
      </c>
      <c r="K117" s="4">
        <v>1</v>
      </c>
      <c r="L117" s="4">
        <v>1</v>
      </c>
      <c r="M117" s="4"/>
      <c r="N117" s="4" t="s">
        <v>33</v>
      </c>
      <c r="O117" s="4"/>
      <c r="P117" s="4" t="s">
        <v>45</v>
      </c>
      <c r="Q117" s="4"/>
      <c r="R117" s="4" t="s">
        <v>160</v>
      </c>
      <c r="S117" s="4" t="s">
        <v>40</v>
      </c>
      <c r="T117" s="4" t="s">
        <v>33</v>
      </c>
      <c r="U117" s="4"/>
      <c r="V117" s="4"/>
    </row>
    <row r="118" spans="1:22" ht="63.75" x14ac:dyDescent="0.2">
      <c r="A118" s="3">
        <v>41752.5859375</v>
      </c>
      <c r="B118" s="4" t="s">
        <v>61</v>
      </c>
      <c r="C118" s="4" t="s">
        <v>70</v>
      </c>
      <c r="D118" s="4" t="s">
        <v>50</v>
      </c>
      <c r="E118" s="4" t="s">
        <v>285</v>
      </c>
      <c r="F118" s="4" t="s">
        <v>37</v>
      </c>
      <c r="G118" s="4"/>
      <c r="H118" s="4" t="s">
        <v>38</v>
      </c>
      <c r="I118" s="4"/>
      <c r="J118" s="4">
        <v>2</v>
      </c>
      <c r="K118" s="4">
        <v>1</v>
      </c>
      <c r="L118" s="4">
        <v>2</v>
      </c>
      <c r="M118" s="4"/>
      <c r="N118" s="4" t="s">
        <v>33</v>
      </c>
      <c r="O118" s="4"/>
      <c r="P118" s="4" t="s">
        <v>90</v>
      </c>
      <c r="Q118" s="4"/>
      <c r="R118" s="4" t="s">
        <v>112</v>
      </c>
      <c r="S118" s="4" t="s">
        <v>59</v>
      </c>
      <c r="T118" s="4" t="s">
        <v>33</v>
      </c>
      <c r="U118" s="4"/>
      <c r="V118" s="4"/>
    </row>
    <row r="119" spans="1:22" ht="140.25" x14ac:dyDescent="0.2">
      <c r="A119" s="3">
        <v>41752.591238425899</v>
      </c>
      <c r="B119" s="4" t="s">
        <v>286</v>
      </c>
      <c r="C119" s="4" t="s">
        <v>53</v>
      </c>
      <c r="D119" s="4" t="s">
        <v>62</v>
      </c>
      <c r="E119" s="4"/>
      <c r="F119" s="4" t="s">
        <v>63</v>
      </c>
      <c r="G119" s="4" t="s">
        <v>287</v>
      </c>
      <c r="H119" s="4" t="s">
        <v>38</v>
      </c>
      <c r="I119" s="4"/>
      <c r="J119" s="4"/>
      <c r="K119" s="4"/>
      <c r="L119" s="4">
        <v>1</v>
      </c>
      <c r="M119" s="4"/>
      <c r="N119" s="4" t="s">
        <v>33</v>
      </c>
      <c r="O119" s="4"/>
      <c r="P119" s="4" t="s">
        <v>45</v>
      </c>
      <c r="Q119" s="4"/>
      <c r="R119" s="4"/>
      <c r="S119" s="4" t="s">
        <v>40</v>
      </c>
      <c r="T119" s="4" t="s">
        <v>33</v>
      </c>
      <c r="U119" s="4"/>
      <c r="V119" s="4" t="s">
        <v>288</v>
      </c>
    </row>
    <row r="120" spans="1:22" ht="63.75" x14ac:dyDescent="0.2">
      <c r="A120" s="3">
        <v>41752.629120370402</v>
      </c>
      <c r="B120" s="4" t="s">
        <v>68</v>
      </c>
      <c r="C120" s="4" t="s">
        <v>49</v>
      </c>
      <c r="D120" s="4" t="s">
        <v>36</v>
      </c>
      <c r="E120" s="4"/>
      <c r="F120" s="4" t="s">
        <v>37</v>
      </c>
      <c r="G120" s="4"/>
      <c r="H120" s="4" t="s">
        <v>28</v>
      </c>
      <c r="I120" s="4"/>
      <c r="J120" s="4">
        <v>5</v>
      </c>
      <c r="K120" s="4">
        <v>4</v>
      </c>
      <c r="L120" s="4">
        <v>3</v>
      </c>
      <c r="M120" s="4"/>
      <c r="N120" s="4" t="s">
        <v>33</v>
      </c>
      <c r="O120" s="4"/>
      <c r="P120" s="4" t="s">
        <v>90</v>
      </c>
      <c r="Q120" s="4" t="s">
        <v>289</v>
      </c>
      <c r="R120" s="4" t="s">
        <v>202</v>
      </c>
      <c r="S120" s="4" t="s">
        <v>59</v>
      </c>
      <c r="T120" s="4" t="s">
        <v>41</v>
      </c>
      <c r="U120" s="6" t="s">
        <v>290</v>
      </c>
      <c r="V120" s="4" t="s">
        <v>291</v>
      </c>
    </row>
    <row r="121" spans="1:22" ht="102" x14ac:dyDescent="0.2">
      <c r="A121" s="3">
        <v>41752.687129629601</v>
      </c>
      <c r="B121" s="4" t="s">
        <v>68</v>
      </c>
      <c r="C121" s="4" t="s">
        <v>23</v>
      </c>
      <c r="D121" s="4" t="s">
        <v>50</v>
      </c>
      <c r="E121" s="4" t="s">
        <v>292</v>
      </c>
      <c r="F121" s="4" t="s">
        <v>37</v>
      </c>
      <c r="G121" s="4"/>
      <c r="H121" s="4" t="s">
        <v>38</v>
      </c>
      <c r="I121" s="4"/>
      <c r="J121" s="4">
        <v>3</v>
      </c>
      <c r="K121" s="4">
        <v>2</v>
      </c>
      <c r="L121" s="4">
        <v>1</v>
      </c>
      <c r="M121" s="4"/>
      <c r="N121" s="4" t="s">
        <v>33</v>
      </c>
      <c r="O121" s="4"/>
      <c r="P121" s="4" t="s">
        <v>30</v>
      </c>
      <c r="Q121" s="4"/>
      <c r="R121" s="4" t="s">
        <v>282</v>
      </c>
      <c r="S121" s="4" t="s">
        <v>32</v>
      </c>
      <c r="T121" s="4" t="s">
        <v>33</v>
      </c>
      <c r="U121" s="4"/>
      <c r="V121" s="4"/>
    </row>
    <row r="122" spans="1:22" ht="102" x14ac:dyDescent="0.2">
      <c r="A122" s="3">
        <v>41752.704166666699</v>
      </c>
      <c r="B122" s="4" t="s">
        <v>152</v>
      </c>
      <c r="C122" s="4" t="s">
        <v>53</v>
      </c>
      <c r="D122" s="4" t="s">
        <v>24</v>
      </c>
      <c r="E122" s="4" t="s">
        <v>293</v>
      </c>
      <c r="F122" s="4" t="s">
        <v>37</v>
      </c>
      <c r="G122" s="4"/>
      <c r="H122" s="4" t="s">
        <v>38</v>
      </c>
      <c r="I122" s="4"/>
      <c r="J122" s="4">
        <v>3</v>
      </c>
      <c r="K122" s="4">
        <v>4</v>
      </c>
      <c r="L122" s="4">
        <v>5</v>
      </c>
      <c r="M122" s="4"/>
      <c r="N122" s="4" t="s">
        <v>33</v>
      </c>
      <c r="O122" s="4"/>
      <c r="P122" s="4" t="s">
        <v>30</v>
      </c>
      <c r="Q122" s="4"/>
      <c r="R122" s="4" t="s">
        <v>46</v>
      </c>
      <c r="S122" s="4" t="s">
        <v>59</v>
      </c>
      <c r="T122" s="4" t="s">
        <v>33</v>
      </c>
      <c r="U122" s="4"/>
      <c r="V122" s="4" t="s">
        <v>294</v>
      </c>
    </row>
    <row r="123" spans="1:22" ht="63.75" x14ac:dyDescent="0.2">
      <c r="A123" s="3">
        <v>41752.973113425898</v>
      </c>
      <c r="B123" s="4" t="s">
        <v>22</v>
      </c>
      <c r="C123" s="4" t="s">
        <v>35</v>
      </c>
      <c r="D123" s="4" t="s">
        <v>36</v>
      </c>
      <c r="E123" s="4"/>
      <c r="F123" s="4" t="s">
        <v>37</v>
      </c>
      <c r="G123" s="4"/>
      <c r="H123" s="4" t="s">
        <v>38</v>
      </c>
      <c r="I123" s="4"/>
      <c r="J123" s="4">
        <v>4</v>
      </c>
      <c r="K123" s="4">
        <v>2</v>
      </c>
      <c r="L123" s="4">
        <v>2</v>
      </c>
      <c r="M123" s="4"/>
      <c r="N123" s="4" t="s">
        <v>33</v>
      </c>
      <c r="O123" s="4"/>
      <c r="P123" s="4" t="s">
        <v>45</v>
      </c>
      <c r="Q123" s="4"/>
      <c r="R123" s="4" t="s">
        <v>39</v>
      </c>
      <c r="S123" s="4" t="s">
        <v>59</v>
      </c>
      <c r="T123" s="4" t="s">
        <v>33</v>
      </c>
      <c r="U123" s="4"/>
      <c r="V123" s="4" t="s">
        <v>295</v>
      </c>
    </row>
    <row r="124" spans="1:22" ht="127.5" x14ac:dyDescent="0.2">
      <c r="A124" s="3">
        <v>41752.881620370397</v>
      </c>
      <c r="B124" s="4" t="s">
        <v>68</v>
      </c>
      <c r="C124" s="4" t="s">
        <v>35</v>
      </c>
      <c r="D124" s="4" t="s">
        <v>58</v>
      </c>
      <c r="E124" s="4"/>
      <c r="F124" s="4" t="s">
        <v>37</v>
      </c>
      <c r="G124" s="4"/>
      <c r="H124" s="4" t="s">
        <v>28</v>
      </c>
      <c r="I124" s="4"/>
      <c r="J124" s="4">
        <v>5</v>
      </c>
      <c r="K124" s="4">
        <v>1</v>
      </c>
      <c r="L124" s="4">
        <v>1</v>
      </c>
      <c r="M124" s="4"/>
      <c r="N124" s="4" t="s">
        <v>98</v>
      </c>
      <c r="O124" s="4" t="s">
        <v>296</v>
      </c>
      <c r="P124" s="4" t="s">
        <v>90</v>
      </c>
      <c r="Q124" s="4"/>
      <c r="R124" s="6" t="s">
        <v>297</v>
      </c>
      <c r="S124" s="4" t="s">
        <v>32</v>
      </c>
      <c r="T124" s="4" t="s">
        <v>41</v>
      </c>
      <c r="U124" s="4" t="s">
        <v>298</v>
      </c>
      <c r="V124" s="4"/>
    </row>
    <row r="125" spans="1:22" ht="318.75" x14ac:dyDescent="0.2">
      <c r="A125" s="3">
        <v>41753.460069444402</v>
      </c>
      <c r="B125" s="6" t="s">
        <v>137</v>
      </c>
      <c r="C125" s="4" t="s">
        <v>70</v>
      </c>
      <c r="D125" s="4" t="s">
        <v>36</v>
      </c>
      <c r="E125" s="4" t="s">
        <v>299</v>
      </c>
      <c r="F125" s="4"/>
      <c r="G125" s="4"/>
      <c r="H125" s="4"/>
      <c r="I125" s="4"/>
      <c r="J125" s="4"/>
      <c r="K125" s="4">
        <v>1</v>
      </c>
      <c r="L125" s="4">
        <v>2</v>
      </c>
      <c r="M125" s="4"/>
      <c r="N125" s="4"/>
      <c r="O125" s="4"/>
      <c r="P125" s="4" t="s">
        <v>90</v>
      </c>
      <c r="Q125" s="4" t="s">
        <v>300</v>
      </c>
      <c r="R125" s="4" t="s">
        <v>112</v>
      </c>
      <c r="S125" s="4" t="s">
        <v>40</v>
      </c>
      <c r="T125" s="4"/>
      <c r="U125" s="4"/>
      <c r="V125" s="4"/>
    </row>
    <row r="126" spans="1:22" ht="63.75" x14ac:dyDescent="0.2">
      <c r="A126" s="3">
        <v>41753.913263888899</v>
      </c>
      <c r="B126" s="4" t="s">
        <v>301</v>
      </c>
      <c r="C126" s="4" t="s">
        <v>49</v>
      </c>
      <c r="D126" s="4" t="s">
        <v>62</v>
      </c>
      <c r="E126" s="4"/>
      <c r="F126" s="4" t="s">
        <v>37</v>
      </c>
      <c r="G126" s="4"/>
      <c r="H126" s="4" t="s">
        <v>38</v>
      </c>
      <c r="I126" s="4"/>
      <c r="J126" s="4">
        <v>5</v>
      </c>
      <c r="K126" s="4">
        <v>3</v>
      </c>
      <c r="L126" s="4">
        <v>1</v>
      </c>
      <c r="M126" s="4"/>
      <c r="N126" s="4" t="s">
        <v>33</v>
      </c>
      <c r="O126" s="4"/>
      <c r="P126" s="4" t="s">
        <v>45</v>
      </c>
      <c r="Q126" s="4"/>
      <c r="R126" s="4" t="s">
        <v>160</v>
      </c>
      <c r="S126" s="4" t="s">
        <v>59</v>
      </c>
      <c r="T126" s="4" t="s">
        <v>41</v>
      </c>
      <c r="U126" s="4"/>
      <c r="V126" s="4"/>
    </row>
    <row r="127" spans="1:22" ht="76.5" x14ac:dyDescent="0.2">
      <c r="A127" s="3">
        <v>41754.396979166697</v>
      </c>
      <c r="B127" s="4" t="s">
        <v>302</v>
      </c>
      <c r="C127" s="4" t="s">
        <v>49</v>
      </c>
      <c r="D127" s="4" t="s">
        <v>24</v>
      </c>
      <c r="E127" s="4"/>
      <c r="F127" s="4" t="s">
        <v>37</v>
      </c>
      <c r="G127" s="4"/>
      <c r="H127" s="4" t="s">
        <v>38</v>
      </c>
      <c r="I127" s="4"/>
      <c r="J127" s="4">
        <v>2</v>
      </c>
      <c r="K127" s="4">
        <v>1</v>
      </c>
      <c r="L127" s="4">
        <v>1</v>
      </c>
      <c r="M127" s="4"/>
      <c r="N127" s="4" t="s">
        <v>29</v>
      </c>
      <c r="O127" s="4"/>
      <c r="P127" s="4" t="s">
        <v>30</v>
      </c>
      <c r="Q127" s="4"/>
      <c r="R127" s="4" t="s">
        <v>72</v>
      </c>
      <c r="S127" s="4" t="s">
        <v>59</v>
      </c>
      <c r="T127" s="4" t="s">
        <v>41</v>
      </c>
      <c r="U127" s="4"/>
      <c r="V127" s="4"/>
    </row>
    <row r="128" spans="1:22" ht="63.75" x14ac:dyDescent="0.2">
      <c r="A128" s="3">
        <v>41754.403321759302</v>
      </c>
      <c r="B128" s="4" t="s">
        <v>68</v>
      </c>
      <c r="C128" s="4" t="s">
        <v>53</v>
      </c>
      <c r="D128" s="4" t="s">
        <v>50</v>
      </c>
      <c r="E128" s="4" t="s">
        <v>303</v>
      </c>
      <c r="F128" s="4" t="s">
        <v>37</v>
      </c>
      <c r="G128" s="4"/>
      <c r="H128" s="4" t="s">
        <v>28</v>
      </c>
      <c r="I128" s="4" t="s">
        <v>304</v>
      </c>
      <c r="J128" s="4">
        <v>2</v>
      </c>
      <c r="K128" s="4">
        <v>2</v>
      </c>
      <c r="L128" s="4">
        <v>1</v>
      </c>
      <c r="M128" s="4"/>
      <c r="N128" s="4" t="s">
        <v>33</v>
      </c>
      <c r="O128" s="4"/>
      <c r="P128" s="4" t="s">
        <v>90</v>
      </c>
      <c r="Q128" s="4"/>
      <c r="R128" s="6" t="s">
        <v>111</v>
      </c>
      <c r="S128" s="4" t="s">
        <v>59</v>
      </c>
      <c r="T128" s="4" t="s">
        <v>41</v>
      </c>
      <c r="U128" s="4" t="s">
        <v>305</v>
      </c>
      <c r="V128" s="4"/>
    </row>
    <row r="129" spans="1:22" ht="114.75" x14ac:dyDescent="0.2">
      <c r="A129" s="3">
        <v>41754.4120833333</v>
      </c>
      <c r="B129" s="4" t="s">
        <v>61</v>
      </c>
      <c r="C129" s="4" t="s">
        <v>23</v>
      </c>
      <c r="D129" s="4" t="s">
        <v>24</v>
      </c>
      <c r="E129" s="4" t="s">
        <v>306</v>
      </c>
      <c r="F129" s="6" t="s">
        <v>26</v>
      </c>
      <c r="G129" s="6" t="s">
        <v>306</v>
      </c>
      <c r="H129" s="4" t="s">
        <v>38</v>
      </c>
      <c r="I129" s="4"/>
      <c r="J129" s="4">
        <v>1</v>
      </c>
      <c r="K129" s="4">
        <v>3</v>
      </c>
      <c r="L129" s="4">
        <v>1</v>
      </c>
      <c r="M129" s="4"/>
      <c r="N129" s="4" t="s">
        <v>33</v>
      </c>
      <c r="O129" s="4"/>
      <c r="P129" s="4" t="s">
        <v>30</v>
      </c>
      <c r="Q129" s="4"/>
      <c r="R129" s="4" t="s">
        <v>282</v>
      </c>
      <c r="S129" s="4" t="s">
        <v>59</v>
      </c>
      <c r="T129" s="4" t="s">
        <v>41</v>
      </c>
      <c r="U129" s="4"/>
      <c r="V129" s="4" t="s">
        <v>307</v>
      </c>
    </row>
    <row r="130" spans="1:22" ht="51" x14ac:dyDescent="0.2">
      <c r="A130" s="3">
        <v>41754.464375000003</v>
      </c>
      <c r="B130" s="4" t="s">
        <v>68</v>
      </c>
      <c r="C130" s="4" t="s">
        <v>53</v>
      </c>
      <c r="D130" s="4" t="s">
        <v>50</v>
      </c>
      <c r="E130" s="4" t="s">
        <v>308</v>
      </c>
      <c r="F130" s="4" t="s">
        <v>37</v>
      </c>
      <c r="G130" s="4"/>
      <c r="H130" s="4" t="s">
        <v>56</v>
      </c>
      <c r="I130" s="4"/>
      <c r="J130" s="4">
        <v>1</v>
      </c>
      <c r="K130" s="4">
        <v>1</v>
      </c>
      <c r="L130" s="4">
        <v>1</v>
      </c>
      <c r="M130" s="4"/>
      <c r="N130" s="4" t="s">
        <v>33</v>
      </c>
      <c r="O130" s="4"/>
      <c r="P130" s="4" t="s">
        <v>45</v>
      </c>
      <c r="Q130" s="4"/>
      <c r="R130" s="4" t="s">
        <v>39</v>
      </c>
      <c r="S130" s="4" t="s">
        <v>32</v>
      </c>
      <c r="T130" s="4" t="s">
        <v>41</v>
      </c>
      <c r="U130" s="4"/>
      <c r="V130" s="4" t="s">
        <v>309</v>
      </c>
    </row>
    <row r="131" spans="1:22" ht="76.5" x14ac:dyDescent="0.2">
      <c r="A131" s="3">
        <v>41754.500729166699</v>
      </c>
      <c r="B131" s="4" t="s">
        <v>48</v>
      </c>
      <c r="C131" s="4" t="s">
        <v>49</v>
      </c>
      <c r="D131" s="4" t="s">
        <v>50</v>
      </c>
      <c r="E131" s="4"/>
      <c r="F131" s="4" t="s">
        <v>37</v>
      </c>
      <c r="G131" s="4"/>
      <c r="H131" s="4" t="s">
        <v>28</v>
      </c>
      <c r="I131" s="4"/>
      <c r="J131" s="4">
        <v>3</v>
      </c>
      <c r="K131" s="4">
        <v>5</v>
      </c>
      <c r="L131" s="4">
        <v>1</v>
      </c>
      <c r="M131" s="4"/>
      <c r="N131" s="4" t="s">
        <v>33</v>
      </c>
      <c r="O131" s="4"/>
      <c r="P131" s="4" t="s">
        <v>90</v>
      </c>
      <c r="Q131" s="4"/>
      <c r="R131" s="6" t="s">
        <v>310</v>
      </c>
      <c r="S131" s="4" t="s">
        <v>59</v>
      </c>
      <c r="T131" s="4" t="s">
        <v>41</v>
      </c>
      <c r="U131" s="4"/>
      <c r="V131" s="4"/>
    </row>
    <row r="132" spans="1:22" ht="63.75" x14ac:dyDescent="0.2">
      <c r="A132" s="3">
        <v>41754.529282407399</v>
      </c>
      <c r="B132" s="4" t="s">
        <v>68</v>
      </c>
      <c r="C132" s="4" t="s">
        <v>35</v>
      </c>
      <c r="D132" s="4" t="s">
        <v>58</v>
      </c>
      <c r="E132" s="4"/>
      <c r="F132" s="4" t="s">
        <v>37</v>
      </c>
      <c r="G132" s="4"/>
      <c r="H132" s="4" t="s">
        <v>38</v>
      </c>
      <c r="I132" s="4"/>
      <c r="J132" s="4">
        <v>5</v>
      </c>
      <c r="K132" s="4">
        <v>2</v>
      </c>
      <c r="L132" s="4">
        <v>1</v>
      </c>
      <c r="M132" s="4"/>
      <c r="N132" s="4" t="s">
        <v>33</v>
      </c>
      <c r="O132" s="4"/>
      <c r="P132" s="4" t="s">
        <v>30</v>
      </c>
      <c r="Q132" s="4"/>
      <c r="R132" s="4" t="s">
        <v>39</v>
      </c>
      <c r="S132" s="4" t="s">
        <v>59</v>
      </c>
      <c r="T132" s="4" t="s">
        <v>33</v>
      </c>
      <c r="U132" s="4"/>
      <c r="V132" s="4"/>
    </row>
    <row r="133" spans="1:22" ht="51" x14ac:dyDescent="0.2">
      <c r="A133" s="3">
        <v>41754.542222222197</v>
      </c>
      <c r="B133" s="4" t="s">
        <v>68</v>
      </c>
      <c r="C133" s="4" t="s">
        <v>49</v>
      </c>
      <c r="D133" s="4" t="s">
        <v>24</v>
      </c>
      <c r="E133" s="4"/>
      <c r="F133" s="4" t="s">
        <v>37</v>
      </c>
      <c r="G133" s="4"/>
      <c r="H133" s="4" t="s">
        <v>38</v>
      </c>
      <c r="I133" s="4"/>
      <c r="J133" s="4"/>
      <c r="K133" s="4">
        <v>1</v>
      </c>
      <c r="L133" s="4">
        <v>1</v>
      </c>
      <c r="M133" s="4"/>
      <c r="N133" s="4" t="s">
        <v>33</v>
      </c>
      <c r="O133" s="4"/>
      <c r="P133" s="4" t="s">
        <v>45</v>
      </c>
      <c r="Q133" s="4"/>
      <c r="R133" s="4"/>
      <c r="S133" s="4" t="s">
        <v>32</v>
      </c>
      <c r="T133" s="4" t="s">
        <v>33</v>
      </c>
      <c r="U133" s="4"/>
      <c r="V133" s="4"/>
    </row>
    <row r="134" spans="1:22" ht="63.75" x14ac:dyDescent="0.2">
      <c r="A134" s="3">
        <v>41754.644479166702</v>
      </c>
      <c r="B134" s="4" t="s">
        <v>189</v>
      </c>
      <c r="C134" s="4" t="s">
        <v>70</v>
      </c>
      <c r="D134" s="4" t="s">
        <v>24</v>
      </c>
      <c r="E134" s="4" t="s">
        <v>311</v>
      </c>
      <c r="F134" s="4" t="s">
        <v>37</v>
      </c>
      <c r="G134" s="4"/>
      <c r="H134" s="4" t="s">
        <v>38</v>
      </c>
      <c r="I134" s="4"/>
      <c r="J134" s="4">
        <v>3</v>
      </c>
      <c r="K134" s="4">
        <v>2</v>
      </c>
      <c r="L134" s="4">
        <v>1</v>
      </c>
      <c r="M134" s="4"/>
      <c r="N134" s="4" t="s">
        <v>33</v>
      </c>
      <c r="O134" s="4"/>
      <c r="P134" s="4" t="s">
        <v>45</v>
      </c>
      <c r="Q134" s="4"/>
      <c r="R134" s="4" t="s">
        <v>39</v>
      </c>
      <c r="S134" s="4" t="s">
        <v>59</v>
      </c>
      <c r="T134" s="4" t="s">
        <v>41</v>
      </c>
      <c r="U134" s="4"/>
      <c r="V134" s="4"/>
    </row>
    <row r="135" spans="1:22" ht="63.75" x14ac:dyDescent="0.2">
      <c r="A135" s="3">
        <v>41754.6788310185</v>
      </c>
      <c r="B135" s="4" t="s">
        <v>34</v>
      </c>
      <c r="C135" s="4" t="s">
        <v>35</v>
      </c>
      <c r="D135" s="4" t="s">
        <v>58</v>
      </c>
      <c r="E135" s="4"/>
      <c r="F135" s="4" t="s">
        <v>37</v>
      </c>
      <c r="G135" s="4"/>
      <c r="H135" s="4" t="s">
        <v>38</v>
      </c>
      <c r="I135" s="4"/>
      <c r="J135" s="4"/>
      <c r="K135" s="4">
        <v>3</v>
      </c>
      <c r="L135" s="4">
        <v>3</v>
      </c>
      <c r="M135" s="4"/>
      <c r="N135" s="4" t="s">
        <v>33</v>
      </c>
      <c r="O135" s="4"/>
      <c r="P135" s="4" t="s">
        <v>90</v>
      </c>
      <c r="Q135" s="4"/>
      <c r="R135" s="6" t="s">
        <v>162</v>
      </c>
      <c r="S135" s="4" t="s">
        <v>59</v>
      </c>
      <c r="T135" s="4" t="s">
        <v>41</v>
      </c>
      <c r="U135" s="4"/>
      <c r="V135" s="4"/>
    </row>
    <row r="136" spans="1:22" ht="51" x14ac:dyDescent="0.2">
      <c r="A136" s="3">
        <v>41754.848252314798</v>
      </c>
      <c r="B136" s="4"/>
      <c r="C136" s="4" t="s">
        <v>35</v>
      </c>
      <c r="D136" s="4" t="s">
        <v>36</v>
      </c>
      <c r="E136" s="4"/>
      <c r="F136" s="4" t="s">
        <v>37</v>
      </c>
      <c r="G136" s="4"/>
      <c r="H136" s="4"/>
      <c r="I136" s="4"/>
      <c r="J136" s="4"/>
      <c r="K136" s="4"/>
      <c r="L136" s="4"/>
      <c r="M136" s="4"/>
      <c r="N136" s="4"/>
      <c r="O136" s="4"/>
      <c r="P136" s="4" t="s">
        <v>45</v>
      </c>
      <c r="Q136" s="4"/>
      <c r="R136" s="4"/>
      <c r="S136" s="4" t="s">
        <v>32</v>
      </c>
      <c r="T136" s="4" t="s">
        <v>41</v>
      </c>
      <c r="U136" s="4"/>
      <c r="V136" s="4" t="s">
        <v>312</v>
      </c>
    </row>
    <row r="137" spans="1:22" ht="331.5" x14ac:dyDescent="0.2">
      <c r="A137" s="3">
        <v>41757.414502314801</v>
      </c>
      <c r="B137" s="4" t="s">
        <v>313</v>
      </c>
      <c r="C137" s="4" t="s">
        <v>49</v>
      </c>
      <c r="D137" s="4" t="s">
        <v>24</v>
      </c>
      <c r="E137" s="4" t="s">
        <v>314</v>
      </c>
      <c r="F137" s="4" t="s">
        <v>37</v>
      </c>
      <c r="G137" s="4"/>
      <c r="H137" s="4" t="s">
        <v>28</v>
      </c>
      <c r="I137" s="4" t="s">
        <v>315</v>
      </c>
      <c r="J137" s="4">
        <v>5</v>
      </c>
      <c r="K137" s="4">
        <v>3</v>
      </c>
      <c r="L137" s="4">
        <v>1</v>
      </c>
      <c r="M137" s="4" t="s">
        <v>316</v>
      </c>
      <c r="N137" s="4" t="s">
        <v>180</v>
      </c>
      <c r="O137" s="4" t="s">
        <v>317</v>
      </c>
      <c r="P137" s="4" t="s">
        <v>90</v>
      </c>
      <c r="Q137" s="4" t="s">
        <v>318</v>
      </c>
      <c r="R137" s="4" t="s">
        <v>310</v>
      </c>
      <c r="S137" s="4" t="s">
        <v>32</v>
      </c>
      <c r="T137" s="4" t="s">
        <v>41</v>
      </c>
      <c r="U137" s="6" t="s">
        <v>319</v>
      </c>
      <c r="V137" s="4"/>
    </row>
    <row r="138" spans="1:22" ht="114.75" x14ac:dyDescent="0.2">
      <c r="A138" s="3">
        <v>41757.507245370398</v>
      </c>
      <c r="B138" s="4" t="s">
        <v>48</v>
      </c>
      <c r="C138" s="4" t="s">
        <v>70</v>
      </c>
      <c r="D138" s="4" t="s">
        <v>50</v>
      </c>
      <c r="E138" s="4" t="s">
        <v>320</v>
      </c>
      <c r="F138" s="4" t="s">
        <v>26</v>
      </c>
      <c r="G138" s="4"/>
      <c r="H138" s="4" t="s">
        <v>38</v>
      </c>
      <c r="I138" s="4"/>
      <c r="J138" s="4">
        <v>3</v>
      </c>
      <c r="K138" s="4">
        <v>1</v>
      </c>
      <c r="L138" s="4">
        <v>2</v>
      </c>
      <c r="M138" s="4"/>
      <c r="N138" s="4" t="s">
        <v>33</v>
      </c>
      <c r="O138" s="4"/>
      <c r="P138" s="4" t="s">
        <v>30</v>
      </c>
      <c r="Q138" s="4"/>
      <c r="R138" s="4" t="s">
        <v>94</v>
      </c>
      <c r="S138" s="4" t="s">
        <v>40</v>
      </c>
      <c r="T138" s="4" t="s">
        <v>41</v>
      </c>
      <c r="U138" s="4"/>
      <c r="V138" s="4" t="s">
        <v>321</v>
      </c>
    </row>
    <row r="139" spans="1:22" ht="140.25" x14ac:dyDescent="0.2">
      <c r="A139" s="3">
        <v>41757.775590277801</v>
      </c>
      <c r="B139" s="4" t="s">
        <v>61</v>
      </c>
      <c r="C139" s="4" t="s">
        <v>53</v>
      </c>
      <c r="D139" s="4" t="s">
        <v>62</v>
      </c>
      <c r="E139" s="4"/>
      <c r="F139" s="4" t="s">
        <v>63</v>
      </c>
      <c r="G139" s="6" t="s">
        <v>322</v>
      </c>
      <c r="H139" s="4" t="s">
        <v>38</v>
      </c>
      <c r="I139" s="4"/>
      <c r="J139" s="4">
        <v>2</v>
      </c>
      <c r="K139" s="4">
        <v>2</v>
      </c>
      <c r="L139" s="4">
        <v>1</v>
      </c>
      <c r="M139" s="4" t="s">
        <v>323</v>
      </c>
      <c r="N139" s="4" t="s">
        <v>33</v>
      </c>
      <c r="O139" s="4"/>
      <c r="P139" s="4" t="s">
        <v>45</v>
      </c>
      <c r="Q139" s="4"/>
      <c r="R139" s="4" t="s">
        <v>202</v>
      </c>
      <c r="S139" s="4" t="s">
        <v>59</v>
      </c>
      <c r="T139" s="4" t="s">
        <v>41</v>
      </c>
      <c r="U139" s="6" t="s">
        <v>324</v>
      </c>
      <c r="V139" s="4" t="s">
        <v>325</v>
      </c>
    </row>
    <row r="140" spans="1:22" ht="204" x14ac:dyDescent="0.2">
      <c r="A140" s="3">
        <v>41758.364872685197</v>
      </c>
      <c r="B140" s="4" t="s">
        <v>326</v>
      </c>
      <c r="C140" s="4" t="s">
        <v>53</v>
      </c>
      <c r="D140" s="4" t="s">
        <v>62</v>
      </c>
      <c r="E140" s="4"/>
      <c r="F140" s="4" t="s">
        <v>63</v>
      </c>
      <c r="G140" s="4" t="s">
        <v>327</v>
      </c>
      <c r="H140" s="4" t="s">
        <v>38</v>
      </c>
      <c r="I140" s="4"/>
      <c r="J140" s="4">
        <v>3</v>
      </c>
      <c r="K140" s="4">
        <v>1</v>
      </c>
      <c r="L140" s="4">
        <v>1</v>
      </c>
      <c r="M140" s="4"/>
      <c r="N140" s="4" t="s">
        <v>33</v>
      </c>
      <c r="O140" s="4"/>
      <c r="P140" s="4" t="s">
        <v>45</v>
      </c>
      <c r="Q140" s="4"/>
      <c r="R140" s="4" t="s">
        <v>72</v>
      </c>
      <c r="S140" s="4" t="s">
        <v>59</v>
      </c>
      <c r="T140" s="4" t="s">
        <v>41</v>
      </c>
      <c r="U140" s="4" t="s">
        <v>328</v>
      </c>
      <c r="V140" s="4" t="s">
        <v>329</v>
      </c>
    </row>
    <row r="141" spans="1:22" ht="18.75" customHeight="1" x14ac:dyDescent="0.2">
      <c r="A141" s="3">
        <v>41759.492152777799</v>
      </c>
      <c r="B141" s="4" t="s">
        <v>301</v>
      </c>
      <c r="C141" s="4" t="s">
        <v>49</v>
      </c>
      <c r="D141" s="4" t="s">
        <v>62</v>
      </c>
      <c r="E141" s="4"/>
      <c r="F141" s="4" t="s">
        <v>63</v>
      </c>
      <c r="G141" s="6" t="s">
        <v>330</v>
      </c>
      <c r="H141" s="4" t="s">
        <v>38</v>
      </c>
      <c r="I141" s="4"/>
      <c r="J141" s="4">
        <v>3</v>
      </c>
      <c r="K141" s="4">
        <v>4</v>
      </c>
      <c r="L141" s="4">
        <v>5</v>
      </c>
      <c r="M141" s="4"/>
      <c r="N141" s="4" t="s">
        <v>33</v>
      </c>
      <c r="O141" s="4"/>
      <c r="P141" s="4" t="s">
        <v>45</v>
      </c>
      <c r="Q141" s="4"/>
      <c r="R141" s="4"/>
      <c r="S141" s="4" t="s">
        <v>59</v>
      </c>
      <c r="T141" s="4" t="s">
        <v>33</v>
      </c>
      <c r="U141" s="4"/>
      <c r="V141" s="4"/>
    </row>
    <row r="142" spans="1:22" ht="395.25" x14ac:dyDescent="0.2">
      <c r="A142" s="3">
        <v>41759.493321759299</v>
      </c>
      <c r="B142" s="6" t="s">
        <v>137</v>
      </c>
      <c r="C142" s="4" t="s">
        <v>35</v>
      </c>
      <c r="D142" s="4" t="s">
        <v>58</v>
      </c>
      <c r="E142" s="4" t="s">
        <v>332</v>
      </c>
      <c r="F142" s="4"/>
      <c r="G142" s="4"/>
      <c r="H142" s="4" t="s">
        <v>28</v>
      </c>
      <c r="I142" s="4" t="s">
        <v>333</v>
      </c>
      <c r="J142" s="4"/>
      <c r="K142" s="4">
        <v>1</v>
      </c>
      <c r="L142" s="4">
        <v>2</v>
      </c>
      <c r="M142" s="4"/>
      <c r="N142" s="4"/>
      <c r="O142" s="4"/>
      <c r="P142" s="4" t="s">
        <v>90</v>
      </c>
      <c r="Q142" s="4" t="s">
        <v>300</v>
      </c>
      <c r="R142" s="4" t="s">
        <v>112</v>
      </c>
      <c r="S142" s="4" t="s">
        <v>32</v>
      </c>
      <c r="T142" s="4"/>
      <c r="U142" s="4"/>
      <c r="V142" s="4" t="s">
        <v>331</v>
      </c>
    </row>
    <row r="143" spans="1:22" ht="153" x14ac:dyDescent="0.2">
      <c r="A143" s="3">
        <v>41759.511423611097</v>
      </c>
      <c r="B143" s="4"/>
      <c r="C143" s="4" t="s">
        <v>53</v>
      </c>
      <c r="D143" s="4" t="s">
        <v>50</v>
      </c>
      <c r="E143" s="4" t="s">
        <v>334</v>
      </c>
      <c r="F143" s="4" t="s">
        <v>37</v>
      </c>
      <c r="G143" s="4"/>
      <c r="H143" s="4" t="s">
        <v>38</v>
      </c>
      <c r="I143" s="4"/>
      <c r="J143" s="4">
        <v>2</v>
      </c>
      <c r="K143" s="4">
        <v>2</v>
      </c>
      <c r="L143" s="4">
        <v>1</v>
      </c>
      <c r="M143" s="4"/>
      <c r="N143" s="4" t="s">
        <v>33</v>
      </c>
      <c r="O143" s="4"/>
      <c r="P143" s="4" t="s">
        <v>45</v>
      </c>
      <c r="Q143" s="4"/>
      <c r="R143" s="4"/>
      <c r="S143" s="4" t="s">
        <v>59</v>
      </c>
      <c r="T143" s="4" t="s">
        <v>41</v>
      </c>
      <c r="U143" s="6" t="s">
        <v>597</v>
      </c>
      <c r="V143" s="4" t="s">
        <v>335</v>
      </c>
    </row>
    <row r="144" spans="1:22" ht="267.75" x14ac:dyDescent="0.2">
      <c r="A144" s="3">
        <v>41759.521180555603</v>
      </c>
      <c r="B144" s="4" t="s">
        <v>34</v>
      </c>
      <c r="C144" s="4" t="s">
        <v>35</v>
      </c>
      <c r="D144" s="4" t="s">
        <v>62</v>
      </c>
      <c r="E144" s="4" t="s">
        <v>336</v>
      </c>
      <c r="F144" s="4" t="s">
        <v>37</v>
      </c>
      <c r="G144" s="4"/>
      <c r="H144" s="4" t="s">
        <v>28</v>
      </c>
      <c r="I144" s="4"/>
      <c r="J144" s="4">
        <v>2</v>
      </c>
      <c r="K144" s="4"/>
      <c r="L144" s="4">
        <v>1</v>
      </c>
      <c r="M144" s="4"/>
      <c r="N144" s="4"/>
      <c r="O144" s="4"/>
      <c r="P144" s="4" t="s">
        <v>90</v>
      </c>
      <c r="Q144" s="4" t="s">
        <v>337</v>
      </c>
      <c r="R144" s="4" t="s">
        <v>112</v>
      </c>
      <c r="S144" s="4" t="s">
        <v>32</v>
      </c>
      <c r="T144" s="4"/>
      <c r="U144" s="4"/>
      <c r="V144" s="4" t="s">
        <v>338</v>
      </c>
    </row>
    <row r="145" spans="1:22" ht="63.75" x14ac:dyDescent="0.2">
      <c r="A145" s="3">
        <v>41761.886250000003</v>
      </c>
      <c r="B145" s="4" t="s">
        <v>161</v>
      </c>
      <c r="C145" s="4" t="s">
        <v>35</v>
      </c>
      <c r="D145" s="4" t="s">
        <v>62</v>
      </c>
      <c r="E145" s="4"/>
      <c r="F145" s="4" t="s">
        <v>37</v>
      </c>
      <c r="G145" s="4"/>
      <c r="H145" s="4"/>
      <c r="I145" s="4"/>
      <c r="J145" s="4"/>
      <c r="K145" s="4"/>
      <c r="L145" s="4"/>
      <c r="M145" s="4"/>
      <c r="N145" s="4"/>
      <c r="O145" s="4"/>
      <c r="P145" s="4"/>
      <c r="Q145" s="4"/>
      <c r="R145" s="4"/>
      <c r="S145" s="4" t="s">
        <v>59</v>
      </c>
      <c r="T145" s="4" t="s">
        <v>41</v>
      </c>
      <c r="U145" s="6" t="s">
        <v>339</v>
      </c>
      <c r="V145" s="4" t="s">
        <v>340</v>
      </c>
    </row>
    <row r="146" spans="1:22" ht="409.5" x14ac:dyDescent="0.2">
      <c r="A146" s="3">
        <v>41762.446053240703</v>
      </c>
      <c r="B146" s="4" t="s">
        <v>48</v>
      </c>
      <c r="C146" s="4" t="s">
        <v>35</v>
      </c>
      <c r="D146" s="4" t="s">
        <v>58</v>
      </c>
      <c r="E146" s="4" t="s">
        <v>341</v>
      </c>
      <c r="F146" s="4" t="s">
        <v>37</v>
      </c>
      <c r="G146" s="4"/>
      <c r="H146" s="4" t="s">
        <v>38</v>
      </c>
      <c r="I146" s="4" t="s">
        <v>342</v>
      </c>
      <c r="J146" s="4">
        <v>5</v>
      </c>
      <c r="K146" s="4">
        <v>3</v>
      </c>
      <c r="L146" s="4">
        <v>1</v>
      </c>
      <c r="M146" s="4" t="s">
        <v>343</v>
      </c>
      <c r="N146" s="4" t="s">
        <v>180</v>
      </c>
      <c r="O146" s="4" t="s">
        <v>344</v>
      </c>
      <c r="P146" s="4" t="s">
        <v>90</v>
      </c>
      <c r="Q146" s="4" t="s">
        <v>345</v>
      </c>
      <c r="R146" s="4" t="s">
        <v>237</v>
      </c>
      <c r="S146" s="4" t="s">
        <v>59</v>
      </c>
      <c r="T146" s="4" t="s">
        <v>41</v>
      </c>
      <c r="U146" s="6" t="s">
        <v>346</v>
      </c>
      <c r="V146" s="4" t="s">
        <v>347</v>
      </c>
    </row>
    <row r="147" spans="1:22" ht="229.5" x14ac:dyDescent="0.2">
      <c r="A147" s="3">
        <v>41762.482905092598</v>
      </c>
      <c r="B147" s="4" t="s">
        <v>348</v>
      </c>
      <c r="C147" s="4" t="s">
        <v>49</v>
      </c>
      <c r="D147" s="4" t="s">
        <v>24</v>
      </c>
      <c r="E147" s="4" t="s">
        <v>349</v>
      </c>
      <c r="F147" s="4" t="s">
        <v>37</v>
      </c>
      <c r="G147" s="4"/>
      <c r="H147" s="4" t="s">
        <v>56</v>
      </c>
      <c r="I147" s="4" t="s">
        <v>350</v>
      </c>
      <c r="J147" s="4">
        <v>1</v>
      </c>
      <c r="K147" s="4">
        <v>3</v>
      </c>
      <c r="L147" s="4">
        <v>1</v>
      </c>
      <c r="M147" s="4"/>
      <c r="N147" s="4" t="s">
        <v>33</v>
      </c>
      <c r="O147" s="4"/>
      <c r="P147" s="4" t="s">
        <v>30</v>
      </c>
      <c r="Q147" s="4" t="s">
        <v>351</v>
      </c>
      <c r="R147" s="6" t="s">
        <v>352</v>
      </c>
      <c r="S147" s="4" t="s">
        <v>59</v>
      </c>
      <c r="T147" s="4" t="s">
        <v>33</v>
      </c>
      <c r="U147" s="4"/>
      <c r="V147" s="4" t="s">
        <v>348</v>
      </c>
    </row>
    <row r="148" spans="1:22" ht="51" x14ac:dyDescent="0.2">
      <c r="A148" s="3">
        <v>41762.963240740697</v>
      </c>
      <c r="B148" s="4" t="s">
        <v>34</v>
      </c>
      <c r="C148" s="4" t="s">
        <v>35</v>
      </c>
      <c r="D148" s="4" t="s">
        <v>58</v>
      </c>
      <c r="E148" s="4"/>
      <c r="F148" s="4" t="s">
        <v>37</v>
      </c>
      <c r="G148" s="4"/>
      <c r="H148" s="4"/>
      <c r="I148" s="4"/>
      <c r="J148" s="4">
        <v>4</v>
      </c>
      <c r="K148" s="4">
        <v>2</v>
      </c>
      <c r="L148" s="4">
        <v>1</v>
      </c>
      <c r="M148" s="4"/>
      <c r="N148" s="4"/>
      <c r="O148" s="4"/>
      <c r="P148" s="4" t="s">
        <v>30</v>
      </c>
      <c r="Q148" s="4"/>
      <c r="R148" s="4" t="s">
        <v>39</v>
      </c>
      <c r="S148" s="4" t="s">
        <v>32</v>
      </c>
      <c r="T148" s="4" t="s">
        <v>33</v>
      </c>
      <c r="U148" s="4"/>
      <c r="V148" s="4" t="s">
        <v>353</v>
      </c>
    </row>
    <row r="149" spans="1:22" ht="51" x14ac:dyDescent="0.2">
      <c r="A149" s="3">
        <v>41764.319351851802</v>
      </c>
      <c r="B149" s="4" t="s">
        <v>354</v>
      </c>
      <c r="C149" s="4" t="s">
        <v>53</v>
      </c>
      <c r="D149" s="4"/>
      <c r="E149" s="4"/>
      <c r="F149" s="4" t="s">
        <v>37</v>
      </c>
      <c r="G149" s="4"/>
      <c r="H149" s="4" t="s">
        <v>56</v>
      </c>
      <c r="I149" s="4"/>
      <c r="J149" s="4">
        <v>3</v>
      </c>
      <c r="K149" s="4">
        <v>4</v>
      </c>
      <c r="L149" s="4">
        <v>5</v>
      </c>
      <c r="M149" s="4"/>
      <c r="N149" s="4" t="s">
        <v>33</v>
      </c>
      <c r="O149" s="4"/>
      <c r="P149" s="4"/>
      <c r="Q149" s="4"/>
      <c r="R149" s="4"/>
      <c r="S149" s="4" t="s">
        <v>32</v>
      </c>
      <c r="T149" s="4"/>
      <c r="U149" s="4"/>
      <c r="V149" s="4"/>
    </row>
    <row r="150" spans="1:22" ht="318.75" x14ac:dyDescent="0.2">
      <c r="A150" s="3">
        <v>41764.337523148199</v>
      </c>
      <c r="B150" s="4" t="s">
        <v>34</v>
      </c>
      <c r="C150" s="4" t="s">
        <v>49</v>
      </c>
      <c r="D150" s="4" t="s">
        <v>50</v>
      </c>
      <c r="E150" s="4" t="s">
        <v>355</v>
      </c>
      <c r="F150" s="4" t="s">
        <v>37</v>
      </c>
      <c r="G150" s="4"/>
      <c r="H150" s="4" t="s">
        <v>38</v>
      </c>
      <c r="I150" s="4"/>
      <c r="J150" s="4">
        <v>4</v>
      </c>
      <c r="K150" s="4">
        <v>5</v>
      </c>
      <c r="L150" s="4">
        <v>5</v>
      </c>
      <c r="M150" s="4" t="s">
        <v>356</v>
      </c>
      <c r="N150" s="4" t="s">
        <v>33</v>
      </c>
      <c r="O150" s="4"/>
      <c r="P150" s="4" t="s">
        <v>30</v>
      </c>
      <c r="Q150" s="4" t="s">
        <v>357</v>
      </c>
      <c r="R150" s="4" t="s">
        <v>39</v>
      </c>
      <c r="S150" s="4" t="s">
        <v>59</v>
      </c>
      <c r="T150" s="4" t="s">
        <v>41</v>
      </c>
      <c r="U150" s="6" t="s">
        <v>598</v>
      </c>
      <c r="V150" s="4"/>
    </row>
    <row r="151" spans="1:22" ht="63.75" x14ac:dyDescent="0.2">
      <c r="A151" s="3">
        <v>41764.433923611097</v>
      </c>
      <c r="B151" s="4" t="s">
        <v>276</v>
      </c>
      <c r="C151" s="4" t="s">
        <v>23</v>
      </c>
      <c r="D151" s="4" t="s">
        <v>62</v>
      </c>
      <c r="E151" s="4"/>
      <c r="F151" s="4" t="s">
        <v>37</v>
      </c>
      <c r="G151" s="4"/>
      <c r="H151" s="4" t="s">
        <v>38</v>
      </c>
      <c r="I151" s="4"/>
      <c r="J151" s="4">
        <v>4</v>
      </c>
      <c r="K151" s="4">
        <v>1</v>
      </c>
      <c r="L151" s="4">
        <v>1</v>
      </c>
      <c r="M151" s="4" t="s">
        <v>358</v>
      </c>
      <c r="N151" s="4" t="s">
        <v>33</v>
      </c>
      <c r="O151" s="4"/>
      <c r="P151" s="4" t="s">
        <v>45</v>
      </c>
      <c r="Q151" s="4"/>
      <c r="R151" s="4" t="s">
        <v>46</v>
      </c>
      <c r="S151" s="4" t="s">
        <v>59</v>
      </c>
      <c r="T151" s="4" t="s">
        <v>33</v>
      </c>
      <c r="U151" s="4"/>
      <c r="V151" s="4" t="s">
        <v>359</v>
      </c>
    </row>
    <row r="152" spans="1:22" ht="76.5" x14ac:dyDescent="0.2">
      <c r="A152" s="3">
        <v>41765.529606481497</v>
      </c>
      <c r="B152" s="4" t="s">
        <v>360</v>
      </c>
      <c r="C152" s="4" t="s">
        <v>49</v>
      </c>
      <c r="D152" s="4" t="s">
        <v>62</v>
      </c>
      <c r="E152" s="4"/>
      <c r="F152" s="4" t="s">
        <v>37</v>
      </c>
      <c r="G152" s="4"/>
      <c r="H152" s="4" t="s">
        <v>56</v>
      </c>
      <c r="I152" s="4"/>
      <c r="J152" s="4">
        <v>3</v>
      </c>
      <c r="K152" s="4">
        <v>2</v>
      </c>
      <c r="L152" s="4">
        <v>1</v>
      </c>
      <c r="M152" s="4"/>
      <c r="N152" s="4" t="s">
        <v>33</v>
      </c>
      <c r="O152" s="4"/>
      <c r="P152" s="4" t="s">
        <v>30</v>
      </c>
      <c r="Q152" s="4"/>
      <c r="R152" s="6" t="s">
        <v>361</v>
      </c>
      <c r="S152" s="4" t="s">
        <v>32</v>
      </c>
      <c r="T152" s="4" t="s">
        <v>33</v>
      </c>
      <c r="U152" s="4"/>
      <c r="V152" s="4"/>
    </row>
    <row r="153" spans="1:22" ht="63.75" x14ac:dyDescent="0.2">
      <c r="A153" s="3">
        <v>41766.547893518502</v>
      </c>
      <c r="B153" s="4" t="s">
        <v>362</v>
      </c>
      <c r="C153" s="4" t="s">
        <v>53</v>
      </c>
      <c r="D153" s="4" t="s">
        <v>24</v>
      </c>
      <c r="E153" s="4" t="s">
        <v>363</v>
      </c>
      <c r="F153" s="4" t="s">
        <v>37</v>
      </c>
      <c r="G153" s="4"/>
      <c r="H153" s="4" t="s">
        <v>38</v>
      </c>
      <c r="I153" s="4"/>
      <c r="J153" s="4">
        <v>3</v>
      </c>
      <c r="K153" s="4">
        <v>4</v>
      </c>
      <c r="L153" s="4">
        <v>5</v>
      </c>
      <c r="M153" s="4"/>
      <c r="N153" s="6" t="s">
        <v>98</v>
      </c>
      <c r="O153" s="4" t="s">
        <v>364</v>
      </c>
      <c r="P153" s="4" t="s">
        <v>90</v>
      </c>
      <c r="Q153" s="4"/>
      <c r="R153" s="4" t="s">
        <v>111</v>
      </c>
      <c r="S153" s="4" t="s">
        <v>59</v>
      </c>
      <c r="T153" s="4" t="s">
        <v>41</v>
      </c>
      <c r="U153" s="4"/>
      <c r="V153" s="4" t="s">
        <v>362</v>
      </c>
    </row>
    <row r="154" spans="1:22" ht="409.5" x14ac:dyDescent="0.2">
      <c r="A154" s="3">
        <v>41766.687442129602</v>
      </c>
      <c r="B154" s="4" t="s">
        <v>365</v>
      </c>
      <c r="C154" s="4" t="s">
        <v>49</v>
      </c>
      <c r="D154" s="4" t="s">
        <v>50</v>
      </c>
      <c r="E154" s="4" t="s">
        <v>366</v>
      </c>
      <c r="F154" s="4" t="s">
        <v>37</v>
      </c>
      <c r="G154" s="4"/>
      <c r="H154" s="4" t="s">
        <v>28</v>
      </c>
      <c r="I154" s="4" t="s">
        <v>367</v>
      </c>
      <c r="J154" s="4"/>
      <c r="K154" s="4"/>
      <c r="L154" s="4"/>
      <c r="M154" s="4"/>
      <c r="N154" s="4"/>
      <c r="O154" s="4"/>
      <c r="P154" s="4"/>
      <c r="Q154" s="4"/>
      <c r="R154" s="4" t="s">
        <v>112</v>
      </c>
      <c r="S154" s="4" t="s">
        <v>32</v>
      </c>
      <c r="T154" s="4"/>
      <c r="U154" s="4"/>
      <c r="V154" s="4" t="s">
        <v>368</v>
      </c>
    </row>
    <row r="155" spans="1:22" ht="280.5" x14ac:dyDescent="0.2">
      <c r="A155" s="3">
        <v>41766.9745833333</v>
      </c>
      <c r="B155" s="4" t="s">
        <v>52</v>
      </c>
      <c r="C155" s="4" t="s">
        <v>23</v>
      </c>
      <c r="D155" s="4" t="s">
        <v>24</v>
      </c>
      <c r="E155" s="4" t="s">
        <v>369</v>
      </c>
      <c r="F155" s="4" t="s">
        <v>37</v>
      </c>
      <c r="G155" s="4"/>
      <c r="H155" s="4" t="s">
        <v>56</v>
      </c>
      <c r="I155" s="4"/>
      <c r="J155" s="4">
        <v>1</v>
      </c>
      <c r="K155" s="4">
        <v>1</v>
      </c>
      <c r="L155" s="4">
        <v>1</v>
      </c>
      <c r="M155" s="4" t="s">
        <v>370</v>
      </c>
      <c r="N155" s="4" t="s">
        <v>33</v>
      </c>
      <c r="O155" s="4"/>
      <c r="P155" s="4" t="s">
        <v>30</v>
      </c>
      <c r="Q155" s="4" t="s">
        <v>371</v>
      </c>
      <c r="R155" s="4" t="s">
        <v>64</v>
      </c>
      <c r="S155" s="4" t="s">
        <v>59</v>
      </c>
      <c r="T155" s="4" t="s">
        <v>33</v>
      </c>
      <c r="U155" s="4"/>
      <c r="V155" s="4"/>
    </row>
    <row r="156" spans="1:22" ht="76.5" x14ac:dyDescent="0.2">
      <c r="A156" s="3">
        <v>41768.545810185198</v>
      </c>
      <c r="B156" s="4" t="s">
        <v>61</v>
      </c>
      <c r="C156" s="4" t="s">
        <v>70</v>
      </c>
      <c r="D156" s="4" t="s">
        <v>50</v>
      </c>
      <c r="E156" s="4" t="s">
        <v>372</v>
      </c>
      <c r="F156" s="4" t="s">
        <v>37</v>
      </c>
      <c r="G156" s="4"/>
      <c r="H156" s="4" t="s">
        <v>56</v>
      </c>
      <c r="I156" s="4"/>
      <c r="J156" s="4">
        <v>3</v>
      </c>
      <c r="K156" s="4">
        <v>2</v>
      </c>
      <c r="L156" s="4">
        <v>1</v>
      </c>
      <c r="M156" s="4"/>
      <c r="N156" s="4" t="s">
        <v>33</v>
      </c>
      <c r="O156" s="4"/>
      <c r="P156" s="4" t="s">
        <v>45</v>
      </c>
      <c r="Q156" s="4"/>
      <c r="R156" s="4" t="s">
        <v>373</v>
      </c>
      <c r="S156" s="4" t="s">
        <v>40</v>
      </c>
      <c r="T156" s="4" t="s">
        <v>41</v>
      </c>
      <c r="U156" s="4"/>
      <c r="V156" s="4" t="s">
        <v>374</v>
      </c>
    </row>
    <row r="157" spans="1:22" ht="369.75" x14ac:dyDescent="0.2">
      <c r="A157" s="3">
        <v>41771.456643518497</v>
      </c>
      <c r="B157" s="4" t="s">
        <v>34</v>
      </c>
      <c r="C157" s="4" t="s">
        <v>49</v>
      </c>
      <c r="D157" s="4" t="s">
        <v>24</v>
      </c>
      <c r="E157" s="4" t="s">
        <v>375</v>
      </c>
      <c r="F157" s="4" t="s">
        <v>37</v>
      </c>
      <c r="G157" s="4"/>
      <c r="H157" s="4" t="s">
        <v>56</v>
      </c>
      <c r="I157" s="4"/>
      <c r="J157" s="4">
        <v>4</v>
      </c>
      <c r="K157" s="4">
        <v>2</v>
      </c>
      <c r="L157" s="4">
        <v>1</v>
      </c>
      <c r="M157" s="4"/>
      <c r="N157" s="4" t="s">
        <v>33</v>
      </c>
      <c r="O157" s="4"/>
      <c r="P157" s="4" t="s">
        <v>30</v>
      </c>
      <c r="Q157" s="4" t="s">
        <v>376</v>
      </c>
      <c r="R157" s="6" t="s">
        <v>377</v>
      </c>
      <c r="S157" s="4" t="s">
        <v>32</v>
      </c>
      <c r="T157" s="4" t="s">
        <v>33</v>
      </c>
      <c r="U157" s="4"/>
      <c r="V157" s="4" t="s">
        <v>378</v>
      </c>
    </row>
    <row r="158" spans="1:22" ht="280.5" x14ac:dyDescent="0.2">
      <c r="A158" s="3">
        <v>41772.446087962999</v>
      </c>
      <c r="B158" s="4"/>
      <c r="C158" s="4" t="s">
        <v>35</v>
      </c>
      <c r="D158" s="4" t="s">
        <v>50</v>
      </c>
      <c r="E158" s="4" t="s">
        <v>379</v>
      </c>
      <c r="F158" s="4"/>
      <c r="G158" s="4"/>
      <c r="H158" s="4" t="s">
        <v>28</v>
      </c>
      <c r="I158" s="4" t="s">
        <v>380</v>
      </c>
      <c r="J158" s="4"/>
      <c r="K158" s="4">
        <v>1</v>
      </c>
      <c r="L158" s="4">
        <v>1</v>
      </c>
      <c r="M158" s="4"/>
      <c r="N158" s="4"/>
      <c r="O158" s="4"/>
      <c r="P158" s="4" t="s">
        <v>90</v>
      </c>
      <c r="Q158" s="4" t="s">
        <v>381</v>
      </c>
      <c r="R158" s="4" t="s">
        <v>112</v>
      </c>
      <c r="S158" s="4" t="s">
        <v>59</v>
      </c>
      <c r="T158" s="4"/>
      <c r="U158" s="4"/>
      <c r="V158" s="4" t="s">
        <v>382</v>
      </c>
    </row>
    <row r="159" spans="1:22" ht="25.5" x14ac:dyDescent="0.2">
      <c r="A159" s="3">
        <v>41772.465543981503</v>
      </c>
      <c r="B159" s="4" t="s">
        <v>68</v>
      </c>
      <c r="C159" s="4" t="s">
        <v>35</v>
      </c>
      <c r="D159" s="4"/>
      <c r="E159" s="4"/>
      <c r="F159" s="4"/>
      <c r="G159" s="4"/>
      <c r="H159" s="4"/>
      <c r="I159" s="4"/>
      <c r="J159" s="4"/>
      <c r="K159" s="4"/>
      <c r="L159" s="4"/>
      <c r="M159" s="4"/>
      <c r="N159" s="4"/>
      <c r="O159" s="4"/>
      <c r="P159" s="4"/>
      <c r="Q159" s="4"/>
      <c r="R159" s="4"/>
      <c r="S159" s="4"/>
      <c r="T159" s="4"/>
      <c r="U159" s="4"/>
      <c r="V159" s="4" t="s">
        <v>383</v>
      </c>
    </row>
    <row r="160" spans="1:22" ht="229.5" x14ac:dyDescent="0.2">
      <c r="A160" s="3">
        <v>41772.4743171296</v>
      </c>
      <c r="B160" s="4" t="s">
        <v>68</v>
      </c>
      <c r="C160" s="4" t="s">
        <v>35</v>
      </c>
      <c r="D160" s="4"/>
      <c r="E160" s="4"/>
      <c r="F160" s="4"/>
      <c r="G160" s="4"/>
      <c r="H160" s="4"/>
      <c r="I160" s="4"/>
      <c r="J160" s="4"/>
      <c r="K160" s="4"/>
      <c r="L160" s="4">
        <v>1</v>
      </c>
      <c r="M160" s="4"/>
      <c r="N160" s="4" t="s">
        <v>29</v>
      </c>
      <c r="O160" s="4" t="s">
        <v>384</v>
      </c>
      <c r="P160" s="4" t="s">
        <v>90</v>
      </c>
      <c r="Q160" s="4" t="s">
        <v>385</v>
      </c>
      <c r="R160" s="4" t="s">
        <v>112</v>
      </c>
      <c r="S160" s="4" t="s">
        <v>59</v>
      </c>
      <c r="T160" s="4"/>
      <c r="U160" s="4"/>
      <c r="V160" s="4" t="s">
        <v>386</v>
      </c>
    </row>
    <row r="161" spans="1:22" ht="89.25" x14ac:dyDescent="0.2">
      <c r="A161" s="3">
        <v>41773.496504629598</v>
      </c>
      <c r="B161" s="4" t="s">
        <v>68</v>
      </c>
      <c r="C161" s="4" t="s">
        <v>35</v>
      </c>
      <c r="D161" s="4" t="s">
        <v>58</v>
      </c>
      <c r="E161" s="4"/>
      <c r="F161" s="4" t="s">
        <v>37</v>
      </c>
      <c r="G161" s="4"/>
      <c r="H161" s="4" t="s">
        <v>56</v>
      </c>
      <c r="I161" s="4" t="s">
        <v>387</v>
      </c>
      <c r="J161" s="4">
        <v>2</v>
      </c>
      <c r="K161" s="4">
        <v>2</v>
      </c>
      <c r="L161" s="4">
        <v>1</v>
      </c>
      <c r="M161" s="4" t="s">
        <v>388</v>
      </c>
      <c r="N161" s="4" t="s">
        <v>33</v>
      </c>
      <c r="O161" s="4"/>
      <c r="P161" s="4" t="s">
        <v>30</v>
      </c>
      <c r="Q161" s="4" t="s">
        <v>389</v>
      </c>
      <c r="R161" s="4" t="s">
        <v>39</v>
      </c>
      <c r="S161" s="4" t="s">
        <v>40</v>
      </c>
      <c r="T161" s="4" t="s">
        <v>41</v>
      </c>
      <c r="U161" s="6" t="s">
        <v>390</v>
      </c>
      <c r="V161" s="4" t="s">
        <v>391</v>
      </c>
    </row>
    <row r="162" spans="1:22" ht="76.5" x14ac:dyDescent="0.2">
      <c r="A162" s="3">
        <v>41774.655729166698</v>
      </c>
      <c r="B162" s="4" t="s">
        <v>52</v>
      </c>
      <c r="C162" s="4" t="s">
        <v>53</v>
      </c>
      <c r="D162" s="4" t="s">
        <v>24</v>
      </c>
      <c r="E162" s="4" t="s">
        <v>392</v>
      </c>
      <c r="F162" s="4" t="s">
        <v>37</v>
      </c>
      <c r="G162" s="4"/>
      <c r="H162" s="4" t="s">
        <v>56</v>
      </c>
      <c r="I162" s="4"/>
      <c r="J162" s="4">
        <v>1</v>
      </c>
      <c r="K162" s="4">
        <v>1</v>
      </c>
      <c r="L162" s="4">
        <v>1</v>
      </c>
      <c r="M162" s="4"/>
      <c r="N162" s="4" t="s">
        <v>33</v>
      </c>
      <c r="O162" s="4"/>
      <c r="P162" s="4" t="s">
        <v>30</v>
      </c>
      <c r="Q162" s="4"/>
      <c r="R162" s="4" t="s">
        <v>39</v>
      </c>
      <c r="S162" s="4" t="s">
        <v>40</v>
      </c>
      <c r="T162" s="4" t="s">
        <v>33</v>
      </c>
      <c r="U162" s="4"/>
      <c r="V162" s="4"/>
    </row>
    <row r="163" spans="1:22" ht="76.5" x14ac:dyDescent="0.2">
      <c r="A163" s="3">
        <v>41775.724166666703</v>
      </c>
      <c r="B163" s="4" t="s">
        <v>52</v>
      </c>
      <c r="C163" s="4" t="s">
        <v>49</v>
      </c>
      <c r="D163" s="4" t="s">
        <v>24</v>
      </c>
      <c r="E163" s="4" t="s">
        <v>393</v>
      </c>
      <c r="F163" s="4" t="s">
        <v>37</v>
      </c>
      <c r="G163" s="4"/>
      <c r="H163" s="4" t="s">
        <v>38</v>
      </c>
      <c r="I163" s="4"/>
      <c r="J163" s="4">
        <v>2</v>
      </c>
      <c r="K163" s="4">
        <v>1</v>
      </c>
      <c r="L163" s="4">
        <v>1</v>
      </c>
      <c r="M163" s="4"/>
      <c r="N163" s="4" t="s">
        <v>33</v>
      </c>
      <c r="O163" s="4"/>
      <c r="P163" s="4" t="s">
        <v>30</v>
      </c>
      <c r="Q163" s="4"/>
      <c r="R163" s="4" t="s">
        <v>94</v>
      </c>
      <c r="S163" s="4" t="s">
        <v>40</v>
      </c>
      <c r="T163" s="4" t="s">
        <v>41</v>
      </c>
      <c r="U163" s="6" t="s">
        <v>394</v>
      </c>
      <c r="V163" s="4"/>
    </row>
    <row r="164" spans="1:22" ht="204" x14ac:dyDescent="0.2">
      <c r="A164" s="3">
        <v>41775.792418981502</v>
      </c>
      <c r="B164" s="4" t="s">
        <v>395</v>
      </c>
      <c r="C164" s="4" t="s">
        <v>35</v>
      </c>
      <c r="D164" s="4" t="s">
        <v>58</v>
      </c>
      <c r="E164" s="4"/>
      <c r="F164" s="4" t="s">
        <v>37</v>
      </c>
      <c r="G164" s="4"/>
      <c r="H164" s="4" t="s">
        <v>28</v>
      </c>
      <c r="I164" s="4" t="s">
        <v>396</v>
      </c>
      <c r="J164" s="4">
        <v>4</v>
      </c>
      <c r="K164" s="4">
        <v>5</v>
      </c>
      <c r="L164" s="4">
        <v>3</v>
      </c>
      <c r="M164" s="4"/>
      <c r="N164" s="4"/>
      <c r="O164" s="4"/>
      <c r="P164" s="4" t="s">
        <v>45</v>
      </c>
      <c r="Q164" s="4"/>
      <c r="R164" s="4" t="s">
        <v>112</v>
      </c>
      <c r="S164" s="4" t="s">
        <v>59</v>
      </c>
      <c r="T164" s="4" t="s">
        <v>41</v>
      </c>
      <c r="U164" s="6" t="s">
        <v>397</v>
      </c>
      <c r="V164" s="4"/>
    </row>
    <row r="165" spans="1:22" ht="204" x14ac:dyDescent="0.2">
      <c r="A165" s="3">
        <v>41777.752418981501</v>
      </c>
      <c r="B165" s="4" t="s">
        <v>398</v>
      </c>
      <c r="C165" s="4" t="s">
        <v>35</v>
      </c>
      <c r="D165" s="4" t="s">
        <v>50</v>
      </c>
      <c r="E165" s="4"/>
      <c r="F165" s="4" t="s">
        <v>37</v>
      </c>
      <c r="G165" s="4"/>
      <c r="H165" s="4" t="s">
        <v>28</v>
      </c>
      <c r="I165" s="4" t="s">
        <v>399</v>
      </c>
      <c r="J165" s="4"/>
      <c r="K165" s="4"/>
      <c r="L165" s="4"/>
      <c r="M165" s="4"/>
      <c r="N165" s="4" t="s">
        <v>33</v>
      </c>
      <c r="O165" s="4" t="s">
        <v>400</v>
      </c>
      <c r="P165" s="4" t="s">
        <v>90</v>
      </c>
      <c r="Q165" s="4" t="s">
        <v>401</v>
      </c>
      <c r="R165" s="6" t="s">
        <v>402</v>
      </c>
      <c r="S165" s="4" t="s">
        <v>59</v>
      </c>
      <c r="T165" s="4" t="s">
        <v>41</v>
      </c>
      <c r="U165" s="4"/>
      <c r="V165" s="4"/>
    </row>
    <row r="166" spans="1:22" ht="344.25" x14ac:dyDescent="0.2">
      <c r="A166" s="3">
        <v>41777.837430555599</v>
      </c>
      <c r="B166" s="4" t="s">
        <v>34</v>
      </c>
      <c r="C166" s="4" t="s">
        <v>49</v>
      </c>
      <c r="D166" s="4" t="s">
        <v>50</v>
      </c>
      <c r="E166" s="4"/>
      <c r="F166" s="4" t="s">
        <v>37</v>
      </c>
      <c r="G166" s="4"/>
      <c r="H166" s="4" t="s">
        <v>28</v>
      </c>
      <c r="I166" s="4" t="s">
        <v>403</v>
      </c>
      <c r="J166" s="4">
        <v>4</v>
      </c>
      <c r="K166" s="4">
        <v>1</v>
      </c>
      <c r="L166" s="4">
        <v>1</v>
      </c>
      <c r="M166" s="4"/>
      <c r="N166" s="4" t="s">
        <v>29</v>
      </c>
      <c r="O166" s="4"/>
      <c r="P166" s="4" t="s">
        <v>90</v>
      </c>
      <c r="Q166" s="4"/>
      <c r="R166" s="6" t="s">
        <v>160</v>
      </c>
      <c r="S166" s="4" t="s">
        <v>59</v>
      </c>
      <c r="T166" s="4" t="s">
        <v>41</v>
      </c>
      <c r="U166" s="4"/>
      <c r="V166" s="4"/>
    </row>
    <row r="167" spans="1:22" ht="344.25" x14ac:dyDescent="0.2">
      <c r="A167" s="3">
        <v>41781.622858796298</v>
      </c>
      <c r="B167" s="4" t="s">
        <v>34</v>
      </c>
      <c r="C167" s="4" t="s">
        <v>35</v>
      </c>
      <c r="D167" s="4"/>
      <c r="E167" s="4"/>
      <c r="F167" s="4"/>
      <c r="G167" s="4"/>
      <c r="H167" s="4"/>
      <c r="I167" s="4"/>
      <c r="J167" s="4">
        <v>3</v>
      </c>
      <c r="K167" s="4">
        <v>1</v>
      </c>
      <c r="L167" s="4">
        <v>1</v>
      </c>
      <c r="M167" s="4" t="s">
        <v>404</v>
      </c>
      <c r="N167" s="4" t="s">
        <v>33</v>
      </c>
      <c r="O167" s="4"/>
      <c r="P167" s="4"/>
      <c r="Q167" s="4" t="s">
        <v>405</v>
      </c>
      <c r="R167" s="4" t="s">
        <v>111</v>
      </c>
      <c r="S167" s="4"/>
      <c r="T167" s="4" t="s">
        <v>41</v>
      </c>
      <c r="U167" s="4"/>
      <c r="V167" s="4" t="s">
        <v>406</v>
      </c>
    </row>
    <row r="168" spans="1:22" ht="140.25" x14ac:dyDescent="0.2">
      <c r="A168" s="3">
        <v>41782.493437500001</v>
      </c>
      <c r="B168" s="4" t="s">
        <v>68</v>
      </c>
      <c r="C168" s="4" t="s">
        <v>53</v>
      </c>
      <c r="D168" s="4" t="s">
        <v>50</v>
      </c>
      <c r="E168" s="4" t="s">
        <v>407</v>
      </c>
      <c r="F168" s="4" t="s">
        <v>37</v>
      </c>
      <c r="G168" s="4"/>
      <c r="H168" s="4" t="s">
        <v>38</v>
      </c>
      <c r="I168" s="4"/>
      <c r="J168" s="4">
        <v>3</v>
      </c>
      <c r="K168" s="4">
        <v>1</v>
      </c>
      <c r="L168" s="4">
        <v>1</v>
      </c>
      <c r="M168" s="4"/>
      <c r="N168" s="4" t="s">
        <v>33</v>
      </c>
      <c r="O168" s="4"/>
      <c r="P168" s="4" t="s">
        <v>45</v>
      </c>
      <c r="Q168" s="4"/>
      <c r="R168" s="4"/>
      <c r="S168" s="4" t="s">
        <v>59</v>
      </c>
      <c r="T168" s="4" t="s">
        <v>33</v>
      </c>
      <c r="U168" s="4"/>
      <c r="V168" s="4"/>
    </row>
    <row r="169" spans="1:22" ht="89.25" x14ac:dyDescent="0.2">
      <c r="A169" s="3">
        <v>41785.490370370397</v>
      </c>
      <c r="B169" s="4" t="s">
        <v>34</v>
      </c>
      <c r="C169" s="4" t="s">
        <v>35</v>
      </c>
      <c r="D169" s="4" t="s">
        <v>58</v>
      </c>
      <c r="E169" s="4"/>
      <c r="F169" s="4" t="s">
        <v>37</v>
      </c>
      <c r="G169" s="4"/>
      <c r="H169" s="4" t="s">
        <v>56</v>
      </c>
      <c r="I169" s="4" t="s">
        <v>408</v>
      </c>
      <c r="J169" s="4">
        <v>2</v>
      </c>
      <c r="K169" s="4">
        <v>3</v>
      </c>
      <c r="L169" s="4">
        <v>5</v>
      </c>
      <c r="M169" s="4"/>
      <c r="N169" s="4" t="s">
        <v>33</v>
      </c>
      <c r="O169" s="4"/>
      <c r="P169" s="4" t="s">
        <v>30</v>
      </c>
      <c r="Q169" s="4"/>
      <c r="R169" s="4" t="s">
        <v>39</v>
      </c>
      <c r="S169" s="4" t="s">
        <v>59</v>
      </c>
      <c r="T169" s="4" t="s">
        <v>41</v>
      </c>
      <c r="U169" s="4"/>
      <c r="V169" s="4"/>
    </row>
    <row r="170" spans="1:22" ht="76.5" x14ac:dyDescent="0.2">
      <c r="A170" s="3">
        <v>41785.6894791667</v>
      </c>
      <c r="B170" s="4" t="s">
        <v>48</v>
      </c>
      <c r="C170" s="4" t="s">
        <v>35</v>
      </c>
      <c r="D170" s="4" t="s">
        <v>58</v>
      </c>
      <c r="E170" s="4"/>
      <c r="F170" s="4" t="s">
        <v>37</v>
      </c>
      <c r="G170" s="4"/>
      <c r="H170" s="4" t="s">
        <v>56</v>
      </c>
      <c r="I170" s="4"/>
      <c r="J170" s="4">
        <v>3</v>
      </c>
      <c r="K170" s="4">
        <v>1</v>
      </c>
      <c r="L170" s="4">
        <v>1</v>
      </c>
      <c r="M170" s="4"/>
      <c r="N170" s="4" t="s">
        <v>33</v>
      </c>
      <c r="O170" s="4"/>
      <c r="P170" s="4" t="s">
        <v>30</v>
      </c>
      <c r="Q170" s="4"/>
      <c r="R170" s="4" t="s">
        <v>39</v>
      </c>
      <c r="S170" s="4" t="s">
        <v>40</v>
      </c>
      <c r="T170" s="4" t="s">
        <v>33</v>
      </c>
      <c r="U170" s="4"/>
      <c r="V170" s="4"/>
    </row>
    <row r="171" spans="1:22" ht="63.75" x14ac:dyDescent="0.2">
      <c r="A171" s="3">
        <v>41785.699953703697</v>
      </c>
      <c r="B171" s="4" t="s">
        <v>48</v>
      </c>
      <c r="C171" s="4" t="s">
        <v>49</v>
      </c>
      <c r="D171" s="4" t="s">
        <v>50</v>
      </c>
      <c r="E171" s="4" t="s">
        <v>409</v>
      </c>
      <c r="F171" s="4" t="s">
        <v>37</v>
      </c>
      <c r="G171" s="4"/>
      <c r="H171" s="4" t="s">
        <v>56</v>
      </c>
      <c r="I171" s="4"/>
      <c r="J171" s="4">
        <v>1</v>
      </c>
      <c r="K171" s="4">
        <v>5</v>
      </c>
      <c r="L171" s="4">
        <v>3</v>
      </c>
      <c r="M171" s="4"/>
      <c r="N171" s="4" t="s">
        <v>33</v>
      </c>
      <c r="O171" s="4"/>
      <c r="P171" s="4" t="s">
        <v>30</v>
      </c>
      <c r="Q171" s="4"/>
      <c r="R171" s="4" t="s">
        <v>39</v>
      </c>
      <c r="S171" s="4" t="s">
        <v>59</v>
      </c>
      <c r="T171" s="4" t="s">
        <v>33</v>
      </c>
      <c r="U171" s="4"/>
      <c r="V171" s="4" t="s">
        <v>409</v>
      </c>
    </row>
    <row r="172" spans="1:22" ht="409.5" x14ac:dyDescent="0.2">
      <c r="A172" s="3">
        <v>41785.707569444399</v>
      </c>
      <c r="B172" s="4" t="s">
        <v>48</v>
      </c>
      <c r="C172" s="4" t="s">
        <v>49</v>
      </c>
      <c r="D172" s="4" t="s">
        <v>58</v>
      </c>
      <c r="E172" s="4" t="s">
        <v>410</v>
      </c>
      <c r="F172" s="4" t="s">
        <v>37</v>
      </c>
      <c r="G172" s="4"/>
      <c r="H172" s="4" t="s">
        <v>38</v>
      </c>
      <c r="I172" s="4" t="s">
        <v>411</v>
      </c>
      <c r="J172" s="4">
        <v>4</v>
      </c>
      <c r="K172" s="4">
        <v>2</v>
      </c>
      <c r="L172" s="4">
        <v>1</v>
      </c>
      <c r="M172" s="4" t="s">
        <v>412</v>
      </c>
      <c r="N172" s="4" t="s">
        <v>33</v>
      </c>
      <c r="O172" s="4"/>
      <c r="P172" s="4" t="s">
        <v>30</v>
      </c>
      <c r="Q172" s="4"/>
      <c r="R172" s="4" t="s">
        <v>39</v>
      </c>
      <c r="S172" s="4" t="s">
        <v>59</v>
      </c>
      <c r="T172" s="4" t="s">
        <v>41</v>
      </c>
      <c r="U172" s="6" t="s">
        <v>413</v>
      </c>
      <c r="V172" s="4" t="s">
        <v>414</v>
      </c>
    </row>
    <row r="173" spans="1:22" ht="191.25" x14ac:dyDescent="0.2">
      <c r="A173" s="3">
        <v>41785.737754629597</v>
      </c>
      <c r="B173" s="4" t="s">
        <v>34</v>
      </c>
      <c r="C173" s="4" t="s">
        <v>35</v>
      </c>
      <c r="D173" s="4" t="s">
        <v>58</v>
      </c>
      <c r="E173" s="4"/>
      <c r="F173" s="4" t="s">
        <v>37</v>
      </c>
      <c r="G173" s="4"/>
      <c r="H173" s="4" t="s">
        <v>56</v>
      </c>
      <c r="I173" s="4" t="s">
        <v>415</v>
      </c>
      <c r="J173" s="4">
        <v>5</v>
      </c>
      <c r="K173" s="4">
        <v>2</v>
      </c>
      <c r="L173" s="4">
        <v>1</v>
      </c>
      <c r="M173" s="4"/>
      <c r="N173" s="4" t="s">
        <v>33</v>
      </c>
      <c r="O173" s="4"/>
      <c r="P173" s="4" t="s">
        <v>30</v>
      </c>
      <c r="Q173" s="4" t="s">
        <v>416</v>
      </c>
      <c r="R173" s="4" t="s">
        <v>39</v>
      </c>
      <c r="S173" s="4" t="s">
        <v>32</v>
      </c>
      <c r="T173" s="4" t="s">
        <v>33</v>
      </c>
      <c r="U173" s="6" t="s">
        <v>417</v>
      </c>
      <c r="V173" s="4" t="s">
        <v>409</v>
      </c>
    </row>
    <row r="174" spans="1:22" ht="102" x14ac:dyDescent="0.2">
      <c r="A174" s="3">
        <v>41786.287233796298</v>
      </c>
      <c r="B174" s="4" t="s">
        <v>34</v>
      </c>
      <c r="C174" s="4" t="s">
        <v>23</v>
      </c>
      <c r="D174" s="4" t="s">
        <v>50</v>
      </c>
      <c r="E174" s="4" t="s">
        <v>409</v>
      </c>
      <c r="F174" s="4" t="s">
        <v>37</v>
      </c>
      <c r="G174" s="4"/>
      <c r="H174" s="4" t="s">
        <v>56</v>
      </c>
      <c r="I174" s="4" t="s">
        <v>418</v>
      </c>
      <c r="J174" s="4">
        <v>3</v>
      </c>
      <c r="K174" s="4">
        <v>4</v>
      </c>
      <c r="L174" s="4">
        <v>5</v>
      </c>
      <c r="M174" s="4"/>
      <c r="N174" s="4" t="s">
        <v>33</v>
      </c>
      <c r="O174" s="4"/>
      <c r="P174" s="4" t="s">
        <v>30</v>
      </c>
      <c r="Q174" s="4"/>
      <c r="R174" s="6" t="s">
        <v>419</v>
      </c>
      <c r="S174" s="4" t="s">
        <v>40</v>
      </c>
      <c r="T174" s="4" t="s">
        <v>33</v>
      </c>
      <c r="U174" s="4"/>
      <c r="V174" s="4" t="s">
        <v>420</v>
      </c>
    </row>
    <row r="175" spans="1:22" ht="293.25" x14ac:dyDescent="0.2">
      <c r="A175" s="3">
        <v>41787.449374999997</v>
      </c>
      <c r="B175" s="4" t="s">
        <v>34</v>
      </c>
      <c r="C175" s="4" t="s">
        <v>49</v>
      </c>
      <c r="D175" s="4" t="s">
        <v>50</v>
      </c>
      <c r="E175" s="4" t="s">
        <v>421</v>
      </c>
      <c r="F175" s="4" t="s">
        <v>37</v>
      </c>
      <c r="G175" s="4"/>
      <c r="H175" s="4" t="s">
        <v>28</v>
      </c>
      <c r="I175" s="4" t="s">
        <v>422</v>
      </c>
      <c r="J175" s="4">
        <v>3</v>
      </c>
      <c r="K175" s="4">
        <v>2</v>
      </c>
      <c r="L175" s="4">
        <v>1</v>
      </c>
      <c r="M175" s="4"/>
      <c r="N175" s="4" t="s">
        <v>29</v>
      </c>
      <c r="O175" s="4"/>
      <c r="P175" s="4" t="s">
        <v>90</v>
      </c>
      <c r="Q175" s="4"/>
      <c r="R175" s="4" t="s">
        <v>111</v>
      </c>
      <c r="S175" s="4" t="s">
        <v>59</v>
      </c>
      <c r="T175" s="4" t="s">
        <v>41</v>
      </c>
      <c r="U175" s="4"/>
      <c r="V175" s="4" t="s">
        <v>423</v>
      </c>
    </row>
    <row r="176" spans="1:22" ht="51" x14ac:dyDescent="0.2">
      <c r="A176" s="3">
        <v>41787.918101851799</v>
      </c>
      <c r="B176" s="4" t="s">
        <v>48</v>
      </c>
      <c r="C176" s="4" t="s">
        <v>49</v>
      </c>
      <c r="D176" s="4" t="s">
        <v>58</v>
      </c>
      <c r="E176" s="4"/>
      <c r="F176" s="4" t="s">
        <v>37</v>
      </c>
      <c r="G176" s="4"/>
      <c r="H176" s="4" t="s">
        <v>56</v>
      </c>
      <c r="I176" s="4"/>
      <c r="J176" s="4">
        <v>5</v>
      </c>
      <c r="K176" s="4">
        <v>3</v>
      </c>
      <c r="L176" s="4">
        <v>1</v>
      </c>
      <c r="M176" s="4"/>
      <c r="N176" s="4" t="s">
        <v>33</v>
      </c>
      <c r="O176" s="4"/>
      <c r="P176" s="4" t="s">
        <v>30</v>
      </c>
      <c r="Q176" s="4"/>
      <c r="R176" s="4" t="s">
        <v>39</v>
      </c>
      <c r="S176" s="4" t="s">
        <v>32</v>
      </c>
      <c r="T176" s="4" t="s">
        <v>33</v>
      </c>
      <c r="U176" s="4"/>
      <c r="V176" s="4"/>
    </row>
    <row r="177" spans="1:22" ht="344.25" x14ac:dyDescent="0.2">
      <c r="A177" s="3">
        <v>41788.510833333297</v>
      </c>
      <c r="B177" s="4" t="s">
        <v>52</v>
      </c>
      <c r="C177" s="4" t="s">
        <v>35</v>
      </c>
      <c r="D177" s="4" t="s">
        <v>58</v>
      </c>
      <c r="E177" s="4"/>
      <c r="F177" s="4" t="s">
        <v>37</v>
      </c>
      <c r="G177" s="4"/>
      <c r="H177" s="4" t="s">
        <v>28</v>
      </c>
      <c r="I177" s="4"/>
      <c r="J177" s="4">
        <v>4</v>
      </c>
      <c r="K177" s="4">
        <v>3</v>
      </c>
      <c r="L177" s="4">
        <v>5</v>
      </c>
      <c r="M177" s="4"/>
      <c r="N177" s="4" t="s">
        <v>29</v>
      </c>
      <c r="O177" s="4"/>
      <c r="P177" s="4" t="s">
        <v>90</v>
      </c>
      <c r="Q177" s="4"/>
      <c r="R177" s="4" t="s">
        <v>237</v>
      </c>
      <c r="S177" s="4"/>
      <c r="T177" s="4" t="s">
        <v>41</v>
      </c>
      <c r="U177" s="4" t="s">
        <v>424</v>
      </c>
      <c r="V177" s="4"/>
    </row>
    <row r="178" spans="1:22" ht="267.75" x14ac:dyDescent="0.2">
      <c r="A178" s="3">
        <v>41788.920277777797</v>
      </c>
      <c r="B178" s="4" t="s">
        <v>52</v>
      </c>
      <c r="C178" s="4" t="s">
        <v>23</v>
      </c>
      <c r="D178" s="4" t="s">
        <v>24</v>
      </c>
      <c r="E178" s="4"/>
      <c r="F178" s="4" t="s">
        <v>37</v>
      </c>
      <c r="G178" s="4"/>
      <c r="H178" s="4" t="s">
        <v>28</v>
      </c>
      <c r="I178" s="4" t="s">
        <v>425</v>
      </c>
      <c r="J178" s="4"/>
      <c r="K178" s="4"/>
      <c r="L178" s="4"/>
      <c r="M178" s="4"/>
      <c r="N178" s="4"/>
      <c r="O178" s="4"/>
      <c r="P178" s="4"/>
      <c r="Q178" s="4"/>
      <c r="R178" s="4"/>
      <c r="S178" s="4"/>
      <c r="T178" s="4"/>
      <c r="U178" s="4"/>
      <c r="V178" s="4" t="s">
        <v>426</v>
      </c>
    </row>
    <row r="179" spans="1:22" ht="63.75" x14ac:dyDescent="0.2">
      <c r="A179" s="3">
        <v>41789.424918981502</v>
      </c>
      <c r="B179" s="4" t="s">
        <v>175</v>
      </c>
      <c r="C179" s="4" t="s">
        <v>70</v>
      </c>
      <c r="D179" s="4" t="s">
        <v>50</v>
      </c>
      <c r="E179" s="4" t="s">
        <v>427</v>
      </c>
      <c r="F179" s="4" t="s">
        <v>37</v>
      </c>
      <c r="G179" s="4"/>
      <c r="H179" s="4" t="s">
        <v>38</v>
      </c>
      <c r="I179" s="4"/>
      <c r="J179" s="4">
        <v>4</v>
      </c>
      <c r="K179" s="4">
        <v>1</v>
      </c>
      <c r="L179" s="4">
        <v>1</v>
      </c>
      <c r="M179" s="4"/>
      <c r="N179" s="4" t="s">
        <v>33</v>
      </c>
      <c r="O179" s="4"/>
      <c r="P179" s="4" t="s">
        <v>30</v>
      </c>
      <c r="Q179" s="4"/>
      <c r="R179" s="4" t="s">
        <v>39</v>
      </c>
      <c r="S179" s="4" t="s">
        <v>59</v>
      </c>
      <c r="T179" s="4" t="s">
        <v>33</v>
      </c>
      <c r="U179" s="4"/>
      <c r="V179" s="4"/>
    </row>
    <row r="180" spans="1:22" ht="63.75" x14ac:dyDescent="0.2">
      <c r="A180" s="3">
        <v>41789.724398148202</v>
      </c>
      <c r="B180" s="6" t="s">
        <v>428</v>
      </c>
      <c r="C180" s="4" t="s">
        <v>53</v>
      </c>
      <c r="D180" s="4" t="s">
        <v>62</v>
      </c>
      <c r="E180" s="4"/>
      <c r="F180" s="4" t="s">
        <v>37</v>
      </c>
      <c r="G180" s="4"/>
      <c r="H180" s="4" t="s">
        <v>56</v>
      </c>
      <c r="I180" s="4"/>
      <c r="J180" s="4">
        <v>3</v>
      </c>
      <c r="K180" s="4">
        <v>2</v>
      </c>
      <c r="L180" s="4">
        <v>1</v>
      </c>
      <c r="M180" s="4"/>
      <c r="N180" s="4" t="s">
        <v>33</v>
      </c>
      <c r="O180" s="4"/>
      <c r="P180" s="4" t="s">
        <v>30</v>
      </c>
      <c r="Q180" s="4"/>
      <c r="R180" s="4" t="s">
        <v>39</v>
      </c>
      <c r="S180" s="4" t="s">
        <v>59</v>
      </c>
      <c r="T180" s="4" t="s">
        <v>33</v>
      </c>
      <c r="U180" s="4"/>
      <c r="V180" s="4" t="s">
        <v>429</v>
      </c>
    </row>
    <row r="181" spans="1:22" ht="63.75" x14ac:dyDescent="0.2">
      <c r="A181" s="3">
        <v>41792.338217592602</v>
      </c>
      <c r="B181" s="4" t="s">
        <v>48</v>
      </c>
      <c r="C181" s="4" t="s">
        <v>35</v>
      </c>
      <c r="D181" s="4" t="s">
        <v>58</v>
      </c>
      <c r="E181" s="4"/>
      <c r="F181" s="4" t="s">
        <v>37</v>
      </c>
      <c r="G181" s="4"/>
      <c r="H181" s="4" t="s">
        <v>56</v>
      </c>
      <c r="I181" s="4"/>
      <c r="J181" s="4">
        <v>2</v>
      </c>
      <c r="K181" s="4">
        <v>1</v>
      </c>
      <c r="L181" s="4">
        <v>1</v>
      </c>
      <c r="M181" s="4"/>
      <c r="N181" s="4" t="s">
        <v>33</v>
      </c>
      <c r="O181" s="4"/>
      <c r="P181" s="4" t="s">
        <v>30</v>
      </c>
      <c r="Q181" s="4"/>
      <c r="R181" s="4" t="s">
        <v>39</v>
      </c>
      <c r="S181" s="4" t="s">
        <v>59</v>
      </c>
      <c r="T181" s="4" t="s">
        <v>33</v>
      </c>
      <c r="U181" s="4"/>
      <c r="V181" s="4" t="s">
        <v>430</v>
      </c>
    </row>
    <row r="182" spans="1:22" ht="63.75" x14ac:dyDescent="0.2">
      <c r="A182" s="3">
        <v>41793.428506944401</v>
      </c>
      <c r="B182" s="4" t="s">
        <v>48</v>
      </c>
      <c r="C182" s="4" t="s">
        <v>49</v>
      </c>
      <c r="D182" s="4" t="s">
        <v>58</v>
      </c>
      <c r="E182" s="4" t="s">
        <v>608</v>
      </c>
      <c r="F182" s="4" t="s">
        <v>37</v>
      </c>
      <c r="G182" s="4"/>
      <c r="H182" s="4" t="s">
        <v>56</v>
      </c>
      <c r="I182" s="4"/>
      <c r="J182" s="4">
        <v>1</v>
      </c>
      <c r="K182" s="4">
        <v>1</v>
      </c>
      <c r="L182" s="4">
        <v>1</v>
      </c>
      <c r="M182" s="4"/>
      <c r="N182" s="4" t="s">
        <v>33</v>
      </c>
      <c r="O182" s="4"/>
      <c r="P182" s="4" t="s">
        <v>30</v>
      </c>
      <c r="Q182" s="4"/>
      <c r="R182" s="4" t="s">
        <v>39</v>
      </c>
      <c r="S182" s="4" t="s">
        <v>59</v>
      </c>
      <c r="T182" s="4" t="s">
        <v>33</v>
      </c>
      <c r="U182" s="4"/>
      <c r="V182" s="4"/>
    </row>
    <row r="183" spans="1:22" ht="63.75" x14ac:dyDescent="0.2">
      <c r="A183" s="3">
        <v>41793.4527662037</v>
      </c>
      <c r="B183" s="4" t="s">
        <v>48</v>
      </c>
      <c r="C183" s="4" t="s">
        <v>49</v>
      </c>
      <c r="D183" s="4" t="s">
        <v>24</v>
      </c>
      <c r="E183" s="4" t="s">
        <v>409</v>
      </c>
      <c r="F183" s="4" t="s">
        <v>37</v>
      </c>
      <c r="G183" s="4"/>
      <c r="H183" s="4" t="s">
        <v>56</v>
      </c>
      <c r="I183" s="4"/>
      <c r="J183" s="4">
        <v>2</v>
      </c>
      <c r="K183" s="4">
        <v>2</v>
      </c>
      <c r="L183" s="4">
        <v>1</v>
      </c>
      <c r="M183" s="4"/>
      <c r="N183" s="4" t="s">
        <v>33</v>
      </c>
      <c r="O183" s="4"/>
      <c r="P183" s="4" t="s">
        <v>30</v>
      </c>
      <c r="Q183" s="4"/>
      <c r="R183" s="4" t="s">
        <v>39</v>
      </c>
      <c r="S183" s="4" t="s">
        <v>59</v>
      </c>
      <c r="T183" s="4" t="s">
        <v>33</v>
      </c>
      <c r="U183" s="4"/>
      <c r="V183" s="4" t="s">
        <v>409</v>
      </c>
    </row>
    <row r="184" spans="1:22" ht="63.75" x14ac:dyDescent="0.2">
      <c r="A184" s="3">
        <v>41793.575520833299</v>
      </c>
      <c r="B184" s="4" t="s">
        <v>68</v>
      </c>
      <c r="C184" s="4" t="s">
        <v>23</v>
      </c>
      <c r="D184" s="4" t="s">
        <v>62</v>
      </c>
      <c r="E184" s="4"/>
      <c r="F184" s="4" t="s">
        <v>37</v>
      </c>
      <c r="G184" s="4"/>
      <c r="H184" s="4" t="s">
        <v>38</v>
      </c>
      <c r="I184" s="4"/>
      <c r="J184" s="4">
        <v>2</v>
      </c>
      <c r="K184" s="4">
        <v>1</v>
      </c>
      <c r="L184" s="4">
        <v>1</v>
      </c>
      <c r="M184" s="4"/>
      <c r="N184" s="4" t="s">
        <v>33</v>
      </c>
      <c r="O184" s="4"/>
      <c r="P184" s="4" t="s">
        <v>90</v>
      </c>
      <c r="Q184" s="4"/>
      <c r="R184" s="4" t="s">
        <v>202</v>
      </c>
      <c r="S184" s="4" t="s">
        <v>59</v>
      </c>
      <c r="T184" s="4" t="s">
        <v>41</v>
      </c>
      <c r="U184" s="4"/>
      <c r="V184" s="4" t="s">
        <v>431</v>
      </c>
    </row>
    <row r="185" spans="1:22" ht="76.5" x14ac:dyDescent="0.2">
      <c r="A185" s="3">
        <v>41793.588645833297</v>
      </c>
      <c r="B185" s="4" t="s">
        <v>34</v>
      </c>
      <c r="C185" s="4" t="s">
        <v>49</v>
      </c>
      <c r="D185" s="4" t="s">
        <v>24</v>
      </c>
      <c r="E185" s="4"/>
      <c r="F185" s="4" t="s">
        <v>37</v>
      </c>
      <c r="G185" s="4"/>
      <c r="H185" s="4" t="s">
        <v>56</v>
      </c>
      <c r="I185" s="4"/>
      <c r="J185" s="4">
        <v>1</v>
      </c>
      <c r="K185" s="4">
        <v>3</v>
      </c>
      <c r="L185" s="4">
        <v>1</v>
      </c>
      <c r="M185" s="4"/>
      <c r="N185" s="4" t="s">
        <v>33</v>
      </c>
      <c r="O185" s="4"/>
      <c r="P185" s="4" t="s">
        <v>30</v>
      </c>
      <c r="Q185" s="4"/>
      <c r="R185" s="4" t="s">
        <v>39</v>
      </c>
      <c r="S185" s="4" t="s">
        <v>40</v>
      </c>
      <c r="T185" s="4" t="s">
        <v>33</v>
      </c>
      <c r="U185" s="4"/>
      <c r="V185" s="4" t="s">
        <v>409</v>
      </c>
    </row>
    <row r="186" spans="1:22" ht="63.75" x14ac:dyDescent="0.2">
      <c r="A186" s="3">
        <v>41794.316620370402</v>
      </c>
      <c r="B186" s="4" t="s">
        <v>161</v>
      </c>
      <c r="C186" s="4" t="s">
        <v>49</v>
      </c>
      <c r="D186" s="4" t="s">
        <v>62</v>
      </c>
      <c r="E186" s="4"/>
      <c r="F186" s="4" t="s">
        <v>37</v>
      </c>
      <c r="G186" s="4"/>
      <c r="H186" s="4" t="s">
        <v>56</v>
      </c>
      <c r="I186" s="4"/>
      <c r="J186" s="4">
        <v>4</v>
      </c>
      <c r="K186" s="4">
        <v>3</v>
      </c>
      <c r="L186" s="4">
        <v>1</v>
      </c>
      <c r="M186" s="4"/>
      <c r="N186" s="4" t="s">
        <v>33</v>
      </c>
      <c r="O186" s="4"/>
      <c r="P186" s="4" t="s">
        <v>30</v>
      </c>
      <c r="Q186" s="4"/>
      <c r="R186" s="4" t="s">
        <v>39</v>
      </c>
      <c r="S186" s="4" t="s">
        <v>59</v>
      </c>
      <c r="T186" s="4" t="s">
        <v>33</v>
      </c>
      <c r="U186" s="4"/>
      <c r="V186" s="4" t="s">
        <v>432</v>
      </c>
    </row>
    <row r="187" spans="1:22" ht="114.75" x14ac:dyDescent="0.2">
      <c r="A187" s="3">
        <v>41795.6981481482</v>
      </c>
      <c r="B187" s="4" t="s">
        <v>61</v>
      </c>
      <c r="C187" s="4" t="s">
        <v>70</v>
      </c>
      <c r="D187" s="4" t="s">
        <v>62</v>
      </c>
      <c r="E187" s="4"/>
      <c r="F187" s="4" t="s">
        <v>26</v>
      </c>
      <c r="G187" s="4"/>
      <c r="H187" s="4" t="s">
        <v>38</v>
      </c>
      <c r="I187" s="4"/>
      <c r="J187" s="4">
        <v>3</v>
      </c>
      <c r="K187" s="4">
        <v>2</v>
      </c>
      <c r="L187" s="4">
        <v>1</v>
      </c>
      <c r="M187" s="4"/>
      <c r="N187" s="4" t="s">
        <v>33</v>
      </c>
      <c r="O187" s="4"/>
      <c r="P187" s="4" t="s">
        <v>45</v>
      </c>
      <c r="Q187" s="4"/>
      <c r="R187" s="6" t="s">
        <v>433</v>
      </c>
      <c r="S187" s="4" t="s">
        <v>59</v>
      </c>
      <c r="T187" s="4" t="s">
        <v>33</v>
      </c>
      <c r="U187" s="4"/>
      <c r="V187" s="4" t="s">
        <v>434</v>
      </c>
    </row>
    <row r="188" spans="1:22" ht="63.75" x14ac:dyDescent="0.2">
      <c r="A188" s="3">
        <v>41795.959930555597</v>
      </c>
      <c r="B188" s="4" t="s">
        <v>34</v>
      </c>
      <c r="C188" s="4" t="s">
        <v>23</v>
      </c>
      <c r="D188" s="4" t="s">
        <v>50</v>
      </c>
      <c r="E188" s="4" t="s">
        <v>609</v>
      </c>
      <c r="F188" s="4" t="s">
        <v>37</v>
      </c>
      <c r="G188" s="4"/>
      <c r="H188" s="4" t="s">
        <v>56</v>
      </c>
      <c r="I188" s="4"/>
      <c r="J188" s="4">
        <v>1</v>
      </c>
      <c r="K188" s="4">
        <v>3</v>
      </c>
      <c r="L188" s="4">
        <v>2</v>
      </c>
      <c r="M188" s="4" t="s">
        <v>435</v>
      </c>
      <c r="N188" s="4" t="s">
        <v>33</v>
      </c>
      <c r="O188" s="4"/>
      <c r="P188" s="4" t="s">
        <v>30</v>
      </c>
      <c r="Q188" s="4"/>
      <c r="R188" s="4" t="s">
        <v>39</v>
      </c>
      <c r="S188" s="4" t="s">
        <v>59</v>
      </c>
      <c r="T188" s="4" t="s">
        <v>33</v>
      </c>
      <c r="U188" s="4"/>
      <c r="V188" s="4"/>
    </row>
    <row r="189" spans="1:22" ht="369.75" x14ac:dyDescent="0.2">
      <c r="A189" s="3">
        <v>41796.675995370402</v>
      </c>
      <c r="B189" s="4" t="s">
        <v>34</v>
      </c>
      <c r="C189" s="4" t="s">
        <v>35</v>
      </c>
      <c r="D189" s="4" t="s">
        <v>36</v>
      </c>
      <c r="E189" s="4"/>
      <c r="F189" s="4" t="s">
        <v>37</v>
      </c>
      <c r="G189" s="4"/>
      <c r="H189" s="4" t="s">
        <v>38</v>
      </c>
      <c r="I189" s="4"/>
      <c r="J189" s="4">
        <v>2</v>
      </c>
      <c r="K189" s="4">
        <v>5</v>
      </c>
      <c r="L189" s="4">
        <v>5</v>
      </c>
      <c r="M189" s="4"/>
      <c r="N189" s="4" t="s">
        <v>33</v>
      </c>
      <c r="O189" s="4"/>
      <c r="P189" s="4" t="s">
        <v>90</v>
      </c>
      <c r="Q189" s="4"/>
      <c r="R189" s="4" t="s">
        <v>112</v>
      </c>
      <c r="S189" s="4" t="s">
        <v>59</v>
      </c>
      <c r="T189" s="4" t="s">
        <v>41</v>
      </c>
      <c r="U189" s="4" t="s">
        <v>436</v>
      </c>
      <c r="V189" s="4"/>
    </row>
    <row r="190" spans="1:22" ht="63.75" x14ac:dyDescent="0.2">
      <c r="A190" s="3">
        <v>41799.467002314799</v>
      </c>
      <c r="B190" s="4" t="s">
        <v>437</v>
      </c>
      <c r="C190" s="4" t="s">
        <v>35</v>
      </c>
      <c r="D190" s="4" t="s">
        <v>58</v>
      </c>
      <c r="E190" s="4"/>
      <c r="F190" s="4" t="s">
        <v>37</v>
      </c>
      <c r="G190" s="4"/>
      <c r="H190" s="4" t="s">
        <v>38</v>
      </c>
      <c r="I190" s="4"/>
      <c r="J190" s="4">
        <v>4</v>
      </c>
      <c r="K190" s="4">
        <v>3</v>
      </c>
      <c r="L190" s="4">
        <v>1</v>
      </c>
      <c r="M190" s="4"/>
      <c r="N190" s="4" t="s">
        <v>33</v>
      </c>
      <c r="O190" s="4"/>
      <c r="P190" s="4" t="s">
        <v>30</v>
      </c>
      <c r="Q190" s="4"/>
      <c r="R190" s="6" t="s">
        <v>46</v>
      </c>
      <c r="S190" s="4" t="s">
        <v>59</v>
      </c>
      <c r="T190" s="4" t="s">
        <v>33</v>
      </c>
      <c r="U190" s="4"/>
      <c r="V190" s="4" t="s">
        <v>437</v>
      </c>
    </row>
    <row r="191" spans="1:22" ht="63.75" x14ac:dyDescent="0.2">
      <c r="A191" s="3">
        <v>41799.549641203703</v>
      </c>
      <c r="B191" s="4" t="s">
        <v>48</v>
      </c>
      <c r="C191" s="4" t="s">
        <v>49</v>
      </c>
      <c r="D191" s="4" t="s">
        <v>58</v>
      </c>
      <c r="E191" s="4"/>
      <c r="F191" s="4" t="s">
        <v>37</v>
      </c>
      <c r="G191" s="4"/>
      <c r="H191" s="4" t="s">
        <v>38</v>
      </c>
      <c r="I191" s="4"/>
      <c r="J191" s="4">
        <v>4</v>
      </c>
      <c r="K191" s="4">
        <v>3</v>
      </c>
      <c r="L191" s="4">
        <v>5</v>
      </c>
      <c r="M191" s="4"/>
      <c r="N191" s="4" t="s">
        <v>33</v>
      </c>
      <c r="O191" s="4"/>
      <c r="P191" s="4" t="s">
        <v>30</v>
      </c>
      <c r="Q191" s="4"/>
      <c r="R191" s="4" t="s">
        <v>39</v>
      </c>
      <c r="S191" s="4" t="s">
        <v>59</v>
      </c>
      <c r="T191" s="4" t="s">
        <v>33</v>
      </c>
      <c r="U191" s="4"/>
      <c r="V191" s="4" t="s">
        <v>438</v>
      </c>
    </row>
    <row r="192" spans="1:22" ht="409.5" x14ac:dyDescent="0.2">
      <c r="A192" s="3">
        <v>41799.5988657407</v>
      </c>
      <c r="B192" s="4" t="s">
        <v>34</v>
      </c>
      <c r="C192" s="4" t="s">
        <v>23</v>
      </c>
      <c r="D192" s="4" t="s">
        <v>50</v>
      </c>
      <c r="E192" s="4" t="s">
        <v>409</v>
      </c>
      <c r="F192" s="4" t="s">
        <v>37</v>
      </c>
      <c r="G192" s="4"/>
      <c r="H192" s="4" t="s">
        <v>38</v>
      </c>
      <c r="I192" s="4"/>
      <c r="J192" s="4">
        <v>5</v>
      </c>
      <c r="K192" s="4">
        <v>2</v>
      </c>
      <c r="L192" s="4">
        <v>1</v>
      </c>
      <c r="M192" s="4"/>
      <c r="N192" s="4" t="s">
        <v>98</v>
      </c>
      <c r="O192" s="4"/>
      <c r="P192" s="4" t="s">
        <v>45</v>
      </c>
      <c r="Q192" s="4" t="s">
        <v>439</v>
      </c>
      <c r="R192" s="4" t="s">
        <v>168</v>
      </c>
      <c r="S192" s="4" t="s">
        <v>59</v>
      </c>
      <c r="T192" s="4" t="s">
        <v>41</v>
      </c>
      <c r="U192" s="4"/>
      <c r="V192" s="4" t="s">
        <v>440</v>
      </c>
    </row>
    <row r="193" spans="1:22" ht="178.5" x14ac:dyDescent="0.2">
      <c r="A193" s="3">
        <v>41799.662152777797</v>
      </c>
      <c r="B193" s="4" t="s">
        <v>48</v>
      </c>
      <c r="C193" s="4" t="s">
        <v>49</v>
      </c>
      <c r="D193" s="4" t="s">
        <v>24</v>
      </c>
      <c r="E193" s="4" t="s">
        <v>441</v>
      </c>
      <c r="F193" s="4" t="s">
        <v>37</v>
      </c>
      <c r="G193" s="4"/>
      <c r="H193" s="4" t="s">
        <v>28</v>
      </c>
      <c r="I193" s="4"/>
      <c r="J193" s="4">
        <v>5</v>
      </c>
      <c r="K193" s="4">
        <v>3</v>
      </c>
      <c r="L193" s="4">
        <v>1</v>
      </c>
      <c r="M193" s="4"/>
      <c r="N193" s="4" t="s">
        <v>29</v>
      </c>
      <c r="O193" s="4" t="s">
        <v>442</v>
      </c>
      <c r="P193" s="4" t="s">
        <v>90</v>
      </c>
      <c r="Q193" s="4"/>
      <c r="R193" s="6" t="s">
        <v>168</v>
      </c>
      <c r="S193" s="4" t="s">
        <v>32</v>
      </c>
      <c r="T193" s="4" t="s">
        <v>41</v>
      </c>
      <c r="U193" s="4" t="s">
        <v>443</v>
      </c>
      <c r="V193" s="4" t="s">
        <v>443</v>
      </c>
    </row>
    <row r="194" spans="1:22" ht="409.5" x14ac:dyDescent="0.2">
      <c r="A194" s="3">
        <v>41799.741678240702</v>
      </c>
      <c r="B194" s="4" t="s">
        <v>68</v>
      </c>
      <c r="C194" s="4" t="s">
        <v>23</v>
      </c>
      <c r="D194" s="4" t="s">
        <v>50</v>
      </c>
      <c r="E194" s="4"/>
      <c r="F194" s="4" t="s">
        <v>37</v>
      </c>
      <c r="G194" s="4"/>
      <c r="H194" s="4"/>
      <c r="I194" s="4" t="s">
        <v>444</v>
      </c>
      <c r="J194" s="4"/>
      <c r="K194" s="4"/>
      <c r="L194" s="4"/>
      <c r="M194" s="4"/>
      <c r="N194" s="4"/>
      <c r="O194" s="4"/>
      <c r="P194" s="4" t="s">
        <v>90</v>
      </c>
      <c r="Q194" s="4"/>
      <c r="R194" s="4" t="s">
        <v>112</v>
      </c>
      <c r="S194" s="4" t="s">
        <v>59</v>
      </c>
      <c r="T194" s="4"/>
      <c r="U194" s="4"/>
      <c r="V194" s="4" t="s">
        <v>445</v>
      </c>
    </row>
    <row r="195" spans="1:22" ht="409.5" x14ac:dyDescent="0.2">
      <c r="A195" s="3">
        <v>41799.741666666698</v>
      </c>
      <c r="B195" s="4" t="s">
        <v>68</v>
      </c>
      <c r="C195" s="4" t="s">
        <v>23</v>
      </c>
      <c r="D195" s="4" t="s">
        <v>50</v>
      </c>
      <c r="E195" s="4"/>
      <c r="F195" s="4" t="s">
        <v>37</v>
      </c>
      <c r="G195" s="4"/>
      <c r="H195" s="4"/>
      <c r="I195" s="4" t="s">
        <v>444</v>
      </c>
      <c r="J195" s="4"/>
      <c r="K195" s="4"/>
      <c r="L195" s="4"/>
      <c r="M195" s="4"/>
      <c r="N195" s="4"/>
      <c r="O195" s="4"/>
      <c r="P195" s="4" t="s">
        <v>90</v>
      </c>
      <c r="Q195" s="4"/>
      <c r="R195" s="4" t="s">
        <v>112</v>
      </c>
      <c r="S195" s="4" t="s">
        <v>59</v>
      </c>
      <c r="T195" s="4"/>
      <c r="U195" s="4"/>
      <c r="V195" s="4" t="s">
        <v>445</v>
      </c>
    </row>
    <row r="196" spans="1:22" ht="204" x14ac:dyDescent="0.2">
      <c r="A196" s="3">
        <v>41800.347604166702</v>
      </c>
      <c r="B196" s="4" t="s">
        <v>414</v>
      </c>
      <c r="C196" s="4" t="s">
        <v>49</v>
      </c>
      <c r="D196" s="4" t="s">
        <v>62</v>
      </c>
      <c r="E196" s="4"/>
      <c r="F196" s="4" t="s">
        <v>37</v>
      </c>
      <c r="G196" s="4"/>
      <c r="H196" s="4" t="s">
        <v>56</v>
      </c>
      <c r="I196" s="4" t="s">
        <v>446</v>
      </c>
      <c r="J196" s="4">
        <v>1</v>
      </c>
      <c r="K196" s="4">
        <v>3</v>
      </c>
      <c r="L196" s="4">
        <v>2</v>
      </c>
      <c r="M196" s="4"/>
      <c r="N196" s="4" t="s">
        <v>33</v>
      </c>
      <c r="O196" s="4"/>
      <c r="P196" s="4" t="s">
        <v>30</v>
      </c>
      <c r="Q196" s="4"/>
      <c r="R196" s="6" t="s">
        <v>447</v>
      </c>
      <c r="S196" s="4" t="s">
        <v>59</v>
      </c>
      <c r="T196" s="4" t="s">
        <v>33</v>
      </c>
      <c r="U196" s="6" t="s">
        <v>448</v>
      </c>
      <c r="V196" s="4" t="s">
        <v>414</v>
      </c>
    </row>
    <row r="197" spans="1:22" ht="63.75" x14ac:dyDescent="0.2">
      <c r="A197" s="3">
        <v>41801.734583333302</v>
      </c>
      <c r="B197" s="4" t="s">
        <v>34</v>
      </c>
      <c r="C197" s="4" t="s">
        <v>35</v>
      </c>
      <c r="D197" s="4" t="s">
        <v>58</v>
      </c>
      <c r="E197" s="4"/>
      <c r="F197" s="4" t="s">
        <v>37</v>
      </c>
      <c r="G197" s="4"/>
      <c r="H197" s="4" t="s">
        <v>38</v>
      </c>
      <c r="I197" s="4"/>
      <c r="J197" s="4">
        <v>3</v>
      </c>
      <c r="K197" s="4">
        <v>3</v>
      </c>
      <c r="L197" s="4">
        <v>1</v>
      </c>
      <c r="M197" s="4"/>
      <c r="N197" s="4" t="s">
        <v>33</v>
      </c>
      <c r="O197" s="4"/>
      <c r="P197" s="4" t="s">
        <v>30</v>
      </c>
      <c r="Q197" s="4"/>
      <c r="R197" s="4" t="s">
        <v>39</v>
      </c>
      <c r="S197" s="4" t="s">
        <v>59</v>
      </c>
      <c r="T197" s="4" t="s">
        <v>33</v>
      </c>
      <c r="U197" s="4"/>
      <c r="V197" s="4"/>
    </row>
    <row r="198" spans="1:22" ht="369.75" x14ac:dyDescent="0.2">
      <c r="A198" s="3">
        <v>41803.319201388898</v>
      </c>
      <c r="B198" s="4"/>
      <c r="C198" s="4" t="s">
        <v>23</v>
      </c>
      <c r="D198" s="4" t="s">
        <v>24</v>
      </c>
      <c r="E198" s="4" t="s">
        <v>449</v>
      </c>
      <c r="F198" s="4" t="s">
        <v>37</v>
      </c>
      <c r="G198" s="4"/>
      <c r="H198" s="4" t="s">
        <v>56</v>
      </c>
      <c r="I198" s="4" t="s">
        <v>450</v>
      </c>
      <c r="J198" s="4">
        <v>1</v>
      </c>
      <c r="K198" s="4">
        <v>1</v>
      </c>
      <c r="L198" s="4">
        <v>1</v>
      </c>
      <c r="M198" s="4"/>
      <c r="N198" s="4" t="s">
        <v>29</v>
      </c>
      <c r="O198" s="4" t="s">
        <v>451</v>
      </c>
      <c r="P198" s="4" t="s">
        <v>30</v>
      </c>
      <c r="Q198" s="4" t="s">
        <v>452</v>
      </c>
      <c r="R198" s="6" t="s">
        <v>453</v>
      </c>
      <c r="S198" s="4" t="s">
        <v>40</v>
      </c>
      <c r="T198" s="4" t="s">
        <v>33</v>
      </c>
      <c r="U198" s="4" t="s">
        <v>454</v>
      </c>
      <c r="V198" s="4" t="s">
        <v>455</v>
      </c>
    </row>
    <row r="199" spans="1:22" ht="76.5" x14ac:dyDescent="0.2">
      <c r="A199" s="3">
        <v>41803.339317129597</v>
      </c>
      <c r="B199" s="4" t="s">
        <v>48</v>
      </c>
      <c r="C199" s="4" t="s">
        <v>35</v>
      </c>
      <c r="D199" s="4" t="s">
        <v>58</v>
      </c>
      <c r="E199" s="4"/>
      <c r="F199" s="4" t="s">
        <v>37</v>
      </c>
      <c r="G199" s="4"/>
      <c r="H199" s="4" t="s">
        <v>56</v>
      </c>
      <c r="I199" s="4"/>
      <c r="J199" s="4">
        <v>3</v>
      </c>
      <c r="K199" s="4">
        <v>2</v>
      </c>
      <c r="L199" s="4">
        <v>1</v>
      </c>
      <c r="M199" s="4"/>
      <c r="N199" s="4" t="s">
        <v>33</v>
      </c>
      <c r="O199" s="4"/>
      <c r="P199" s="4" t="s">
        <v>30</v>
      </c>
      <c r="Q199" s="4"/>
      <c r="R199" s="4" t="s">
        <v>72</v>
      </c>
      <c r="S199" s="4" t="s">
        <v>32</v>
      </c>
      <c r="T199" s="4" t="s">
        <v>33</v>
      </c>
      <c r="U199" s="4"/>
      <c r="V199" s="4"/>
    </row>
    <row r="200" spans="1:22" ht="63.75" x14ac:dyDescent="0.2">
      <c r="A200" s="3">
        <v>41803.361932870401</v>
      </c>
      <c r="B200" s="4" t="s">
        <v>48</v>
      </c>
      <c r="C200" s="4" t="s">
        <v>35</v>
      </c>
      <c r="D200" s="4" t="s">
        <v>58</v>
      </c>
      <c r="E200" s="4"/>
      <c r="F200" s="4" t="s">
        <v>37</v>
      </c>
      <c r="G200" s="4"/>
      <c r="H200" s="4"/>
      <c r="I200" s="4"/>
      <c r="J200" s="4">
        <v>4</v>
      </c>
      <c r="K200" s="4">
        <v>3</v>
      </c>
      <c r="L200" s="4">
        <v>1</v>
      </c>
      <c r="M200" s="4"/>
      <c r="N200" s="4" t="s">
        <v>33</v>
      </c>
      <c r="O200" s="4"/>
      <c r="P200" s="4" t="s">
        <v>30</v>
      </c>
      <c r="Q200" s="4"/>
      <c r="R200" s="4" t="s">
        <v>39</v>
      </c>
      <c r="S200" s="4" t="s">
        <v>59</v>
      </c>
      <c r="T200" s="4" t="s">
        <v>33</v>
      </c>
      <c r="U200" s="4"/>
      <c r="V200" s="4" t="s">
        <v>430</v>
      </c>
    </row>
    <row r="201" spans="1:22" ht="51" x14ac:dyDescent="0.2">
      <c r="A201" s="3">
        <v>41803.387824074103</v>
      </c>
      <c r="B201" s="4" t="s">
        <v>48</v>
      </c>
      <c r="C201" s="4" t="s">
        <v>49</v>
      </c>
      <c r="D201" s="4" t="s">
        <v>62</v>
      </c>
      <c r="E201" s="4"/>
      <c r="F201" s="4" t="s">
        <v>37</v>
      </c>
      <c r="G201" s="4"/>
      <c r="H201" s="4" t="s">
        <v>38</v>
      </c>
      <c r="I201" s="4"/>
      <c r="J201" s="4">
        <v>4</v>
      </c>
      <c r="K201" s="4">
        <v>4</v>
      </c>
      <c r="L201" s="4">
        <v>5</v>
      </c>
      <c r="M201" s="4"/>
      <c r="N201" s="4" t="s">
        <v>33</v>
      </c>
      <c r="O201" s="4"/>
      <c r="P201" s="4" t="s">
        <v>30</v>
      </c>
      <c r="Q201" s="4"/>
      <c r="R201" s="6" t="s">
        <v>64</v>
      </c>
      <c r="S201" s="4" t="s">
        <v>32</v>
      </c>
      <c r="T201" s="4" t="s">
        <v>41</v>
      </c>
      <c r="U201" s="4"/>
      <c r="V201" s="4" t="s">
        <v>414</v>
      </c>
    </row>
    <row r="202" spans="1:22" ht="51" x14ac:dyDescent="0.2">
      <c r="A202" s="3">
        <v>41803.457118055601</v>
      </c>
      <c r="B202" s="4" t="s">
        <v>48</v>
      </c>
      <c r="C202" s="4" t="s">
        <v>49</v>
      </c>
      <c r="D202" s="4" t="s">
        <v>50</v>
      </c>
      <c r="E202" s="4" t="s">
        <v>456</v>
      </c>
      <c r="F202" s="4" t="s">
        <v>37</v>
      </c>
      <c r="G202" s="4"/>
      <c r="H202" s="4" t="s">
        <v>56</v>
      </c>
      <c r="I202" s="4"/>
      <c r="J202" s="4">
        <v>4</v>
      </c>
      <c r="K202" s="4">
        <v>3</v>
      </c>
      <c r="L202" s="4">
        <v>1</v>
      </c>
      <c r="M202" s="4"/>
      <c r="N202" s="4" t="s">
        <v>33</v>
      </c>
      <c r="O202" s="4"/>
      <c r="P202" s="4" t="s">
        <v>30</v>
      </c>
      <c r="Q202" s="4"/>
      <c r="R202" s="4" t="s">
        <v>39</v>
      </c>
      <c r="S202" s="4" t="s">
        <v>32</v>
      </c>
      <c r="T202" s="4" t="s">
        <v>41</v>
      </c>
      <c r="U202" s="4"/>
      <c r="V202" s="4"/>
    </row>
    <row r="203" spans="1:22" ht="63.75" x14ac:dyDescent="0.2">
      <c r="A203" s="3">
        <v>41803.461469907401</v>
      </c>
      <c r="B203" s="4" t="s">
        <v>68</v>
      </c>
      <c r="C203" s="4" t="s">
        <v>23</v>
      </c>
      <c r="D203" s="4" t="s">
        <v>50</v>
      </c>
      <c r="E203" s="4" t="s">
        <v>457</v>
      </c>
      <c r="F203" s="4" t="s">
        <v>37</v>
      </c>
      <c r="G203" s="4"/>
      <c r="H203" s="4" t="s">
        <v>56</v>
      </c>
      <c r="I203" s="4"/>
      <c r="J203" s="4">
        <v>3</v>
      </c>
      <c r="K203" s="4">
        <v>5</v>
      </c>
      <c r="L203" s="4">
        <v>5</v>
      </c>
      <c r="M203" s="4"/>
      <c r="N203" s="4" t="s">
        <v>33</v>
      </c>
      <c r="O203" s="4"/>
      <c r="P203" s="4" t="s">
        <v>30</v>
      </c>
      <c r="Q203" s="4"/>
      <c r="R203" s="4" t="s">
        <v>39</v>
      </c>
      <c r="S203" s="4" t="s">
        <v>59</v>
      </c>
      <c r="T203" s="4" t="s">
        <v>33</v>
      </c>
      <c r="U203" s="4"/>
      <c r="V203" s="4"/>
    </row>
    <row r="204" spans="1:22" ht="102" x14ac:dyDescent="0.2">
      <c r="A204" s="3">
        <v>41803.463888888902</v>
      </c>
      <c r="B204" s="4" t="s">
        <v>48</v>
      </c>
      <c r="C204" s="4" t="s">
        <v>35</v>
      </c>
      <c r="D204" s="4" t="s">
        <v>58</v>
      </c>
      <c r="E204" s="4" t="s">
        <v>440</v>
      </c>
      <c r="F204" s="4" t="s">
        <v>37</v>
      </c>
      <c r="G204" s="4"/>
      <c r="H204" s="4" t="s">
        <v>56</v>
      </c>
      <c r="I204" s="4"/>
      <c r="J204" s="4">
        <v>4</v>
      </c>
      <c r="K204" s="4">
        <v>2</v>
      </c>
      <c r="L204" s="4">
        <v>1</v>
      </c>
      <c r="M204" s="4"/>
      <c r="N204" s="4" t="s">
        <v>33</v>
      </c>
      <c r="O204" s="4"/>
      <c r="P204" s="4" t="s">
        <v>30</v>
      </c>
      <c r="Q204" s="4" t="s">
        <v>458</v>
      </c>
      <c r="R204" s="4" t="s">
        <v>39</v>
      </c>
      <c r="S204" s="4" t="s">
        <v>32</v>
      </c>
      <c r="T204" s="4" t="s">
        <v>41</v>
      </c>
      <c r="U204" s="4"/>
      <c r="V204" s="4" t="s">
        <v>459</v>
      </c>
    </row>
    <row r="205" spans="1:22" ht="76.5" x14ac:dyDescent="0.2">
      <c r="A205" s="3">
        <v>41803.465092592603</v>
      </c>
      <c r="B205" s="4" t="s">
        <v>48</v>
      </c>
      <c r="C205" s="4" t="s">
        <v>35</v>
      </c>
      <c r="D205" s="4" t="s">
        <v>36</v>
      </c>
      <c r="E205" s="4"/>
      <c r="F205" s="4" t="s">
        <v>37</v>
      </c>
      <c r="G205" s="4"/>
      <c r="H205" s="4" t="s">
        <v>38</v>
      </c>
      <c r="I205" s="4"/>
      <c r="J205" s="4">
        <v>1</v>
      </c>
      <c r="K205" s="4">
        <v>1</v>
      </c>
      <c r="L205" s="4">
        <v>1</v>
      </c>
      <c r="M205" s="4"/>
      <c r="N205" s="4" t="s">
        <v>33</v>
      </c>
      <c r="O205" s="4"/>
      <c r="P205" s="4" t="s">
        <v>30</v>
      </c>
      <c r="Q205" s="4"/>
      <c r="R205" s="4" t="s">
        <v>460</v>
      </c>
      <c r="S205" s="4" t="s">
        <v>32</v>
      </c>
      <c r="T205" s="4" t="s">
        <v>33</v>
      </c>
      <c r="U205" s="4"/>
      <c r="V205" s="4"/>
    </row>
    <row r="206" spans="1:22" ht="63.75" x14ac:dyDescent="0.2">
      <c r="A206" s="3">
        <v>41803.465520833299</v>
      </c>
      <c r="B206" s="4" t="s">
        <v>48</v>
      </c>
      <c r="C206" s="4" t="s">
        <v>49</v>
      </c>
      <c r="D206" s="4" t="s">
        <v>24</v>
      </c>
      <c r="E206" s="4" t="s">
        <v>461</v>
      </c>
      <c r="F206" s="4" t="s">
        <v>37</v>
      </c>
      <c r="G206" s="4"/>
      <c r="H206" s="4" t="s">
        <v>38</v>
      </c>
      <c r="I206" s="4"/>
      <c r="J206" s="4">
        <v>3</v>
      </c>
      <c r="K206" s="4">
        <v>1</v>
      </c>
      <c r="L206" s="4">
        <v>1</v>
      </c>
      <c r="M206" s="4"/>
      <c r="N206" s="4" t="s">
        <v>33</v>
      </c>
      <c r="O206" s="4"/>
      <c r="P206" s="4" t="s">
        <v>45</v>
      </c>
      <c r="Q206" s="4"/>
      <c r="R206" s="4" t="s">
        <v>121</v>
      </c>
      <c r="S206" s="4" t="s">
        <v>59</v>
      </c>
      <c r="T206" s="4" t="s">
        <v>33</v>
      </c>
      <c r="U206" s="4"/>
      <c r="V206" s="4" t="s">
        <v>461</v>
      </c>
    </row>
    <row r="207" spans="1:22" ht="51" x14ac:dyDescent="0.2">
      <c r="A207" s="3">
        <v>41803.467314814799</v>
      </c>
      <c r="B207" s="4" t="s">
        <v>48</v>
      </c>
      <c r="C207" s="4" t="s">
        <v>35</v>
      </c>
      <c r="D207" s="4" t="s">
        <v>36</v>
      </c>
      <c r="E207" s="4"/>
      <c r="F207" s="4" t="s">
        <v>37</v>
      </c>
      <c r="G207" s="4"/>
      <c r="H207" s="4"/>
      <c r="I207" s="4"/>
      <c r="J207" s="4">
        <v>2</v>
      </c>
      <c r="K207" s="4">
        <v>2</v>
      </c>
      <c r="L207" s="4">
        <v>2</v>
      </c>
      <c r="M207" s="4"/>
      <c r="N207" s="4" t="s">
        <v>33</v>
      </c>
      <c r="O207" s="4"/>
      <c r="P207" s="4" t="s">
        <v>30</v>
      </c>
      <c r="Q207" s="4"/>
      <c r="R207" s="4" t="s">
        <v>39</v>
      </c>
      <c r="S207" s="4" t="s">
        <v>32</v>
      </c>
      <c r="T207" s="4" t="s">
        <v>41</v>
      </c>
      <c r="U207" s="4"/>
      <c r="V207" s="4" t="s">
        <v>461</v>
      </c>
    </row>
    <row r="208" spans="1:22" ht="63.75" x14ac:dyDescent="0.2">
      <c r="A208" s="3">
        <v>41803.4674884259</v>
      </c>
      <c r="B208" s="4" t="s">
        <v>48</v>
      </c>
      <c r="C208" s="4" t="s">
        <v>49</v>
      </c>
      <c r="D208" s="4" t="s">
        <v>50</v>
      </c>
      <c r="E208" s="4" t="s">
        <v>409</v>
      </c>
      <c r="F208" s="4" t="s">
        <v>37</v>
      </c>
      <c r="G208" s="4"/>
      <c r="H208" s="4" t="s">
        <v>56</v>
      </c>
      <c r="I208" s="4"/>
      <c r="J208" s="4">
        <v>1</v>
      </c>
      <c r="K208" s="4">
        <v>1</v>
      </c>
      <c r="L208" s="4">
        <v>1</v>
      </c>
      <c r="M208" s="4"/>
      <c r="N208" s="4" t="s">
        <v>33</v>
      </c>
      <c r="O208" s="4"/>
      <c r="P208" s="4" t="s">
        <v>30</v>
      </c>
      <c r="Q208" s="4"/>
      <c r="R208" s="4" t="s">
        <v>39</v>
      </c>
      <c r="S208" s="4" t="s">
        <v>59</v>
      </c>
      <c r="T208" s="4" t="s">
        <v>41</v>
      </c>
      <c r="U208" s="4"/>
      <c r="V208" s="4"/>
    </row>
    <row r="209" spans="1:22" ht="63.75" x14ac:dyDescent="0.2">
      <c r="A209" s="3">
        <v>41803.4674421296</v>
      </c>
      <c r="B209" s="4" t="s">
        <v>48</v>
      </c>
      <c r="C209" s="4" t="s">
        <v>49</v>
      </c>
      <c r="D209" s="4" t="s">
        <v>50</v>
      </c>
      <c r="E209" s="4" t="s">
        <v>409</v>
      </c>
      <c r="F209" s="4" t="s">
        <v>37</v>
      </c>
      <c r="G209" s="4"/>
      <c r="H209" s="4" t="s">
        <v>56</v>
      </c>
      <c r="I209" s="4"/>
      <c r="J209" s="4">
        <v>3</v>
      </c>
      <c r="K209" s="4">
        <v>2</v>
      </c>
      <c r="L209" s="4">
        <v>1</v>
      </c>
      <c r="M209" s="4"/>
      <c r="N209" s="4" t="s">
        <v>33</v>
      </c>
      <c r="O209" s="4"/>
      <c r="P209" s="4" t="s">
        <v>30</v>
      </c>
      <c r="Q209" s="4"/>
      <c r="R209" s="4" t="s">
        <v>39</v>
      </c>
      <c r="S209" s="4" t="s">
        <v>59</v>
      </c>
      <c r="T209" s="4" t="s">
        <v>33</v>
      </c>
      <c r="U209" s="4"/>
      <c r="V209" s="4" t="s">
        <v>440</v>
      </c>
    </row>
    <row r="210" spans="1:22" ht="51" x14ac:dyDescent="0.2">
      <c r="A210" s="3">
        <v>41803.470578703702</v>
      </c>
      <c r="B210" s="4" t="s">
        <v>68</v>
      </c>
      <c r="C210" s="4" t="s">
        <v>35</v>
      </c>
      <c r="D210" s="4" t="s">
        <v>62</v>
      </c>
      <c r="E210" s="4"/>
      <c r="F210" s="4" t="s">
        <v>37</v>
      </c>
      <c r="G210" s="4"/>
      <c r="H210" s="4" t="s">
        <v>56</v>
      </c>
      <c r="I210" s="4"/>
      <c r="J210" s="4">
        <v>3</v>
      </c>
      <c r="K210" s="4">
        <v>2</v>
      </c>
      <c r="L210" s="4">
        <v>1</v>
      </c>
      <c r="M210" s="4"/>
      <c r="N210" s="4" t="s">
        <v>33</v>
      </c>
      <c r="O210" s="4"/>
      <c r="P210" s="4" t="s">
        <v>30</v>
      </c>
      <c r="Q210" s="4"/>
      <c r="R210" s="4" t="s">
        <v>46</v>
      </c>
      <c r="S210" s="4" t="s">
        <v>32</v>
      </c>
      <c r="T210" s="4" t="s">
        <v>33</v>
      </c>
      <c r="U210" s="4"/>
      <c r="V210" s="4"/>
    </row>
    <row r="211" spans="1:22" ht="76.5" x14ac:dyDescent="0.2">
      <c r="A211" s="3">
        <v>41803.470659722203</v>
      </c>
      <c r="B211" s="4" t="s">
        <v>462</v>
      </c>
      <c r="C211" s="4" t="s">
        <v>53</v>
      </c>
      <c r="D211" s="4" t="s">
        <v>50</v>
      </c>
      <c r="E211" s="4" t="s">
        <v>463</v>
      </c>
      <c r="F211" s="4" t="s">
        <v>37</v>
      </c>
      <c r="G211" s="4"/>
      <c r="H211" s="4" t="s">
        <v>38</v>
      </c>
      <c r="I211" s="4"/>
      <c r="J211" s="4">
        <v>1</v>
      </c>
      <c r="K211" s="4">
        <v>1</v>
      </c>
      <c r="L211" s="4">
        <v>1</v>
      </c>
      <c r="M211" s="4"/>
      <c r="N211" s="4" t="s">
        <v>33</v>
      </c>
      <c r="O211" s="4"/>
      <c r="P211" s="4" t="s">
        <v>30</v>
      </c>
      <c r="Q211" s="4"/>
      <c r="R211" s="6" t="s">
        <v>464</v>
      </c>
      <c r="S211" s="4" t="s">
        <v>32</v>
      </c>
      <c r="T211" s="4" t="s">
        <v>33</v>
      </c>
      <c r="U211" s="4"/>
      <c r="V211" s="4" t="s">
        <v>465</v>
      </c>
    </row>
    <row r="212" spans="1:22" ht="114.75" x14ac:dyDescent="0.2">
      <c r="A212" s="3">
        <v>41803.470983796302</v>
      </c>
      <c r="B212" s="4" t="s">
        <v>48</v>
      </c>
      <c r="C212" s="4" t="s">
        <v>35</v>
      </c>
      <c r="D212" s="4" t="s">
        <v>58</v>
      </c>
      <c r="E212" s="4" t="s">
        <v>409</v>
      </c>
      <c r="F212" s="4" t="s">
        <v>37</v>
      </c>
      <c r="G212" s="4"/>
      <c r="H212" s="4" t="s">
        <v>28</v>
      </c>
      <c r="I212" s="4"/>
      <c r="J212" s="4">
        <v>4</v>
      </c>
      <c r="K212" s="4">
        <v>2</v>
      </c>
      <c r="L212" s="4">
        <v>1</v>
      </c>
      <c r="M212" s="4" t="s">
        <v>466</v>
      </c>
      <c r="N212" s="4" t="s">
        <v>180</v>
      </c>
      <c r="O212" s="4"/>
      <c r="P212" s="4" t="s">
        <v>90</v>
      </c>
      <c r="Q212" s="4"/>
      <c r="R212" s="4" t="s">
        <v>237</v>
      </c>
      <c r="S212" s="4" t="s">
        <v>59</v>
      </c>
      <c r="T212" s="4" t="s">
        <v>41</v>
      </c>
      <c r="U212" s="4"/>
      <c r="V212" s="4" t="s">
        <v>467</v>
      </c>
    </row>
    <row r="213" spans="1:22" ht="409.5" x14ac:dyDescent="0.2">
      <c r="A213" s="3">
        <v>41803.473229166702</v>
      </c>
      <c r="B213" s="4" t="s">
        <v>34</v>
      </c>
      <c r="C213" s="4" t="s">
        <v>35</v>
      </c>
      <c r="D213" s="4" t="s">
        <v>58</v>
      </c>
      <c r="E213" s="4"/>
      <c r="F213" s="4" t="s">
        <v>37</v>
      </c>
      <c r="G213" s="4"/>
      <c r="H213" s="4" t="s">
        <v>56</v>
      </c>
      <c r="I213" s="4"/>
      <c r="J213" s="4">
        <v>2</v>
      </c>
      <c r="K213" s="4">
        <v>3</v>
      </c>
      <c r="L213" s="4">
        <v>1</v>
      </c>
      <c r="M213" s="4"/>
      <c r="N213" s="4"/>
      <c r="O213" s="4"/>
      <c r="P213" s="4" t="s">
        <v>30</v>
      </c>
      <c r="Q213" s="4" t="s">
        <v>468</v>
      </c>
      <c r="R213" s="4" t="s">
        <v>39</v>
      </c>
      <c r="S213" s="4" t="s">
        <v>59</v>
      </c>
      <c r="T213" s="4"/>
      <c r="U213" s="4"/>
      <c r="V213" s="4" t="s">
        <v>469</v>
      </c>
    </row>
    <row r="214" spans="1:22" ht="63.75" x14ac:dyDescent="0.2">
      <c r="A214" s="3">
        <v>41803.4746759259</v>
      </c>
      <c r="B214" s="4" t="s">
        <v>48</v>
      </c>
      <c r="C214" s="4" t="s">
        <v>35</v>
      </c>
      <c r="D214" s="4" t="s">
        <v>58</v>
      </c>
      <c r="E214" s="4" t="s">
        <v>610</v>
      </c>
      <c r="F214" s="4" t="s">
        <v>37</v>
      </c>
      <c r="G214" s="4"/>
      <c r="H214" s="4" t="s">
        <v>56</v>
      </c>
      <c r="I214" s="4"/>
      <c r="J214" s="4"/>
      <c r="K214" s="4"/>
      <c r="L214" s="4"/>
      <c r="M214" s="4"/>
      <c r="N214" s="4" t="s">
        <v>33</v>
      </c>
      <c r="O214" s="4"/>
      <c r="P214" s="4" t="s">
        <v>30</v>
      </c>
      <c r="Q214" s="4"/>
      <c r="R214" s="4" t="s">
        <v>46</v>
      </c>
      <c r="S214" s="4" t="s">
        <v>59</v>
      </c>
      <c r="T214" s="4" t="s">
        <v>33</v>
      </c>
      <c r="U214" s="4"/>
      <c r="V214" s="4"/>
    </row>
    <row r="215" spans="1:22" ht="76.5" x14ac:dyDescent="0.2">
      <c r="A215" s="3">
        <v>41803.476493055598</v>
      </c>
      <c r="B215" s="4" t="s">
        <v>48</v>
      </c>
      <c r="C215" s="4" t="s">
        <v>35</v>
      </c>
      <c r="D215" s="4" t="s">
        <v>36</v>
      </c>
      <c r="E215" s="4"/>
      <c r="F215" s="4" t="s">
        <v>37</v>
      </c>
      <c r="G215" s="4"/>
      <c r="H215" s="4" t="s">
        <v>56</v>
      </c>
      <c r="I215" s="4"/>
      <c r="J215" s="4">
        <v>5</v>
      </c>
      <c r="K215" s="4">
        <v>1</v>
      </c>
      <c r="L215" s="4">
        <v>1</v>
      </c>
      <c r="M215" s="4"/>
      <c r="N215" s="4" t="s">
        <v>33</v>
      </c>
      <c r="O215" s="4"/>
      <c r="P215" s="4" t="s">
        <v>30</v>
      </c>
      <c r="Q215" s="4"/>
      <c r="R215" s="4" t="s">
        <v>72</v>
      </c>
      <c r="S215" s="4" t="s">
        <v>32</v>
      </c>
      <c r="T215" s="4" t="s">
        <v>33</v>
      </c>
      <c r="U215" s="4"/>
      <c r="V215" s="4" t="s">
        <v>470</v>
      </c>
    </row>
    <row r="216" spans="1:22" ht="51" x14ac:dyDescent="0.2">
      <c r="A216" s="3">
        <v>41803.477256944403</v>
      </c>
      <c r="B216" s="6" t="s">
        <v>479</v>
      </c>
      <c r="C216" s="4" t="s">
        <v>49</v>
      </c>
      <c r="D216" s="4" t="s">
        <v>58</v>
      </c>
      <c r="E216" s="4"/>
      <c r="F216" s="4" t="s">
        <v>37</v>
      </c>
      <c r="G216" s="4"/>
      <c r="H216" s="4" t="s">
        <v>38</v>
      </c>
      <c r="I216" s="4"/>
      <c r="J216" s="4">
        <v>1</v>
      </c>
      <c r="K216" s="4">
        <v>4</v>
      </c>
      <c r="L216" s="4">
        <v>5</v>
      </c>
      <c r="M216" s="4"/>
      <c r="N216" s="4" t="s">
        <v>33</v>
      </c>
      <c r="O216" s="4"/>
      <c r="P216" s="4" t="s">
        <v>30</v>
      </c>
      <c r="Q216" s="4"/>
      <c r="R216" s="4" t="s">
        <v>39</v>
      </c>
      <c r="S216" s="4" t="s">
        <v>32</v>
      </c>
      <c r="T216" s="4" t="s">
        <v>33</v>
      </c>
      <c r="U216" s="4"/>
      <c r="V216" s="4"/>
    </row>
    <row r="217" spans="1:22" ht="63.75" x14ac:dyDescent="0.2">
      <c r="A217" s="3">
        <v>41803.479571759301</v>
      </c>
      <c r="B217" s="4" t="s">
        <v>34</v>
      </c>
      <c r="C217" s="4" t="s">
        <v>35</v>
      </c>
      <c r="D217" s="4" t="s">
        <v>62</v>
      </c>
      <c r="E217" s="4"/>
      <c r="F217" s="4" t="s">
        <v>37</v>
      </c>
      <c r="G217" s="4"/>
      <c r="H217" s="4" t="s">
        <v>38</v>
      </c>
      <c r="I217" s="4"/>
      <c r="J217" s="4">
        <v>1</v>
      </c>
      <c r="K217" s="4">
        <v>1</v>
      </c>
      <c r="L217" s="4">
        <v>3</v>
      </c>
      <c r="M217" s="4"/>
      <c r="N217" s="4" t="s">
        <v>33</v>
      </c>
      <c r="O217" s="4"/>
      <c r="P217" s="4" t="s">
        <v>30</v>
      </c>
      <c r="Q217" s="4"/>
      <c r="R217" s="4" t="s">
        <v>64</v>
      </c>
      <c r="S217" s="4" t="s">
        <v>59</v>
      </c>
      <c r="T217" s="4" t="s">
        <v>33</v>
      </c>
      <c r="U217" s="4"/>
      <c r="V217" s="4" t="s">
        <v>463</v>
      </c>
    </row>
    <row r="218" spans="1:22" ht="51" x14ac:dyDescent="0.2">
      <c r="A218" s="3">
        <v>41803.480185185203</v>
      </c>
      <c r="B218" s="4" t="s">
        <v>48</v>
      </c>
      <c r="C218" s="4" t="s">
        <v>35</v>
      </c>
      <c r="D218" s="4" t="s">
        <v>58</v>
      </c>
      <c r="E218" s="4"/>
      <c r="F218" s="4" t="s">
        <v>37</v>
      </c>
      <c r="G218" s="4"/>
      <c r="H218" s="4" t="s">
        <v>56</v>
      </c>
      <c r="I218" s="4"/>
      <c r="J218" s="4">
        <v>1</v>
      </c>
      <c r="K218" s="4">
        <v>1</v>
      </c>
      <c r="L218" s="4">
        <v>1</v>
      </c>
      <c r="M218" s="4"/>
      <c r="N218" s="4" t="s">
        <v>33</v>
      </c>
      <c r="O218" s="4"/>
      <c r="P218" s="4" t="s">
        <v>30</v>
      </c>
      <c r="Q218" s="4"/>
      <c r="R218" s="4" t="s">
        <v>39</v>
      </c>
      <c r="S218" s="4" t="s">
        <v>32</v>
      </c>
      <c r="T218" s="4" t="s">
        <v>33</v>
      </c>
      <c r="U218" s="4"/>
      <c r="V218" s="4" t="s">
        <v>440</v>
      </c>
    </row>
    <row r="219" spans="1:22" ht="51" x14ac:dyDescent="0.2">
      <c r="A219" s="3">
        <v>41803.485428240703</v>
      </c>
      <c r="B219" s="4" t="s">
        <v>48</v>
      </c>
      <c r="C219" s="4" t="s">
        <v>49</v>
      </c>
      <c r="D219" s="4" t="s">
        <v>58</v>
      </c>
      <c r="E219" s="4"/>
      <c r="F219" s="4" t="s">
        <v>37</v>
      </c>
      <c r="G219" s="4"/>
      <c r="H219" s="4"/>
      <c r="I219" s="4"/>
      <c r="J219" s="4">
        <v>3</v>
      </c>
      <c r="K219" s="4">
        <v>2</v>
      </c>
      <c r="L219" s="4">
        <v>1</v>
      </c>
      <c r="M219" s="4"/>
      <c r="N219" s="4" t="s">
        <v>33</v>
      </c>
      <c r="O219" s="4"/>
      <c r="P219" s="4" t="s">
        <v>30</v>
      </c>
      <c r="Q219" s="4"/>
      <c r="R219" s="4" t="s">
        <v>39</v>
      </c>
      <c r="S219" s="4" t="s">
        <v>32</v>
      </c>
      <c r="T219" s="4" t="s">
        <v>33</v>
      </c>
      <c r="U219" s="4"/>
      <c r="V219" s="4" t="s">
        <v>472</v>
      </c>
    </row>
    <row r="220" spans="1:22" ht="89.25" x14ac:dyDescent="0.2">
      <c r="A220" s="3">
        <v>41803.487268518496</v>
      </c>
      <c r="B220" s="4" t="s">
        <v>48</v>
      </c>
      <c r="C220" s="4" t="s">
        <v>49</v>
      </c>
      <c r="D220" s="4" t="s">
        <v>24</v>
      </c>
      <c r="E220" s="4" t="s">
        <v>456</v>
      </c>
      <c r="F220" s="4" t="s">
        <v>37</v>
      </c>
      <c r="G220" s="4"/>
      <c r="H220" s="4" t="s">
        <v>56</v>
      </c>
      <c r="I220" s="4" t="s">
        <v>473</v>
      </c>
      <c r="J220" s="4">
        <v>1</v>
      </c>
      <c r="K220" s="4">
        <v>1</v>
      </c>
      <c r="L220" s="4">
        <v>1</v>
      </c>
      <c r="M220" s="4"/>
      <c r="N220" s="6" t="s">
        <v>29</v>
      </c>
      <c r="O220" s="4" t="s">
        <v>474</v>
      </c>
      <c r="P220" s="4" t="s">
        <v>30</v>
      </c>
      <c r="Q220" s="4"/>
      <c r="R220" s="4" t="s">
        <v>39</v>
      </c>
      <c r="S220" s="4" t="s">
        <v>40</v>
      </c>
      <c r="T220" s="4" t="s">
        <v>33</v>
      </c>
      <c r="U220" s="4"/>
      <c r="V220" s="4"/>
    </row>
    <row r="221" spans="1:22" ht="63.75" x14ac:dyDescent="0.2">
      <c r="A221" s="3">
        <v>41803.4887268518</v>
      </c>
      <c r="B221" s="4" t="s">
        <v>34</v>
      </c>
      <c r="C221" s="4" t="s">
        <v>23</v>
      </c>
      <c r="D221" s="4" t="s">
        <v>24</v>
      </c>
      <c r="E221" s="4" t="s">
        <v>475</v>
      </c>
      <c r="F221" s="4" t="s">
        <v>37</v>
      </c>
      <c r="G221" s="4"/>
      <c r="H221" s="4" t="s">
        <v>38</v>
      </c>
      <c r="I221" s="4"/>
      <c r="J221" s="4">
        <v>2</v>
      </c>
      <c r="K221" s="4">
        <v>3</v>
      </c>
      <c r="L221" s="4">
        <v>5</v>
      </c>
      <c r="M221" s="4"/>
      <c r="N221" s="4" t="s">
        <v>33</v>
      </c>
      <c r="O221" s="4"/>
      <c r="P221" s="4" t="s">
        <v>30</v>
      </c>
      <c r="Q221" s="4"/>
      <c r="R221" s="4" t="s">
        <v>39</v>
      </c>
      <c r="S221" s="4" t="s">
        <v>59</v>
      </c>
      <c r="T221" s="4" t="s">
        <v>41</v>
      </c>
      <c r="U221" s="4"/>
      <c r="V221" s="4" t="s">
        <v>476</v>
      </c>
    </row>
    <row r="222" spans="1:22" ht="114.75" x14ac:dyDescent="0.2">
      <c r="A222" s="3">
        <v>41803.491122685198</v>
      </c>
      <c r="B222" s="4" t="s">
        <v>477</v>
      </c>
      <c r="C222" s="4" t="s">
        <v>49</v>
      </c>
      <c r="D222" s="4" t="s">
        <v>62</v>
      </c>
      <c r="E222" s="4"/>
      <c r="F222" s="4" t="s">
        <v>37</v>
      </c>
      <c r="G222" s="4"/>
      <c r="H222" s="4" t="s">
        <v>56</v>
      </c>
      <c r="I222" s="4" t="s">
        <v>478</v>
      </c>
      <c r="J222" s="4">
        <v>3</v>
      </c>
      <c r="K222" s="4">
        <v>2</v>
      </c>
      <c r="L222" s="4">
        <v>1</v>
      </c>
      <c r="M222" s="4"/>
      <c r="N222" s="4" t="s">
        <v>33</v>
      </c>
      <c r="O222" s="4"/>
      <c r="P222" s="4" t="s">
        <v>30</v>
      </c>
      <c r="Q222" s="4"/>
      <c r="R222" s="4" t="s">
        <v>39</v>
      </c>
      <c r="S222" s="4" t="s">
        <v>59</v>
      </c>
      <c r="T222" s="4" t="s">
        <v>33</v>
      </c>
      <c r="U222" s="4"/>
      <c r="V222" s="4"/>
    </row>
    <row r="223" spans="1:22" ht="63.75" x14ac:dyDescent="0.2">
      <c r="A223" s="3">
        <v>41803.491759259297</v>
      </c>
      <c r="B223" s="4" t="s">
        <v>479</v>
      </c>
      <c r="C223" s="4" t="s">
        <v>49</v>
      </c>
      <c r="D223" s="4" t="s">
        <v>24</v>
      </c>
      <c r="E223" s="4" t="s">
        <v>480</v>
      </c>
      <c r="F223" s="4" t="s">
        <v>37</v>
      </c>
      <c r="G223" s="4"/>
      <c r="H223" s="4" t="s">
        <v>56</v>
      </c>
      <c r="I223" s="4"/>
      <c r="J223" s="4">
        <v>5</v>
      </c>
      <c r="K223" s="4">
        <v>5</v>
      </c>
      <c r="L223" s="4">
        <v>5</v>
      </c>
      <c r="M223" s="4"/>
      <c r="N223" s="4" t="s">
        <v>33</v>
      </c>
      <c r="O223" s="4"/>
      <c r="P223" s="4" t="s">
        <v>30</v>
      </c>
      <c r="Q223" s="4" t="s">
        <v>414</v>
      </c>
      <c r="R223" s="4" t="s">
        <v>39</v>
      </c>
      <c r="S223" s="4" t="s">
        <v>59</v>
      </c>
      <c r="T223" s="4" t="s">
        <v>33</v>
      </c>
      <c r="U223" s="4"/>
      <c r="V223" s="4" t="s">
        <v>481</v>
      </c>
    </row>
    <row r="224" spans="1:22" ht="51" x14ac:dyDescent="0.2">
      <c r="A224" s="3">
        <v>41803.492314814801</v>
      </c>
      <c r="B224" s="4" t="s">
        <v>34</v>
      </c>
      <c r="C224" s="4" t="s">
        <v>35</v>
      </c>
      <c r="D224" s="4" t="s">
        <v>58</v>
      </c>
      <c r="E224" s="4"/>
      <c r="F224" s="4" t="s">
        <v>37</v>
      </c>
      <c r="G224" s="4"/>
      <c r="H224" s="4" t="s">
        <v>56</v>
      </c>
      <c r="I224" s="4"/>
      <c r="J224" s="4">
        <v>3</v>
      </c>
      <c r="K224" s="4">
        <v>1</v>
      </c>
      <c r="L224" s="4">
        <v>1</v>
      </c>
      <c r="M224" s="4"/>
      <c r="N224" s="4" t="s">
        <v>33</v>
      </c>
      <c r="O224" s="4"/>
      <c r="P224" s="4" t="s">
        <v>30</v>
      </c>
      <c r="Q224" s="4"/>
      <c r="R224" s="4" t="s">
        <v>39</v>
      </c>
      <c r="S224" s="4" t="s">
        <v>32</v>
      </c>
      <c r="T224" s="4" t="s">
        <v>41</v>
      </c>
      <c r="U224" s="4"/>
      <c r="V224" s="4" t="s">
        <v>482</v>
      </c>
    </row>
    <row r="225" spans="1:22" ht="63.75" x14ac:dyDescent="0.2">
      <c r="A225" s="3">
        <v>41803.4929050926</v>
      </c>
      <c r="B225" s="4" t="s">
        <v>34</v>
      </c>
      <c r="C225" s="4" t="s">
        <v>49</v>
      </c>
      <c r="D225" s="4" t="s">
        <v>24</v>
      </c>
      <c r="E225" s="4" t="s">
        <v>409</v>
      </c>
      <c r="F225" s="4"/>
      <c r="G225" s="4"/>
      <c r="H225" s="4" t="s">
        <v>56</v>
      </c>
      <c r="I225" s="4"/>
      <c r="J225" s="4">
        <v>1</v>
      </c>
      <c r="K225" s="4">
        <v>1</v>
      </c>
      <c r="L225" s="4">
        <v>1</v>
      </c>
      <c r="M225" s="4"/>
      <c r="N225" s="4" t="s">
        <v>33</v>
      </c>
      <c r="O225" s="4"/>
      <c r="P225" s="4" t="s">
        <v>30</v>
      </c>
      <c r="Q225" s="4"/>
      <c r="R225" s="4" t="s">
        <v>39</v>
      </c>
      <c r="S225" s="4" t="s">
        <v>59</v>
      </c>
      <c r="T225" s="4" t="s">
        <v>33</v>
      </c>
      <c r="U225" s="4"/>
      <c r="V225" s="4" t="s">
        <v>483</v>
      </c>
    </row>
    <row r="226" spans="1:22" ht="102" x14ac:dyDescent="0.2">
      <c r="A226" s="3">
        <v>41803.493599537003</v>
      </c>
      <c r="B226" s="4" t="s">
        <v>48</v>
      </c>
      <c r="C226" s="4" t="s">
        <v>35</v>
      </c>
      <c r="D226" s="4" t="s">
        <v>36</v>
      </c>
      <c r="E226" s="4"/>
      <c r="F226" s="4" t="s">
        <v>37</v>
      </c>
      <c r="G226" s="4"/>
      <c r="H226" s="4" t="s">
        <v>38</v>
      </c>
      <c r="I226" s="4"/>
      <c r="J226" s="4">
        <v>4</v>
      </c>
      <c r="K226" s="4">
        <v>1</v>
      </c>
      <c r="L226" s="4">
        <v>1</v>
      </c>
      <c r="M226" s="4"/>
      <c r="N226" s="4" t="s">
        <v>33</v>
      </c>
      <c r="O226" s="4"/>
      <c r="P226" s="4" t="s">
        <v>30</v>
      </c>
      <c r="Q226" s="4"/>
      <c r="R226" s="4" t="s">
        <v>282</v>
      </c>
      <c r="S226" s="4" t="s">
        <v>32</v>
      </c>
      <c r="T226" s="4" t="s">
        <v>33</v>
      </c>
      <c r="U226" s="4"/>
      <c r="V226" s="4"/>
    </row>
    <row r="227" spans="1:22" ht="63.75" x14ac:dyDescent="0.2">
      <c r="A227" s="3">
        <v>41803.495196759301</v>
      </c>
      <c r="B227" s="4" t="s">
        <v>48</v>
      </c>
      <c r="C227" s="4" t="s">
        <v>35</v>
      </c>
      <c r="D227" s="4" t="s">
        <v>58</v>
      </c>
      <c r="E227" s="4"/>
      <c r="F227" s="4" t="s">
        <v>37</v>
      </c>
      <c r="G227" s="4"/>
      <c r="H227" s="4" t="s">
        <v>38</v>
      </c>
      <c r="I227" s="4"/>
      <c r="J227" s="4"/>
      <c r="K227" s="4"/>
      <c r="L227" s="4">
        <v>1</v>
      </c>
      <c r="M227" s="4"/>
      <c r="N227" s="4" t="s">
        <v>33</v>
      </c>
      <c r="O227" s="4"/>
      <c r="P227" s="4" t="s">
        <v>30</v>
      </c>
      <c r="Q227" s="4"/>
      <c r="R227" s="4" t="s">
        <v>39</v>
      </c>
      <c r="S227" s="4" t="s">
        <v>59</v>
      </c>
      <c r="T227" s="4" t="s">
        <v>33</v>
      </c>
      <c r="U227" s="4"/>
      <c r="V227" s="4"/>
    </row>
    <row r="228" spans="1:22" ht="63.75" x14ac:dyDescent="0.2">
      <c r="A228" s="3">
        <v>41803.495312500003</v>
      </c>
      <c r="B228" s="4" t="s">
        <v>48</v>
      </c>
      <c r="C228" s="4" t="s">
        <v>35</v>
      </c>
      <c r="D228" s="4" t="s">
        <v>58</v>
      </c>
      <c r="E228" s="4"/>
      <c r="F228" s="4" t="s">
        <v>37</v>
      </c>
      <c r="G228" s="4"/>
      <c r="H228" s="4" t="s">
        <v>38</v>
      </c>
      <c r="I228" s="4"/>
      <c r="J228" s="4"/>
      <c r="K228" s="4"/>
      <c r="L228" s="4">
        <v>1</v>
      </c>
      <c r="M228" s="4"/>
      <c r="N228" s="4" t="s">
        <v>33</v>
      </c>
      <c r="O228" s="4"/>
      <c r="P228" s="4" t="s">
        <v>30</v>
      </c>
      <c r="Q228" s="4"/>
      <c r="R228" s="4" t="s">
        <v>39</v>
      </c>
      <c r="S228" s="4" t="s">
        <v>59</v>
      </c>
      <c r="T228" s="4" t="s">
        <v>33</v>
      </c>
      <c r="U228" s="4"/>
      <c r="V228" s="4"/>
    </row>
    <row r="229" spans="1:22" ht="63.75" x14ac:dyDescent="0.2">
      <c r="A229" s="3">
        <v>41803.497048611098</v>
      </c>
      <c r="B229" s="4" t="s">
        <v>48</v>
      </c>
      <c r="C229" s="4" t="s">
        <v>35</v>
      </c>
      <c r="D229" s="4" t="s">
        <v>58</v>
      </c>
      <c r="E229" s="4"/>
      <c r="F229" s="4" t="s">
        <v>37</v>
      </c>
      <c r="G229" s="4"/>
      <c r="H229" s="4" t="s">
        <v>28</v>
      </c>
      <c r="I229" s="4"/>
      <c r="J229" s="4">
        <v>3</v>
      </c>
      <c r="K229" s="4">
        <v>2</v>
      </c>
      <c r="L229" s="4">
        <v>1</v>
      </c>
      <c r="M229" s="4"/>
      <c r="N229" s="4" t="s">
        <v>33</v>
      </c>
      <c r="O229" s="4"/>
      <c r="P229" s="4" t="s">
        <v>30</v>
      </c>
      <c r="Q229" s="4"/>
      <c r="R229" s="4" t="s">
        <v>39</v>
      </c>
      <c r="S229" s="4" t="s">
        <v>59</v>
      </c>
      <c r="T229" s="4" t="s">
        <v>41</v>
      </c>
      <c r="U229" s="4"/>
      <c r="V229" s="4" t="s">
        <v>484</v>
      </c>
    </row>
    <row r="230" spans="1:22" ht="409.5" x14ac:dyDescent="0.2">
      <c r="A230" s="3">
        <v>41803.498483796298</v>
      </c>
      <c r="B230" s="4" t="s">
        <v>48</v>
      </c>
      <c r="C230" s="4" t="s">
        <v>35</v>
      </c>
      <c r="D230" s="4" t="s">
        <v>58</v>
      </c>
      <c r="E230" s="4" t="s">
        <v>485</v>
      </c>
      <c r="F230" s="4" t="s">
        <v>37</v>
      </c>
      <c r="G230" s="4"/>
      <c r="H230" s="4"/>
      <c r="I230" s="4" t="s">
        <v>486</v>
      </c>
      <c r="J230" s="4">
        <v>3</v>
      </c>
      <c r="K230" s="4">
        <v>1</v>
      </c>
      <c r="L230" s="4">
        <v>1</v>
      </c>
      <c r="M230" s="4" t="s">
        <v>487</v>
      </c>
      <c r="N230" s="4" t="s">
        <v>33</v>
      </c>
      <c r="O230" s="4"/>
      <c r="P230" s="4" t="s">
        <v>30</v>
      </c>
      <c r="Q230" s="4" t="s">
        <v>488</v>
      </c>
      <c r="R230" s="4" t="s">
        <v>39</v>
      </c>
      <c r="S230" s="4" t="s">
        <v>32</v>
      </c>
      <c r="T230" s="4" t="s">
        <v>33</v>
      </c>
      <c r="U230" s="6" t="s">
        <v>489</v>
      </c>
      <c r="V230" s="4" t="s">
        <v>461</v>
      </c>
    </row>
    <row r="231" spans="1:22" ht="140.25" x14ac:dyDescent="0.2">
      <c r="A231" s="3">
        <v>41803.500057870398</v>
      </c>
      <c r="B231" s="4" t="s">
        <v>34</v>
      </c>
      <c r="C231" s="4" t="s">
        <v>49</v>
      </c>
      <c r="D231" s="4" t="s">
        <v>62</v>
      </c>
      <c r="E231" s="4"/>
      <c r="F231" s="4" t="s">
        <v>37</v>
      </c>
      <c r="G231" s="4"/>
      <c r="H231" s="4"/>
      <c r="I231" s="4"/>
      <c r="J231" s="4">
        <v>4</v>
      </c>
      <c r="K231" s="4">
        <v>3</v>
      </c>
      <c r="L231" s="4">
        <v>1</v>
      </c>
      <c r="M231" s="4"/>
      <c r="N231" s="4" t="s">
        <v>33</v>
      </c>
      <c r="O231" s="4"/>
      <c r="P231" s="4" t="s">
        <v>30</v>
      </c>
      <c r="Q231" s="4" t="s">
        <v>490</v>
      </c>
      <c r="R231" s="4" t="s">
        <v>39</v>
      </c>
      <c r="S231" s="4"/>
      <c r="T231" s="4"/>
      <c r="U231" s="4"/>
      <c r="V231" s="4" t="s">
        <v>491</v>
      </c>
    </row>
    <row r="232" spans="1:22" ht="76.5" x14ac:dyDescent="0.2">
      <c r="A232" s="3">
        <v>41803.509050925903</v>
      </c>
      <c r="B232" s="4" t="s">
        <v>48</v>
      </c>
      <c r="C232" s="4" t="s">
        <v>35</v>
      </c>
      <c r="D232" s="4" t="s">
        <v>58</v>
      </c>
      <c r="E232" s="4" t="s">
        <v>409</v>
      </c>
      <c r="F232" s="4" t="s">
        <v>37</v>
      </c>
      <c r="G232" s="4"/>
      <c r="H232" s="4" t="s">
        <v>56</v>
      </c>
      <c r="I232" s="4" t="s">
        <v>492</v>
      </c>
      <c r="J232" s="4">
        <v>3</v>
      </c>
      <c r="K232" s="4">
        <v>3</v>
      </c>
      <c r="L232" s="4">
        <v>1</v>
      </c>
      <c r="M232" s="4"/>
      <c r="N232" s="4" t="s">
        <v>33</v>
      </c>
      <c r="O232" s="4"/>
      <c r="P232" s="4" t="s">
        <v>30</v>
      </c>
      <c r="Q232" s="4"/>
      <c r="R232" s="4" t="s">
        <v>278</v>
      </c>
      <c r="S232" s="4" t="s">
        <v>32</v>
      </c>
      <c r="T232" s="4" t="s">
        <v>33</v>
      </c>
      <c r="U232" s="4"/>
      <c r="V232" s="4" t="s">
        <v>493</v>
      </c>
    </row>
    <row r="233" spans="1:22" ht="76.5" x14ac:dyDescent="0.2">
      <c r="A233" s="3">
        <v>41803.510497685202</v>
      </c>
      <c r="B233" s="4" t="s">
        <v>48</v>
      </c>
      <c r="C233" s="4" t="s">
        <v>35</v>
      </c>
      <c r="D233" s="4" t="s">
        <v>58</v>
      </c>
      <c r="E233" s="4"/>
      <c r="F233" s="4" t="s">
        <v>37</v>
      </c>
      <c r="G233" s="4"/>
      <c r="H233" s="4"/>
      <c r="I233" s="4"/>
      <c r="J233" s="4">
        <v>3</v>
      </c>
      <c r="K233" s="4">
        <v>3</v>
      </c>
      <c r="L233" s="4">
        <v>1</v>
      </c>
      <c r="M233" s="4"/>
      <c r="N233" s="4" t="s">
        <v>33</v>
      </c>
      <c r="O233" s="4"/>
      <c r="P233" s="4" t="s">
        <v>30</v>
      </c>
      <c r="Q233" s="4"/>
      <c r="R233" s="4" t="s">
        <v>72</v>
      </c>
      <c r="S233" s="4" t="s">
        <v>59</v>
      </c>
      <c r="T233" s="4"/>
      <c r="U233" s="4"/>
      <c r="V233" s="4"/>
    </row>
    <row r="234" spans="1:22" ht="51" x14ac:dyDescent="0.2">
      <c r="A234" s="3">
        <v>41803.5112731482</v>
      </c>
      <c r="B234" s="4" t="s">
        <v>48</v>
      </c>
      <c r="C234" s="4" t="s">
        <v>49</v>
      </c>
      <c r="D234" s="4" t="s">
        <v>62</v>
      </c>
      <c r="E234" s="4"/>
      <c r="F234" s="4" t="s">
        <v>37</v>
      </c>
      <c r="G234" s="4"/>
      <c r="H234" s="4" t="s">
        <v>38</v>
      </c>
      <c r="I234" s="4"/>
      <c r="J234" s="4">
        <v>3</v>
      </c>
      <c r="K234" s="4">
        <v>2</v>
      </c>
      <c r="L234" s="4">
        <v>1</v>
      </c>
      <c r="M234" s="4"/>
      <c r="N234" s="4" t="s">
        <v>33</v>
      </c>
      <c r="O234" s="4"/>
      <c r="P234" s="4" t="s">
        <v>30</v>
      </c>
      <c r="Q234" s="4"/>
      <c r="R234" s="4" t="s">
        <v>39</v>
      </c>
      <c r="S234" s="4" t="s">
        <v>32</v>
      </c>
      <c r="T234" s="4" t="s">
        <v>33</v>
      </c>
      <c r="U234" s="4"/>
      <c r="V234" s="4" t="s">
        <v>494</v>
      </c>
    </row>
    <row r="235" spans="1:22" ht="63.75" x14ac:dyDescent="0.2">
      <c r="A235" s="3">
        <v>41803.511458333298</v>
      </c>
      <c r="B235" s="4" t="s">
        <v>68</v>
      </c>
      <c r="C235" s="4" t="s">
        <v>35</v>
      </c>
      <c r="D235" s="4" t="s">
        <v>58</v>
      </c>
      <c r="E235" s="4"/>
      <c r="F235" s="4" t="s">
        <v>37</v>
      </c>
      <c r="G235" s="4"/>
      <c r="H235" s="4" t="s">
        <v>56</v>
      </c>
      <c r="I235" s="4"/>
      <c r="J235" s="4">
        <v>2</v>
      </c>
      <c r="K235" s="4">
        <v>1</v>
      </c>
      <c r="L235" s="4">
        <v>1</v>
      </c>
      <c r="M235" s="4"/>
      <c r="N235" s="4" t="s">
        <v>33</v>
      </c>
      <c r="O235" s="4"/>
      <c r="P235" s="4" t="s">
        <v>30</v>
      </c>
      <c r="Q235" s="4"/>
      <c r="R235" s="4" t="s">
        <v>39</v>
      </c>
      <c r="S235" s="4" t="s">
        <v>59</v>
      </c>
      <c r="T235" s="4" t="s">
        <v>41</v>
      </c>
      <c r="U235" s="4"/>
      <c r="V235" s="4"/>
    </row>
    <row r="236" spans="1:22" ht="76.5" x14ac:dyDescent="0.2">
      <c r="A236" s="3">
        <v>41803.513680555603</v>
      </c>
      <c r="B236" s="4" t="s">
        <v>48</v>
      </c>
      <c r="C236" s="4" t="s">
        <v>35</v>
      </c>
      <c r="D236" s="4" t="s">
        <v>58</v>
      </c>
      <c r="E236" s="4"/>
      <c r="F236" s="4" t="s">
        <v>37</v>
      </c>
      <c r="G236" s="4"/>
      <c r="H236" s="4" t="s">
        <v>56</v>
      </c>
      <c r="I236" s="4"/>
      <c r="J236" s="4">
        <v>3</v>
      </c>
      <c r="K236" s="4">
        <v>1</v>
      </c>
      <c r="L236" s="4">
        <v>2</v>
      </c>
      <c r="M236" s="4"/>
      <c r="N236" s="4" t="s">
        <v>33</v>
      </c>
      <c r="O236" s="4"/>
      <c r="P236" s="4" t="s">
        <v>30</v>
      </c>
      <c r="Q236" s="4"/>
      <c r="R236" s="4" t="s">
        <v>72</v>
      </c>
      <c r="S236" s="4" t="s">
        <v>59</v>
      </c>
      <c r="T236" s="4" t="s">
        <v>33</v>
      </c>
      <c r="U236" s="4"/>
      <c r="V236" s="4" t="s">
        <v>456</v>
      </c>
    </row>
    <row r="237" spans="1:22" ht="63.75" x14ac:dyDescent="0.2">
      <c r="A237" s="3">
        <v>41803.513993055603</v>
      </c>
      <c r="B237" s="4" t="s">
        <v>479</v>
      </c>
      <c r="C237" s="4" t="s">
        <v>35</v>
      </c>
      <c r="D237" s="4" t="s">
        <v>36</v>
      </c>
      <c r="E237" s="4"/>
      <c r="F237" s="4" t="s">
        <v>37</v>
      </c>
      <c r="G237" s="4"/>
      <c r="H237" s="4" t="s">
        <v>28</v>
      </c>
      <c r="I237" s="4"/>
      <c r="J237" s="4">
        <v>3</v>
      </c>
      <c r="K237" s="4">
        <v>2</v>
      </c>
      <c r="L237" s="4">
        <v>1</v>
      </c>
      <c r="M237" s="4"/>
      <c r="N237" s="4"/>
      <c r="O237" s="4"/>
      <c r="P237" s="4" t="s">
        <v>45</v>
      </c>
      <c r="Q237" s="4"/>
      <c r="R237" s="4"/>
      <c r="S237" s="4" t="s">
        <v>59</v>
      </c>
      <c r="T237" s="4"/>
      <c r="U237" s="4"/>
      <c r="V237" s="4" t="s">
        <v>495</v>
      </c>
    </row>
    <row r="238" spans="1:22" ht="102" x14ac:dyDescent="0.2">
      <c r="A238" s="3">
        <v>41803.515729166698</v>
      </c>
      <c r="B238" s="4" t="s">
        <v>34</v>
      </c>
      <c r="C238" s="4" t="s">
        <v>23</v>
      </c>
      <c r="D238" s="4" t="s">
        <v>62</v>
      </c>
      <c r="E238" s="4"/>
      <c r="F238" s="4" t="s">
        <v>37</v>
      </c>
      <c r="G238" s="4"/>
      <c r="H238" s="4" t="s">
        <v>56</v>
      </c>
      <c r="I238" s="4"/>
      <c r="J238" s="4">
        <v>3</v>
      </c>
      <c r="K238" s="4">
        <v>3</v>
      </c>
      <c r="L238" s="4">
        <v>1</v>
      </c>
      <c r="M238" s="4" t="s">
        <v>496</v>
      </c>
      <c r="N238" s="4" t="s">
        <v>33</v>
      </c>
      <c r="O238" s="4"/>
      <c r="P238" s="4" t="s">
        <v>30</v>
      </c>
      <c r="Q238" s="4"/>
      <c r="R238" s="6" t="s">
        <v>497</v>
      </c>
      <c r="S238" s="4" t="s">
        <v>59</v>
      </c>
      <c r="T238" s="4" t="s">
        <v>41</v>
      </c>
      <c r="U238" s="4"/>
      <c r="V238" s="4" t="s">
        <v>498</v>
      </c>
    </row>
    <row r="239" spans="1:22" ht="51" x14ac:dyDescent="0.2">
      <c r="A239" s="3">
        <v>41803.522777777798</v>
      </c>
      <c r="B239" s="4" t="s">
        <v>34</v>
      </c>
      <c r="C239" s="4" t="s">
        <v>35</v>
      </c>
      <c r="D239" s="4" t="s">
        <v>36</v>
      </c>
      <c r="E239" s="4"/>
      <c r="F239" s="4" t="s">
        <v>37</v>
      </c>
      <c r="G239" s="4"/>
      <c r="H239" s="4" t="s">
        <v>38</v>
      </c>
      <c r="I239" s="4"/>
      <c r="J239" s="4">
        <v>4</v>
      </c>
      <c r="K239" s="4">
        <v>3</v>
      </c>
      <c r="L239" s="4">
        <v>1</v>
      </c>
      <c r="M239" s="4"/>
      <c r="N239" s="4" t="s">
        <v>33</v>
      </c>
      <c r="O239" s="4"/>
      <c r="P239" s="4" t="s">
        <v>30</v>
      </c>
      <c r="Q239" s="4"/>
      <c r="R239" s="4" t="s">
        <v>39</v>
      </c>
      <c r="S239" s="4" t="s">
        <v>32</v>
      </c>
      <c r="T239" s="4" t="s">
        <v>41</v>
      </c>
      <c r="U239" s="4"/>
      <c r="V239" s="4" t="s">
        <v>499</v>
      </c>
    </row>
    <row r="240" spans="1:22" ht="51" x14ac:dyDescent="0.2">
      <c r="A240" s="3">
        <v>41803.524259259299</v>
      </c>
      <c r="B240" s="4" t="s">
        <v>48</v>
      </c>
      <c r="C240" s="4" t="s">
        <v>35</v>
      </c>
      <c r="D240" s="4" t="s">
        <v>50</v>
      </c>
      <c r="E240" s="4" t="s">
        <v>500</v>
      </c>
      <c r="F240" s="4" t="s">
        <v>37</v>
      </c>
      <c r="G240" s="4"/>
      <c r="H240" s="4" t="s">
        <v>38</v>
      </c>
      <c r="I240" s="4"/>
      <c r="J240" s="4">
        <v>5</v>
      </c>
      <c r="K240" s="4">
        <v>1</v>
      </c>
      <c r="L240" s="4">
        <v>1</v>
      </c>
      <c r="M240" s="4"/>
      <c r="N240" s="4" t="s">
        <v>33</v>
      </c>
      <c r="O240" s="4"/>
      <c r="P240" s="4" t="s">
        <v>45</v>
      </c>
      <c r="Q240" s="4"/>
      <c r="R240" s="4"/>
      <c r="S240" s="4" t="s">
        <v>32</v>
      </c>
      <c r="T240" s="4" t="s">
        <v>41</v>
      </c>
      <c r="U240" s="6" t="s">
        <v>501</v>
      </c>
      <c r="V240" s="4"/>
    </row>
    <row r="241" spans="1:22" ht="63.75" x14ac:dyDescent="0.2">
      <c r="A241" s="3">
        <v>41803.527129629598</v>
      </c>
      <c r="B241" s="4" t="s">
        <v>479</v>
      </c>
      <c r="C241" s="4" t="s">
        <v>49</v>
      </c>
      <c r="D241" s="4" t="s">
        <v>24</v>
      </c>
      <c r="E241" s="4"/>
      <c r="F241" s="4" t="s">
        <v>37</v>
      </c>
      <c r="G241" s="4"/>
      <c r="H241" s="4" t="s">
        <v>38</v>
      </c>
      <c r="I241" s="4"/>
      <c r="J241" s="4">
        <v>2</v>
      </c>
      <c r="K241" s="4">
        <v>2</v>
      </c>
      <c r="L241" s="4">
        <v>2</v>
      </c>
      <c r="M241" s="4"/>
      <c r="N241" s="4" t="s">
        <v>33</v>
      </c>
      <c r="O241" s="4"/>
      <c r="P241" s="4" t="s">
        <v>30</v>
      </c>
      <c r="Q241" s="4"/>
      <c r="R241" s="4" t="s">
        <v>39</v>
      </c>
      <c r="S241" s="4" t="s">
        <v>59</v>
      </c>
      <c r="T241" s="4" t="s">
        <v>33</v>
      </c>
      <c r="U241" s="4"/>
      <c r="V241" s="4"/>
    </row>
    <row r="242" spans="1:22" ht="63.75" x14ac:dyDescent="0.2">
      <c r="A242" s="3">
        <v>41803.530162037001</v>
      </c>
      <c r="B242" s="4" t="s">
        <v>48</v>
      </c>
      <c r="C242" s="4" t="s">
        <v>35</v>
      </c>
      <c r="D242" s="4" t="s">
        <v>58</v>
      </c>
      <c r="E242" s="4"/>
      <c r="F242" s="4" t="s">
        <v>37</v>
      </c>
      <c r="G242" s="4"/>
      <c r="H242" s="4" t="s">
        <v>38</v>
      </c>
      <c r="I242" s="4"/>
      <c r="J242" s="4">
        <v>1</v>
      </c>
      <c r="K242" s="4">
        <v>1</v>
      </c>
      <c r="L242" s="4">
        <v>1</v>
      </c>
      <c r="M242" s="4"/>
      <c r="N242" s="4" t="s">
        <v>33</v>
      </c>
      <c r="O242" s="4"/>
      <c r="P242" s="4" t="s">
        <v>30</v>
      </c>
      <c r="Q242" s="4"/>
      <c r="R242" s="4" t="s">
        <v>46</v>
      </c>
      <c r="S242" s="4" t="s">
        <v>59</v>
      </c>
      <c r="T242" s="4" t="s">
        <v>33</v>
      </c>
      <c r="U242" s="4"/>
      <c r="V242" s="4" t="s">
        <v>461</v>
      </c>
    </row>
    <row r="243" spans="1:22" ht="63.75" x14ac:dyDescent="0.2">
      <c r="A243" s="3">
        <v>41803.534317129597</v>
      </c>
      <c r="B243" s="4" t="s">
        <v>34</v>
      </c>
      <c r="C243" s="4" t="s">
        <v>35</v>
      </c>
      <c r="D243" s="4" t="s">
        <v>36</v>
      </c>
      <c r="E243" s="4"/>
      <c r="F243" s="4" t="s">
        <v>37</v>
      </c>
      <c r="G243" s="4"/>
      <c r="H243" s="4" t="s">
        <v>38</v>
      </c>
      <c r="I243" s="4"/>
      <c r="J243" s="4">
        <v>3</v>
      </c>
      <c r="K243" s="4">
        <v>1</v>
      </c>
      <c r="L243" s="4">
        <v>1</v>
      </c>
      <c r="M243" s="4"/>
      <c r="N243" s="4" t="s">
        <v>33</v>
      </c>
      <c r="O243" s="4"/>
      <c r="P243" s="4" t="s">
        <v>30</v>
      </c>
      <c r="Q243" s="4"/>
      <c r="R243" s="4" t="s">
        <v>39</v>
      </c>
      <c r="S243" s="4" t="s">
        <v>59</v>
      </c>
      <c r="T243" s="4" t="s">
        <v>33</v>
      </c>
      <c r="U243" s="4"/>
      <c r="V243" s="4" t="s">
        <v>482</v>
      </c>
    </row>
    <row r="244" spans="1:22" ht="229.5" x14ac:dyDescent="0.2">
      <c r="A244" s="3">
        <v>41803.537361111099</v>
      </c>
      <c r="B244" s="4" t="s">
        <v>34</v>
      </c>
      <c r="C244" s="4" t="s">
        <v>49</v>
      </c>
      <c r="D244" s="4" t="s">
        <v>24</v>
      </c>
      <c r="E244" s="4" t="s">
        <v>502</v>
      </c>
      <c r="F244" s="4" t="s">
        <v>37</v>
      </c>
      <c r="G244" s="4"/>
      <c r="H244" s="4" t="s">
        <v>56</v>
      </c>
      <c r="I244" s="4"/>
      <c r="J244" s="4">
        <v>2</v>
      </c>
      <c r="K244" s="4">
        <v>3</v>
      </c>
      <c r="L244" s="4">
        <v>1</v>
      </c>
      <c r="M244" s="4" t="s">
        <v>503</v>
      </c>
      <c r="N244" s="4" t="s">
        <v>33</v>
      </c>
      <c r="O244" s="4"/>
      <c r="P244" s="4" t="s">
        <v>30</v>
      </c>
      <c r="Q244" s="4" t="s">
        <v>504</v>
      </c>
      <c r="R244" s="6" t="s">
        <v>505</v>
      </c>
      <c r="S244" s="4" t="s">
        <v>59</v>
      </c>
      <c r="T244" s="4" t="s">
        <v>33</v>
      </c>
      <c r="U244" s="6" t="s">
        <v>506</v>
      </c>
      <c r="V244" s="4" t="s">
        <v>507</v>
      </c>
    </row>
    <row r="245" spans="1:22" ht="63.75" x14ac:dyDescent="0.2">
      <c r="A245" s="3">
        <v>41803.540081018502</v>
      </c>
      <c r="B245" s="4" t="s">
        <v>48</v>
      </c>
      <c r="C245" s="4" t="s">
        <v>35</v>
      </c>
      <c r="D245" s="4" t="s">
        <v>62</v>
      </c>
      <c r="E245" s="4"/>
      <c r="F245" s="4" t="s">
        <v>37</v>
      </c>
      <c r="G245" s="4"/>
      <c r="H245" s="4"/>
      <c r="I245" s="4"/>
      <c r="J245" s="4">
        <v>2</v>
      </c>
      <c r="K245" s="4"/>
      <c r="L245" s="4">
        <v>1</v>
      </c>
      <c r="M245" s="4"/>
      <c r="N245" s="4" t="s">
        <v>33</v>
      </c>
      <c r="O245" s="4"/>
      <c r="P245" s="4" t="s">
        <v>30</v>
      </c>
      <c r="Q245" s="4"/>
      <c r="R245" s="4" t="s">
        <v>39</v>
      </c>
      <c r="S245" s="4" t="s">
        <v>59</v>
      </c>
      <c r="T245" s="4" t="s">
        <v>33</v>
      </c>
      <c r="U245" s="4"/>
      <c r="V245" s="4" t="s">
        <v>471</v>
      </c>
    </row>
    <row r="246" spans="1:22" ht="51" x14ac:dyDescent="0.2">
      <c r="A246" s="3">
        <v>41803.541793981502</v>
      </c>
      <c r="B246" s="4" t="s">
        <v>48</v>
      </c>
      <c r="C246" s="4" t="s">
        <v>35</v>
      </c>
      <c r="D246" s="4" t="s">
        <v>58</v>
      </c>
      <c r="E246" s="4"/>
      <c r="F246" s="4" t="s">
        <v>37</v>
      </c>
      <c r="G246" s="4"/>
      <c r="H246" s="4"/>
      <c r="I246" s="4"/>
      <c r="J246" s="4">
        <v>3</v>
      </c>
      <c r="K246" s="4">
        <v>1</v>
      </c>
      <c r="L246" s="4">
        <v>1</v>
      </c>
      <c r="M246" s="4"/>
      <c r="N246" s="4" t="s">
        <v>33</v>
      </c>
      <c r="O246" s="4"/>
      <c r="P246" s="4" t="s">
        <v>45</v>
      </c>
      <c r="Q246" s="4"/>
      <c r="R246" s="4" t="s">
        <v>39</v>
      </c>
      <c r="S246" s="4" t="s">
        <v>32</v>
      </c>
      <c r="T246" s="4" t="s">
        <v>41</v>
      </c>
      <c r="U246" s="4"/>
      <c r="V246" s="4" t="s">
        <v>456</v>
      </c>
    </row>
    <row r="247" spans="1:22" ht="63.75" x14ac:dyDescent="0.2">
      <c r="A247" s="3">
        <v>41803.547106481499</v>
      </c>
      <c r="B247" s="4" t="s">
        <v>479</v>
      </c>
      <c r="C247" s="4" t="s">
        <v>35</v>
      </c>
      <c r="D247" s="4" t="s">
        <v>58</v>
      </c>
      <c r="E247" s="4"/>
      <c r="F247" s="4"/>
      <c r="G247" s="4"/>
      <c r="H247" s="4"/>
      <c r="I247" s="4"/>
      <c r="J247" s="4">
        <v>1</v>
      </c>
      <c r="K247" s="4">
        <v>1</v>
      </c>
      <c r="L247" s="4">
        <v>1</v>
      </c>
      <c r="M247" s="4"/>
      <c r="N247" s="4"/>
      <c r="O247" s="4"/>
      <c r="P247" s="4" t="s">
        <v>30</v>
      </c>
      <c r="Q247" s="4"/>
      <c r="R247" s="4" t="s">
        <v>46</v>
      </c>
      <c r="S247" s="4" t="s">
        <v>59</v>
      </c>
      <c r="T247" s="4"/>
      <c r="U247" s="4"/>
      <c r="V247" s="4" t="s">
        <v>508</v>
      </c>
    </row>
    <row r="248" spans="1:22" ht="63.75" x14ac:dyDescent="0.2">
      <c r="A248" s="3">
        <v>41803.5561689815</v>
      </c>
      <c r="B248" s="4" t="s">
        <v>48</v>
      </c>
      <c r="C248" s="4" t="s">
        <v>49</v>
      </c>
      <c r="D248" s="4" t="s">
        <v>24</v>
      </c>
      <c r="E248" s="4" t="s">
        <v>509</v>
      </c>
      <c r="F248" s="4" t="s">
        <v>37</v>
      </c>
      <c r="G248" s="4"/>
      <c r="H248" s="4" t="s">
        <v>56</v>
      </c>
      <c r="I248" s="4"/>
      <c r="J248" s="4">
        <v>1</v>
      </c>
      <c r="K248" s="4">
        <v>1</v>
      </c>
      <c r="L248" s="4">
        <v>1</v>
      </c>
      <c r="M248" s="4" t="s">
        <v>510</v>
      </c>
      <c r="N248" s="4" t="s">
        <v>33</v>
      </c>
      <c r="O248" s="4"/>
      <c r="P248" s="4" t="s">
        <v>30</v>
      </c>
      <c r="Q248" s="4"/>
      <c r="R248" s="4" t="s">
        <v>64</v>
      </c>
      <c r="S248" s="4" t="s">
        <v>59</v>
      </c>
      <c r="T248" s="4" t="s">
        <v>33</v>
      </c>
      <c r="U248" s="4"/>
      <c r="V248" s="4" t="s">
        <v>461</v>
      </c>
    </row>
    <row r="249" spans="1:22" ht="63.75" x14ac:dyDescent="0.2">
      <c r="A249" s="3">
        <v>41803.574432870402</v>
      </c>
      <c r="B249" s="4" t="s">
        <v>48</v>
      </c>
      <c r="C249" s="4" t="s">
        <v>49</v>
      </c>
      <c r="D249" s="4" t="s">
        <v>58</v>
      </c>
      <c r="E249" s="4"/>
      <c r="F249" s="4" t="s">
        <v>37</v>
      </c>
      <c r="G249" s="4"/>
      <c r="H249" s="4" t="s">
        <v>56</v>
      </c>
      <c r="I249" s="4"/>
      <c r="J249" s="4">
        <v>1</v>
      </c>
      <c r="K249" s="4">
        <v>1</v>
      </c>
      <c r="L249" s="4">
        <v>1</v>
      </c>
      <c r="M249" s="4"/>
      <c r="N249" s="4" t="s">
        <v>33</v>
      </c>
      <c r="O249" s="4"/>
      <c r="P249" s="4" t="s">
        <v>30</v>
      </c>
      <c r="Q249" s="4"/>
      <c r="R249" s="4" t="s">
        <v>39</v>
      </c>
      <c r="S249" s="4" t="s">
        <v>59</v>
      </c>
      <c r="T249" s="4" t="s">
        <v>33</v>
      </c>
      <c r="U249" s="4"/>
      <c r="V249" s="4" t="s">
        <v>511</v>
      </c>
    </row>
    <row r="250" spans="1:22" ht="63.75" x14ac:dyDescent="0.2">
      <c r="A250" s="3">
        <v>41803.577141203699</v>
      </c>
      <c r="B250" s="4" t="s">
        <v>48</v>
      </c>
      <c r="C250" s="4" t="s">
        <v>35</v>
      </c>
      <c r="D250" s="4" t="s">
        <v>58</v>
      </c>
      <c r="E250" s="4"/>
      <c r="F250" s="4" t="s">
        <v>37</v>
      </c>
      <c r="G250" s="4"/>
      <c r="H250" s="4" t="s">
        <v>38</v>
      </c>
      <c r="I250" s="4"/>
      <c r="J250" s="4">
        <v>3</v>
      </c>
      <c r="K250" s="4">
        <v>2</v>
      </c>
      <c r="L250" s="4">
        <v>1</v>
      </c>
      <c r="M250" s="4"/>
      <c r="N250" s="4" t="s">
        <v>33</v>
      </c>
      <c r="O250" s="4"/>
      <c r="P250" s="4" t="s">
        <v>30</v>
      </c>
      <c r="Q250" s="4"/>
      <c r="R250" s="4" t="s">
        <v>39</v>
      </c>
      <c r="S250" s="4" t="s">
        <v>59</v>
      </c>
      <c r="T250" s="4" t="s">
        <v>33</v>
      </c>
      <c r="U250" s="4"/>
      <c r="V250" s="4" t="s">
        <v>512</v>
      </c>
    </row>
    <row r="251" spans="1:22" ht="76.5" x14ac:dyDescent="0.2">
      <c r="A251" s="3">
        <v>41803.582094907397</v>
      </c>
      <c r="B251" s="4" t="s">
        <v>34</v>
      </c>
      <c r="C251" s="4" t="s">
        <v>49</v>
      </c>
      <c r="D251" s="4" t="s">
        <v>62</v>
      </c>
      <c r="E251" s="4"/>
      <c r="F251" s="4" t="s">
        <v>37</v>
      </c>
      <c r="G251" s="4"/>
      <c r="H251" s="4" t="s">
        <v>38</v>
      </c>
      <c r="I251" s="4"/>
      <c r="J251" s="4">
        <v>1</v>
      </c>
      <c r="K251" s="4">
        <v>4</v>
      </c>
      <c r="L251" s="4">
        <v>5</v>
      </c>
      <c r="M251" s="4"/>
      <c r="N251" s="4" t="s">
        <v>33</v>
      </c>
      <c r="O251" s="4"/>
      <c r="P251" s="4" t="s">
        <v>30</v>
      </c>
      <c r="Q251" s="4"/>
      <c r="R251" s="4" t="s">
        <v>464</v>
      </c>
      <c r="S251" s="4" t="s">
        <v>32</v>
      </c>
      <c r="T251" s="4" t="s">
        <v>33</v>
      </c>
      <c r="U251" s="4"/>
      <c r="V251" s="4" t="s">
        <v>461</v>
      </c>
    </row>
    <row r="252" spans="1:22" ht="51" x14ac:dyDescent="0.2">
      <c r="A252" s="3">
        <v>41803.585960648103</v>
      </c>
      <c r="B252" s="4" t="s">
        <v>34</v>
      </c>
      <c r="C252" s="4" t="s">
        <v>35</v>
      </c>
      <c r="D252" s="4" t="s">
        <v>58</v>
      </c>
      <c r="E252" s="4"/>
      <c r="F252" s="4" t="s">
        <v>37</v>
      </c>
      <c r="G252" s="4"/>
      <c r="H252" s="4"/>
      <c r="I252" s="4"/>
      <c r="J252" s="4">
        <v>1</v>
      </c>
      <c r="K252" s="4">
        <v>2</v>
      </c>
      <c r="L252" s="4">
        <v>1</v>
      </c>
      <c r="M252" s="4"/>
      <c r="N252" s="4" t="s">
        <v>33</v>
      </c>
      <c r="O252" s="4"/>
      <c r="P252" s="4" t="s">
        <v>30</v>
      </c>
      <c r="Q252" s="4"/>
      <c r="R252" s="4" t="s">
        <v>46</v>
      </c>
      <c r="S252" s="4" t="s">
        <v>32</v>
      </c>
      <c r="T252" s="4" t="s">
        <v>33</v>
      </c>
      <c r="U252" s="4"/>
      <c r="V252" s="4" t="s">
        <v>491</v>
      </c>
    </row>
    <row r="253" spans="1:22" ht="63.75" x14ac:dyDescent="0.2">
      <c r="A253" s="3">
        <v>41803.587881944397</v>
      </c>
      <c r="B253" s="6" t="s">
        <v>479</v>
      </c>
      <c r="C253" s="4" t="s">
        <v>35</v>
      </c>
      <c r="D253" s="4"/>
      <c r="E253" s="4"/>
      <c r="F253" s="4" t="s">
        <v>37</v>
      </c>
      <c r="G253" s="4"/>
      <c r="H253" s="4" t="s">
        <v>56</v>
      </c>
      <c r="I253" s="4"/>
      <c r="J253" s="4">
        <v>3</v>
      </c>
      <c r="K253" s="4">
        <v>2</v>
      </c>
      <c r="L253" s="4">
        <v>1</v>
      </c>
      <c r="M253" s="4"/>
      <c r="N253" s="4" t="s">
        <v>29</v>
      </c>
      <c r="O253" s="4"/>
      <c r="P253" s="4" t="s">
        <v>30</v>
      </c>
      <c r="Q253" s="4"/>
      <c r="R253" s="4" t="s">
        <v>39</v>
      </c>
      <c r="S253" s="4" t="s">
        <v>59</v>
      </c>
      <c r="T253" s="4" t="s">
        <v>33</v>
      </c>
      <c r="U253" s="4"/>
      <c r="V253" s="4"/>
    </row>
    <row r="254" spans="1:22" ht="76.5" x14ac:dyDescent="0.2">
      <c r="A254" s="3">
        <v>41803.591296296298</v>
      </c>
      <c r="B254" s="4" t="s">
        <v>48</v>
      </c>
      <c r="C254" s="4" t="s">
        <v>35</v>
      </c>
      <c r="D254" s="4" t="s">
        <v>62</v>
      </c>
      <c r="E254" s="4"/>
      <c r="F254" s="4" t="s">
        <v>37</v>
      </c>
      <c r="G254" s="4"/>
      <c r="H254" s="4"/>
      <c r="I254" s="4"/>
      <c r="J254" s="4">
        <v>2</v>
      </c>
      <c r="K254" s="4">
        <v>1</v>
      </c>
      <c r="L254" s="4">
        <v>1</v>
      </c>
      <c r="M254" s="4"/>
      <c r="N254" s="4" t="s">
        <v>33</v>
      </c>
      <c r="O254" s="4"/>
      <c r="P254" s="4" t="s">
        <v>30</v>
      </c>
      <c r="Q254" s="4"/>
      <c r="R254" s="4" t="s">
        <v>39</v>
      </c>
      <c r="S254" s="4" t="s">
        <v>40</v>
      </c>
      <c r="T254" s="4"/>
      <c r="U254" s="4"/>
      <c r="V254" s="4" t="s">
        <v>456</v>
      </c>
    </row>
    <row r="255" spans="1:22" ht="25.5" x14ac:dyDescent="0.2">
      <c r="A255" s="3">
        <v>41803.591932870397</v>
      </c>
      <c r="B255" s="4" t="s">
        <v>48</v>
      </c>
      <c r="C255" s="4"/>
      <c r="D255" s="4"/>
      <c r="E255" s="4"/>
      <c r="F255" s="4"/>
      <c r="G255" s="4"/>
      <c r="H255" s="4"/>
      <c r="I255" s="4"/>
      <c r="J255" s="4"/>
      <c r="K255" s="4"/>
      <c r="L255" s="4"/>
      <c r="M255" s="4"/>
      <c r="N255" s="4"/>
      <c r="O255" s="4"/>
      <c r="P255" s="4"/>
      <c r="Q255" s="4"/>
      <c r="R255" s="4"/>
      <c r="S255" s="4"/>
      <c r="T255" s="4"/>
      <c r="U255" s="4"/>
      <c r="V255" s="4"/>
    </row>
    <row r="256" spans="1:22" ht="63.75" x14ac:dyDescent="0.2">
      <c r="A256" s="3">
        <v>41803.609861111101</v>
      </c>
      <c r="B256" s="4" t="s">
        <v>34</v>
      </c>
      <c r="C256" s="4" t="s">
        <v>35</v>
      </c>
      <c r="D256" s="4" t="s">
        <v>36</v>
      </c>
      <c r="E256" s="4"/>
      <c r="F256" s="4" t="s">
        <v>37</v>
      </c>
      <c r="G256" s="4"/>
      <c r="H256" s="4"/>
      <c r="I256" s="4"/>
      <c r="J256" s="4">
        <v>3</v>
      </c>
      <c r="K256" s="4">
        <v>2</v>
      </c>
      <c r="L256" s="4">
        <v>1</v>
      </c>
      <c r="M256" s="4"/>
      <c r="N256" s="4"/>
      <c r="O256" s="4"/>
      <c r="P256" s="4" t="s">
        <v>30</v>
      </c>
      <c r="Q256" s="4"/>
      <c r="R256" s="4" t="s">
        <v>39</v>
      </c>
      <c r="S256" s="4" t="s">
        <v>59</v>
      </c>
      <c r="T256" s="4" t="s">
        <v>33</v>
      </c>
      <c r="U256" s="4"/>
      <c r="V256" s="4" t="s">
        <v>409</v>
      </c>
    </row>
    <row r="257" spans="1:22" ht="63.75" x14ac:dyDescent="0.2">
      <c r="A257" s="3">
        <v>41803.61</v>
      </c>
      <c r="B257" s="4" t="s">
        <v>48</v>
      </c>
      <c r="C257" s="4" t="s">
        <v>35</v>
      </c>
      <c r="D257" s="4" t="s">
        <v>58</v>
      </c>
      <c r="E257" s="4" t="s">
        <v>513</v>
      </c>
      <c r="F257" s="4" t="s">
        <v>37</v>
      </c>
      <c r="G257" s="4"/>
      <c r="H257" s="4" t="s">
        <v>38</v>
      </c>
      <c r="I257" s="4"/>
      <c r="J257" s="4"/>
      <c r="K257" s="4">
        <v>4</v>
      </c>
      <c r="L257" s="4">
        <v>5</v>
      </c>
      <c r="M257" s="4"/>
      <c r="N257" s="4" t="s">
        <v>33</v>
      </c>
      <c r="O257" s="4"/>
      <c r="P257" s="4" t="s">
        <v>30</v>
      </c>
      <c r="Q257" s="4"/>
      <c r="R257" s="4" t="s">
        <v>39</v>
      </c>
      <c r="S257" s="4" t="s">
        <v>59</v>
      </c>
      <c r="T257" s="4" t="s">
        <v>33</v>
      </c>
      <c r="U257" s="4"/>
      <c r="V257" s="4" t="s">
        <v>456</v>
      </c>
    </row>
    <row r="258" spans="1:22" ht="102" x14ac:dyDescent="0.2">
      <c r="A258" s="3">
        <v>41803.616863425901</v>
      </c>
      <c r="B258" s="4" t="s">
        <v>48</v>
      </c>
      <c r="C258" s="4" t="s">
        <v>35</v>
      </c>
      <c r="D258" s="4" t="s">
        <v>58</v>
      </c>
      <c r="E258" s="4"/>
      <c r="F258" s="4" t="s">
        <v>37</v>
      </c>
      <c r="G258" s="4"/>
      <c r="H258" s="4"/>
      <c r="I258" s="4"/>
      <c r="J258" s="4">
        <v>4</v>
      </c>
      <c r="K258" s="4">
        <v>5</v>
      </c>
      <c r="L258" s="4">
        <v>5</v>
      </c>
      <c r="M258" s="4" t="s">
        <v>514</v>
      </c>
      <c r="N258" s="4" t="s">
        <v>33</v>
      </c>
      <c r="O258" s="4"/>
      <c r="P258" s="4" t="s">
        <v>30</v>
      </c>
      <c r="Q258" s="4" t="s">
        <v>515</v>
      </c>
      <c r="R258" s="4" t="s">
        <v>46</v>
      </c>
      <c r="S258" s="4" t="s">
        <v>59</v>
      </c>
      <c r="T258" s="4" t="s">
        <v>41</v>
      </c>
      <c r="U258" s="4"/>
      <c r="V258" s="4" t="s">
        <v>516</v>
      </c>
    </row>
    <row r="259" spans="1:22" ht="63.75" x14ac:dyDescent="0.2">
      <c r="A259" s="3">
        <v>41803.617210648103</v>
      </c>
      <c r="B259" s="4" t="s">
        <v>34</v>
      </c>
      <c r="C259" s="4" t="s">
        <v>35</v>
      </c>
      <c r="D259" s="4"/>
      <c r="E259" s="4"/>
      <c r="F259" s="4"/>
      <c r="G259" s="4"/>
      <c r="H259" s="4"/>
      <c r="I259" s="4"/>
      <c r="J259" s="4">
        <v>3</v>
      </c>
      <c r="K259" s="4">
        <v>2</v>
      </c>
      <c r="L259" s="4">
        <v>1</v>
      </c>
      <c r="M259" s="4"/>
      <c r="N259" s="4"/>
      <c r="O259" s="4"/>
      <c r="P259" s="4" t="s">
        <v>30</v>
      </c>
      <c r="Q259" s="4"/>
      <c r="R259" s="4" t="s">
        <v>39</v>
      </c>
      <c r="S259" s="4" t="s">
        <v>59</v>
      </c>
      <c r="T259" s="4" t="s">
        <v>33</v>
      </c>
      <c r="U259" s="4"/>
      <c r="V259" s="4" t="s">
        <v>517</v>
      </c>
    </row>
    <row r="260" spans="1:22" ht="76.5" x14ac:dyDescent="0.2">
      <c r="A260" s="3">
        <v>41803.619247685201</v>
      </c>
      <c r="B260" s="4" t="s">
        <v>34</v>
      </c>
      <c r="C260" s="4" t="s">
        <v>35</v>
      </c>
      <c r="D260" s="4" t="s">
        <v>58</v>
      </c>
      <c r="E260" s="4"/>
      <c r="F260" s="4" t="s">
        <v>37</v>
      </c>
      <c r="G260" s="4"/>
      <c r="H260" s="4" t="s">
        <v>38</v>
      </c>
      <c r="I260" s="4"/>
      <c r="J260" s="4">
        <v>3</v>
      </c>
      <c r="K260" s="4">
        <v>1</v>
      </c>
      <c r="L260" s="4">
        <v>1</v>
      </c>
      <c r="M260" s="4"/>
      <c r="N260" s="4" t="s">
        <v>33</v>
      </c>
      <c r="O260" s="4"/>
      <c r="P260" s="4" t="s">
        <v>30</v>
      </c>
      <c r="Q260" s="4"/>
      <c r="R260" s="4" t="s">
        <v>72</v>
      </c>
      <c r="S260" s="4" t="s">
        <v>59</v>
      </c>
      <c r="T260" s="4" t="s">
        <v>41</v>
      </c>
      <c r="U260" s="4"/>
      <c r="V260" s="4" t="s">
        <v>518</v>
      </c>
    </row>
    <row r="261" spans="1:22" ht="63.75" x14ac:dyDescent="0.2">
      <c r="A261" s="3">
        <v>41803.624756944402</v>
      </c>
      <c r="B261" s="4" t="s">
        <v>48</v>
      </c>
      <c r="C261" s="4" t="s">
        <v>49</v>
      </c>
      <c r="D261" s="4" t="s">
        <v>62</v>
      </c>
      <c r="E261" s="4"/>
      <c r="F261" s="4" t="s">
        <v>37</v>
      </c>
      <c r="G261" s="4"/>
      <c r="H261" s="4" t="s">
        <v>38</v>
      </c>
      <c r="I261" s="4"/>
      <c r="J261" s="4">
        <v>3</v>
      </c>
      <c r="K261" s="4">
        <v>3</v>
      </c>
      <c r="L261" s="4">
        <v>5</v>
      </c>
      <c r="M261" s="4"/>
      <c r="N261" s="4" t="s">
        <v>33</v>
      </c>
      <c r="O261" s="4"/>
      <c r="P261" s="4" t="s">
        <v>90</v>
      </c>
      <c r="Q261" s="4"/>
      <c r="R261" s="4" t="s">
        <v>39</v>
      </c>
      <c r="S261" s="4" t="s">
        <v>59</v>
      </c>
      <c r="T261" s="4"/>
      <c r="U261" s="4"/>
      <c r="V261" s="4" t="s">
        <v>519</v>
      </c>
    </row>
    <row r="262" spans="1:22" ht="51" x14ac:dyDescent="0.2">
      <c r="A262" s="3">
        <v>41803.626041666699</v>
      </c>
      <c r="B262" s="4" t="s">
        <v>34</v>
      </c>
      <c r="C262" s="4" t="s">
        <v>35</v>
      </c>
      <c r="D262" s="4" t="s">
        <v>58</v>
      </c>
      <c r="E262" s="4"/>
      <c r="F262" s="4"/>
      <c r="G262" s="4"/>
      <c r="H262" s="4"/>
      <c r="I262" s="4"/>
      <c r="J262" s="4">
        <v>2</v>
      </c>
      <c r="K262" s="4">
        <v>3</v>
      </c>
      <c r="L262" s="4">
        <v>1</v>
      </c>
      <c r="M262" s="4"/>
      <c r="N262" s="4"/>
      <c r="O262" s="4"/>
      <c r="P262" s="4" t="s">
        <v>30</v>
      </c>
      <c r="Q262" s="4"/>
      <c r="R262" s="4" t="s">
        <v>39</v>
      </c>
      <c r="S262" s="4" t="s">
        <v>32</v>
      </c>
      <c r="T262" s="4" t="s">
        <v>41</v>
      </c>
      <c r="U262" s="4"/>
      <c r="V262" s="4" t="s">
        <v>520</v>
      </c>
    </row>
    <row r="263" spans="1:22" ht="178.5" x14ac:dyDescent="0.2">
      <c r="A263" s="3">
        <v>41803.638148148202</v>
      </c>
      <c r="B263" s="4" t="s">
        <v>479</v>
      </c>
      <c r="C263" s="4" t="s">
        <v>49</v>
      </c>
      <c r="D263" s="4" t="s">
        <v>24</v>
      </c>
      <c r="E263" s="4" t="s">
        <v>521</v>
      </c>
      <c r="F263" s="4" t="s">
        <v>37</v>
      </c>
      <c r="G263" s="4"/>
      <c r="H263" s="4" t="s">
        <v>56</v>
      </c>
      <c r="I263" s="4" t="s">
        <v>522</v>
      </c>
      <c r="J263" s="4">
        <v>3</v>
      </c>
      <c r="K263" s="4">
        <v>2</v>
      </c>
      <c r="L263" s="4">
        <v>1</v>
      </c>
      <c r="M263" s="4" t="s">
        <v>523</v>
      </c>
      <c r="N263" s="4" t="s">
        <v>33</v>
      </c>
      <c r="O263" s="4"/>
      <c r="P263" s="4" t="s">
        <v>30</v>
      </c>
      <c r="Q263" s="4" t="s">
        <v>524</v>
      </c>
      <c r="R263" s="4" t="s">
        <v>39</v>
      </c>
      <c r="S263" s="4" t="s">
        <v>40</v>
      </c>
      <c r="T263" s="4" t="s">
        <v>33</v>
      </c>
      <c r="U263" s="4"/>
      <c r="V263" s="4" t="s">
        <v>525</v>
      </c>
    </row>
    <row r="264" spans="1:22" ht="76.5" x14ac:dyDescent="0.2">
      <c r="A264" s="3">
        <v>41803.639131944401</v>
      </c>
      <c r="B264" s="4" t="s">
        <v>34</v>
      </c>
      <c r="C264" s="4" t="s">
        <v>49</v>
      </c>
      <c r="D264" s="4" t="s">
        <v>58</v>
      </c>
      <c r="E264" s="4"/>
      <c r="F264" s="4" t="s">
        <v>37</v>
      </c>
      <c r="G264" s="4"/>
      <c r="H264" s="4" t="s">
        <v>56</v>
      </c>
      <c r="I264" s="4"/>
      <c r="J264" s="4">
        <v>5</v>
      </c>
      <c r="K264" s="4">
        <v>3</v>
      </c>
      <c r="L264" s="4">
        <v>1</v>
      </c>
      <c r="M264" s="4"/>
      <c r="N264" s="4" t="s">
        <v>33</v>
      </c>
      <c r="O264" s="4"/>
      <c r="P264" s="4" t="s">
        <v>30</v>
      </c>
      <c r="Q264" s="4"/>
      <c r="R264" s="4" t="s">
        <v>39</v>
      </c>
      <c r="S264" s="4" t="s">
        <v>40</v>
      </c>
      <c r="T264" s="4" t="s">
        <v>33</v>
      </c>
      <c r="U264" s="4"/>
      <c r="V264" s="4" t="s">
        <v>526</v>
      </c>
    </row>
    <row r="265" spans="1:22" ht="51" x14ac:dyDescent="0.2">
      <c r="A265" s="3">
        <v>41803.651168981502</v>
      </c>
      <c r="B265" s="4" t="s">
        <v>34</v>
      </c>
      <c r="C265" s="4" t="s">
        <v>35</v>
      </c>
      <c r="D265" s="4" t="s">
        <v>58</v>
      </c>
      <c r="E265" s="4"/>
      <c r="F265" s="4" t="s">
        <v>37</v>
      </c>
      <c r="G265" s="4"/>
      <c r="H265" s="4" t="s">
        <v>38</v>
      </c>
      <c r="I265" s="4"/>
      <c r="J265" s="4">
        <v>3</v>
      </c>
      <c r="K265" s="4">
        <v>2</v>
      </c>
      <c r="L265" s="4">
        <v>1</v>
      </c>
      <c r="M265" s="4"/>
      <c r="N265" s="4" t="s">
        <v>33</v>
      </c>
      <c r="O265" s="4"/>
      <c r="P265" s="4" t="s">
        <v>30</v>
      </c>
      <c r="Q265" s="4"/>
      <c r="R265" s="4" t="s">
        <v>64</v>
      </c>
      <c r="S265" s="4" t="s">
        <v>32</v>
      </c>
      <c r="T265" s="4" t="s">
        <v>33</v>
      </c>
      <c r="U265" s="4"/>
      <c r="V265" s="4" t="s">
        <v>461</v>
      </c>
    </row>
    <row r="266" spans="1:22" ht="63.75" x14ac:dyDescent="0.2">
      <c r="A266" s="3">
        <v>41803.661076388897</v>
      </c>
      <c r="B266" s="4" t="s">
        <v>48</v>
      </c>
      <c r="C266" s="4" t="s">
        <v>35</v>
      </c>
      <c r="D266" s="4" t="s">
        <v>58</v>
      </c>
      <c r="E266" s="4"/>
      <c r="F266" s="4" t="s">
        <v>37</v>
      </c>
      <c r="G266" s="4"/>
      <c r="H266" s="4"/>
      <c r="I266" s="4"/>
      <c r="J266" s="4"/>
      <c r="K266" s="4"/>
      <c r="L266" s="4"/>
      <c r="M266" s="4"/>
      <c r="N266" s="4" t="s">
        <v>33</v>
      </c>
      <c r="O266" s="4"/>
      <c r="P266" s="4" t="s">
        <v>30</v>
      </c>
      <c r="Q266" s="4"/>
      <c r="R266" s="4" t="s">
        <v>39</v>
      </c>
      <c r="S266" s="4" t="s">
        <v>59</v>
      </c>
      <c r="T266" s="4" t="s">
        <v>33</v>
      </c>
      <c r="U266" s="4"/>
      <c r="V266" s="4"/>
    </row>
    <row r="267" spans="1:22" ht="76.5" x14ac:dyDescent="0.2">
      <c r="A267" s="3">
        <v>41803.6649652778</v>
      </c>
      <c r="B267" s="4" t="s">
        <v>321</v>
      </c>
      <c r="C267" s="4" t="s">
        <v>70</v>
      </c>
      <c r="D267" s="4" t="s">
        <v>50</v>
      </c>
      <c r="E267" s="4" t="s">
        <v>527</v>
      </c>
      <c r="F267" s="4" t="s">
        <v>37</v>
      </c>
      <c r="G267" s="4"/>
      <c r="H267" s="4" t="s">
        <v>56</v>
      </c>
      <c r="I267" s="4"/>
      <c r="J267" s="4">
        <v>1</v>
      </c>
      <c r="K267" s="4">
        <v>1</v>
      </c>
      <c r="L267" s="4">
        <v>1</v>
      </c>
      <c r="M267" s="4"/>
      <c r="N267" s="4" t="s">
        <v>33</v>
      </c>
      <c r="O267" s="4"/>
      <c r="P267" s="4" t="s">
        <v>30</v>
      </c>
      <c r="Q267" s="4"/>
      <c r="R267" s="4" t="s">
        <v>39</v>
      </c>
      <c r="S267" s="6" t="s">
        <v>40</v>
      </c>
      <c r="T267" s="4" t="s">
        <v>41</v>
      </c>
      <c r="U267" s="4"/>
      <c r="V267" s="4"/>
    </row>
    <row r="268" spans="1:22" ht="280.5" x14ac:dyDescent="0.2">
      <c r="A268" s="3">
        <v>41803.684652777803</v>
      </c>
      <c r="B268" s="4" t="s">
        <v>34</v>
      </c>
      <c r="C268" s="4" t="s">
        <v>49</v>
      </c>
      <c r="D268" s="4" t="s">
        <v>58</v>
      </c>
      <c r="E268" s="4"/>
      <c r="F268" s="4" t="s">
        <v>37</v>
      </c>
      <c r="G268" s="4"/>
      <c r="H268" s="4" t="s">
        <v>38</v>
      </c>
      <c r="I268" s="4"/>
      <c r="J268" s="4">
        <v>5</v>
      </c>
      <c r="K268" s="4">
        <v>1</v>
      </c>
      <c r="L268" s="4">
        <v>1</v>
      </c>
      <c r="M268" s="4"/>
      <c r="N268" s="4" t="s">
        <v>33</v>
      </c>
      <c r="O268" s="4"/>
      <c r="P268" s="4" t="s">
        <v>45</v>
      </c>
      <c r="Q268" s="4"/>
      <c r="R268" s="4" t="s">
        <v>39</v>
      </c>
      <c r="S268" s="4" t="s">
        <v>59</v>
      </c>
      <c r="T268" s="4" t="s">
        <v>41</v>
      </c>
      <c r="U268" s="4" t="s">
        <v>528</v>
      </c>
      <c r="V268" s="4" t="s">
        <v>529</v>
      </c>
    </row>
    <row r="269" spans="1:22" ht="409.5" x14ac:dyDescent="0.2">
      <c r="A269" s="3">
        <v>41803.691747685203</v>
      </c>
      <c r="B269" s="6" t="s">
        <v>530</v>
      </c>
      <c r="C269" s="4" t="s">
        <v>35</v>
      </c>
      <c r="D269" s="4" t="s">
        <v>58</v>
      </c>
      <c r="E269" s="4"/>
      <c r="F269" s="4" t="s">
        <v>37</v>
      </c>
      <c r="G269" s="4"/>
      <c r="H269" s="4"/>
      <c r="I269" s="4"/>
      <c r="J269" s="4"/>
      <c r="K269" s="4"/>
      <c r="L269" s="4"/>
      <c r="M269" s="4"/>
      <c r="N269" s="4"/>
      <c r="O269" s="4"/>
      <c r="P269" s="4" t="s">
        <v>30</v>
      </c>
      <c r="Q269" s="4" t="s">
        <v>531</v>
      </c>
      <c r="R269" s="6" t="s">
        <v>532</v>
      </c>
      <c r="S269" s="4" t="s">
        <v>59</v>
      </c>
      <c r="T269" s="4" t="s">
        <v>33</v>
      </c>
      <c r="U269" s="6" t="s">
        <v>533</v>
      </c>
      <c r="V269" s="4" t="s">
        <v>534</v>
      </c>
    </row>
    <row r="270" spans="1:22" ht="165.75" x14ac:dyDescent="0.2">
      <c r="A270" s="3">
        <v>41803.7033912037</v>
      </c>
      <c r="B270" s="4" t="s">
        <v>48</v>
      </c>
      <c r="C270" s="4" t="s">
        <v>49</v>
      </c>
      <c r="D270" s="4" t="s">
        <v>24</v>
      </c>
      <c r="E270" s="4"/>
      <c r="F270" s="4" t="s">
        <v>37</v>
      </c>
      <c r="G270" s="4"/>
      <c r="H270" s="4" t="s">
        <v>38</v>
      </c>
      <c r="I270" s="4" t="s">
        <v>535</v>
      </c>
      <c r="J270" s="4">
        <v>3</v>
      </c>
      <c r="K270" s="4">
        <v>2</v>
      </c>
      <c r="L270" s="4">
        <v>1</v>
      </c>
      <c r="M270" s="4"/>
      <c r="N270" s="4" t="s">
        <v>33</v>
      </c>
      <c r="O270" s="4"/>
      <c r="P270" s="4" t="s">
        <v>30</v>
      </c>
      <c r="Q270" s="4" t="s">
        <v>536</v>
      </c>
      <c r="R270" s="4" t="s">
        <v>282</v>
      </c>
      <c r="S270" s="4" t="s">
        <v>59</v>
      </c>
      <c r="T270" s="4" t="s">
        <v>41</v>
      </c>
      <c r="U270" s="4"/>
      <c r="V270" s="4" t="s">
        <v>537</v>
      </c>
    </row>
    <row r="271" spans="1:22" ht="76.5" x14ac:dyDescent="0.2">
      <c r="A271" s="3">
        <v>41803.707187499997</v>
      </c>
      <c r="B271" s="4" t="s">
        <v>48</v>
      </c>
      <c r="C271" s="4" t="s">
        <v>35</v>
      </c>
      <c r="D271" s="4" t="s">
        <v>58</v>
      </c>
      <c r="E271" s="4"/>
      <c r="F271" s="4" t="s">
        <v>37</v>
      </c>
      <c r="G271" s="4"/>
      <c r="H271" s="4"/>
      <c r="I271" s="4"/>
      <c r="J271" s="4">
        <v>5</v>
      </c>
      <c r="K271" s="4">
        <v>3</v>
      </c>
      <c r="L271" s="4">
        <v>5</v>
      </c>
      <c r="M271" s="4"/>
      <c r="N271" s="4" t="s">
        <v>33</v>
      </c>
      <c r="O271" s="4"/>
      <c r="P271" s="4" t="s">
        <v>30</v>
      </c>
      <c r="Q271" s="4"/>
      <c r="R271" s="4" t="s">
        <v>72</v>
      </c>
      <c r="S271" s="4" t="s">
        <v>59</v>
      </c>
      <c r="T271" s="4" t="s">
        <v>41</v>
      </c>
      <c r="U271" s="4"/>
      <c r="V271" s="4"/>
    </row>
    <row r="272" spans="1:22" ht="63.75" x14ac:dyDescent="0.2">
      <c r="A272" s="3">
        <v>41803.7366203704</v>
      </c>
      <c r="B272" s="4" t="s">
        <v>34</v>
      </c>
      <c r="C272" s="4" t="s">
        <v>35</v>
      </c>
      <c r="D272" s="4" t="s">
        <v>58</v>
      </c>
      <c r="E272" s="4" t="s">
        <v>538</v>
      </c>
      <c r="F272" s="4" t="s">
        <v>37</v>
      </c>
      <c r="G272" s="4"/>
      <c r="H272" s="4" t="s">
        <v>56</v>
      </c>
      <c r="I272" s="4"/>
      <c r="J272" s="4">
        <v>3</v>
      </c>
      <c r="K272" s="4">
        <v>3</v>
      </c>
      <c r="L272" s="4">
        <v>1</v>
      </c>
      <c r="M272" s="4"/>
      <c r="N272" s="4" t="s">
        <v>33</v>
      </c>
      <c r="O272" s="4"/>
      <c r="P272" s="4" t="s">
        <v>30</v>
      </c>
      <c r="Q272" s="4"/>
      <c r="R272" s="4" t="s">
        <v>39</v>
      </c>
      <c r="S272" s="4" t="s">
        <v>59</v>
      </c>
      <c r="T272" s="4" t="s">
        <v>41</v>
      </c>
      <c r="U272" s="4"/>
      <c r="V272" s="4" t="s">
        <v>538</v>
      </c>
    </row>
    <row r="273" spans="1:22" ht="63.75" x14ac:dyDescent="0.2">
      <c r="A273" s="3">
        <v>41803.757465277798</v>
      </c>
      <c r="B273" s="4" t="s">
        <v>34</v>
      </c>
      <c r="C273" s="4" t="s">
        <v>53</v>
      </c>
      <c r="D273" s="4" t="s">
        <v>50</v>
      </c>
      <c r="E273" s="4" t="s">
        <v>608</v>
      </c>
      <c r="F273" s="4" t="s">
        <v>37</v>
      </c>
      <c r="G273" s="4"/>
      <c r="H273" s="4"/>
      <c r="I273" s="4" t="s">
        <v>539</v>
      </c>
      <c r="J273" s="4">
        <v>3</v>
      </c>
      <c r="K273" s="4">
        <v>2</v>
      </c>
      <c r="L273" s="4">
        <v>1</v>
      </c>
      <c r="M273" s="4"/>
      <c r="N273" s="4" t="s">
        <v>33</v>
      </c>
      <c r="O273" s="4"/>
      <c r="P273" s="4" t="s">
        <v>30</v>
      </c>
      <c r="Q273" s="4"/>
      <c r="R273" s="4" t="s">
        <v>39</v>
      </c>
      <c r="S273" s="4" t="s">
        <v>59</v>
      </c>
      <c r="T273" s="4" t="s">
        <v>33</v>
      </c>
      <c r="U273" s="4"/>
      <c r="V273" s="4" t="s">
        <v>540</v>
      </c>
    </row>
    <row r="274" spans="1:22" ht="102" x14ac:dyDescent="0.2">
      <c r="A274" s="3">
        <v>41803.7989930556</v>
      </c>
      <c r="B274" s="4" t="s">
        <v>34</v>
      </c>
      <c r="C274" s="4" t="s">
        <v>49</v>
      </c>
      <c r="D274" s="4" t="s">
        <v>62</v>
      </c>
      <c r="E274" s="4"/>
      <c r="F274" s="4" t="s">
        <v>37</v>
      </c>
      <c r="G274" s="4"/>
      <c r="H274" s="4" t="s">
        <v>56</v>
      </c>
      <c r="I274" s="4"/>
      <c r="J274" s="4">
        <v>3</v>
      </c>
      <c r="K274" s="4">
        <v>1</v>
      </c>
      <c r="L274" s="4">
        <v>1</v>
      </c>
      <c r="M274" s="4"/>
      <c r="N274" s="4" t="s">
        <v>33</v>
      </c>
      <c r="O274" s="4"/>
      <c r="P274" s="4" t="s">
        <v>30</v>
      </c>
      <c r="Q274" s="4"/>
      <c r="R274" s="4" t="s">
        <v>282</v>
      </c>
      <c r="S274" s="4" t="s">
        <v>59</v>
      </c>
      <c r="T274" s="4" t="s">
        <v>33</v>
      </c>
      <c r="U274" s="4"/>
      <c r="V274" s="4" t="s">
        <v>491</v>
      </c>
    </row>
    <row r="275" spans="1:22" ht="63.75" x14ac:dyDescent="0.2">
      <c r="A275" s="3">
        <v>41803.836192129602</v>
      </c>
      <c r="B275" s="4" t="s">
        <v>48</v>
      </c>
      <c r="C275" s="4" t="s">
        <v>35</v>
      </c>
      <c r="D275" s="4" t="s">
        <v>36</v>
      </c>
      <c r="E275" s="4"/>
      <c r="F275" s="4" t="s">
        <v>37</v>
      </c>
      <c r="G275" s="4"/>
      <c r="H275" s="4"/>
      <c r="I275" s="4"/>
      <c r="J275" s="4">
        <v>1</v>
      </c>
      <c r="K275" s="4">
        <v>1</v>
      </c>
      <c r="L275" s="4">
        <v>1</v>
      </c>
      <c r="M275" s="4"/>
      <c r="N275" s="4"/>
      <c r="O275" s="4"/>
      <c r="P275" s="4" t="s">
        <v>30</v>
      </c>
      <c r="Q275" s="4" t="s">
        <v>541</v>
      </c>
      <c r="R275" s="4"/>
      <c r="S275" s="4" t="s">
        <v>59</v>
      </c>
      <c r="T275" s="4" t="s">
        <v>41</v>
      </c>
      <c r="U275" s="6" t="s">
        <v>409</v>
      </c>
      <c r="V275" s="4" t="s">
        <v>463</v>
      </c>
    </row>
    <row r="276" spans="1:22" ht="51" x14ac:dyDescent="0.2">
      <c r="A276" s="3">
        <v>41803.839282407404</v>
      </c>
      <c r="B276" s="6" t="s">
        <v>479</v>
      </c>
      <c r="C276" s="4" t="s">
        <v>35</v>
      </c>
      <c r="D276" s="4" t="s">
        <v>58</v>
      </c>
      <c r="E276" s="4"/>
      <c r="F276" s="4" t="s">
        <v>37</v>
      </c>
      <c r="G276" s="4"/>
      <c r="H276" s="4"/>
      <c r="I276" s="4"/>
      <c r="J276" s="4">
        <v>3</v>
      </c>
      <c r="K276" s="4">
        <v>1</v>
      </c>
      <c r="L276" s="4">
        <v>1</v>
      </c>
      <c r="M276" s="4"/>
      <c r="N276" s="4" t="s">
        <v>33</v>
      </c>
      <c r="O276" s="4"/>
      <c r="P276" s="4" t="s">
        <v>45</v>
      </c>
      <c r="Q276" s="4"/>
      <c r="R276" s="4"/>
      <c r="S276" s="4" t="s">
        <v>32</v>
      </c>
      <c r="T276" s="4" t="s">
        <v>33</v>
      </c>
      <c r="U276" s="4"/>
      <c r="V276" s="4"/>
    </row>
    <row r="277" spans="1:22" ht="63.75" x14ac:dyDescent="0.2">
      <c r="A277" s="3">
        <v>41803.8464467593</v>
      </c>
      <c r="B277" s="4" t="s">
        <v>105</v>
      </c>
      <c r="C277" s="4" t="s">
        <v>49</v>
      </c>
      <c r="D277" s="4" t="s">
        <v>50</v>
      </c>
      <c r="E277" s="4" t="s">
        <v>461</v>
      </c>
      <c r="F277" s="4" t="s">
        <v>37</v>
      </c>
      <c r="G277" s="4"/>
      <c r="H277" s="4" t="s">
        <v>56</v>
      </c>
      <c r="I277" s="4"/>
      <c r="J277" s="4">
        <v>2</v>
      </c>
      <c r="K277" s="4">
        <v>2</v>
      </c>
      <c r="L277" s="4">
        <v>1</v>
      </c>
      <c r="M277" s="4"/>
      <c r="N277" s="4" t="s">
        <v>33</v>
      </c>
      <c r="O277" s="4"/>
      <c r="P277" s="4" t="s">
        <v>30</v>
      </c>
      <c r="Q277" s="4"/>
      <c r="R277" s="4" t="s">
        <v>39</v>
      </c>
      <c r="S277" s="4" t="s">
        <v>59</v>
      </c>
      <c r="T277" s="4" t="s">
        <v>41</v>
      </c>
      <c r="U277" s="4" t="s">
        <v>461</v>
      </c>
      <c r="V277" s="4"/>
    </row>
    <row r="278" spans="1:22" ht="51" x14ac:dyDescent="0.2">
      <c r="A278" s="3">
        <v>41803.879479166702</v>
      </c>
      <c r="B278" s="6" t="s">
        <v>479</v>
      </c>
      <c r="C278" s="4" t="s">
        <v>35</v>
      </c>
      <c r="D278" s="4" t="s">
        <v>62</v>
      </c>
      <c r="E278" s="4"/>
      <c r="F278" s="4" t="s">
        <v>37</v>
      </c>
      <c r="G278" s="4"/>
      <c r="H278" s="4" t="s">
        <v>38</v>
      </c>
      <c r="I278" s="4"/>
      <c r="J278" s="4">
        <v>4</v>
      </c>
      <c r="K278" s="4">
        <v>3</v>
      </c>
      <c r="L278" s="4">
        <v>1</v>
      </c>
      <c r="M278" s="4"/>
      <c r="N278" s="4" t="s">
        <v>33</v>
      </c>
      <c r="O278" s="4"/>
      <c r="P278" s="4" t="s">
        <v>30</v>
      </c>
      <c r="Q278" s="4"/>
      <c r="R278" s="4" t="s">
        <v>39</v>
      </c>
      <c r="S278" s="4" t="s">
        <v>32</v>
      </c>
      <c r="T278" s="4" t="s">
        <v>33</v>
      </c>
      <c r="U278" s="4"/>
      <c r="V278" s="4"/>
    </row>
    <row r="279" spans="1:22" ht="63.75" x14ac:dyDescent="0.2">
      <c r="A279" s="3">
        <v>41803.909733796303</v>
      </c>
      <c r="B279" s="4" t="s">
        <v>48</v>
      </c>
      <c r="C279" s="4" t="s">
        <v>35</v>
      </c>
      <c r="D279" s="4" t="s">
        <v>58</v>
      </c>
      <c r="E279" s="4"/>
      <c r="F279" s="4" t="s">
        <v>37</v>
      </c>
      <c r="G279" s="4"/>
      <c r="H279" s="4" t="s">
        <v>56</v>
      </c>
      <c r="I279" s="4"/>
      <c r="J279" s="4"/>
      <c r="K279" s="4"/>
      <c r="L279" s="4">
        <v>1</v>
      </c>
      <c r="M279" s="4"/>
      <c r="N279" s="4" t="s">
        <v>33</v>
      </c>
      <c r="O279" s="4"/>
      <c r="P279" s="4" t="s">
        <v>30</v>
      </c>
      <c r="Q279" s="4"/>
      <c r="R279" s="4" t="s">
        <v>39</v>
      </c>
      <c r="S279" s="4" t="s">
        <v>59</v>
      </c>
      <c r="T279" s="4" t="s">
        <v>33</v>
      </c>
      <c r="U279" s="4"/>
      <c r="V279" s="4"/>
    </row>
    <row r="280" spans="1:22" ht="51" x14ac:dyDescent="0.2">
      <c r="A280" s="3">
        <v>41804.012581018498</v>
      </c>
      <c r="B280" s="4" t="s">
        <v>34</v>
      </c>
      <c r="C280" s="4" t="s">
        <v>35</v>
      </c>
      <c r="D280" s="4" t="s">
        <v>58</v>
      </c>
      <c r="E280" s="4"/>
      <c r="F280" s="4" t="s">
        <v>37</v>
      </c>
      <c r="G280" s="4"/>
      <c r="H280" s="4" t="s">
        <v>38</v>
      </c>
      <c r="I280" s="4"/>
      <c r="J280" s="4">
        <v>3</v>
      </c>
      <c r="K280" s="4">
        <v>1</v>
      </c>
      <c r="L280" s="4">
        <v>1</v>
      </c>
      <c r="M280" s="4"/>
      <c r="N280" s="4" t="s">
        <v>33</v>
      </c>
      <c r="O280" s="4"/>
      <c r="P280" s="4" t="s">
        <v>30</v>
      </c>
      <c r="Q280" s="4"/>
      <c r="R280" s="4" t="s">
        <v>39</v>
      </c>
      <c r="S280" s="4" t="s">
        <v>32</v>
      </c>
      <c r="T280" s="4" t="s">
        <v>33</v>
      </c>
      <c r="U280" s="4"/>
      <c r="V280" s="4" t="s">
        <v>542</v>
      </c>
    </row>
    <row r="281" spans="1:22" ht="63.75" x14ac:dyDescent="0.2">
      <c r="A281" s="3">
        <v>41804.209699074097</v>
      </c>
      <c r="B281" s="4" t="s">
        <v>34</v>
      </c>
      <c r="C281" s="4" t="s">
        <v>35</v>
      </c>
      <c r="D281" s="4" t="s">
        <v>62</v>
      </c>
      <c r="E281" s="4"/>
      <c r="F281" s="4" t="s">
        <v>37</v>
      </c>
      <c r="G281" s="4"/>
      <c r="H281" s="4" t="s">
        <v>56</v>
      </c>
      <c r="I281" s="4"/>
      <c r="J281" s="4">
        <v>2</v>
      </c>
      <c r="K281" s="4">
        <v>4</v>
      </c>
      <c r="L281" s="4">
        <v>5</v>
      </c>
      <c r="M281" s="4"/>
      <c r="N281" s="4" t="s">
        <v>33</v>
      </c>
      <c r="O281" s="4"/>
      <c r="P281" s="4" t="s">
        <v>30</v>
      </c>
      <c r="Q281" s="4"/>
      <c r="R281" s="4" t="s">
        <v>402</v>
      </c>
      <c r="S281" s="4" t="s">
        <v>59</v>
      </c>
      <c r="T281" s="4" t="s">
        <v>33</v>
      </c>
      <c r="U281" s="4"/>
      <c r="V281" s="4" t="s">
        <v>543</v>
      </c>
    </row>
    <row r="282" spans="1:22" ht="63.75" x14ac:dyDescent="0.2">
      <c r="A282" s="3">
        <v>41804.254513888904</v>
      </c>
      <c r="B282" s="4" t="s">
        <v>48</v>
      </c>
      <c r="C282" s="4" t="s">
        <v>35</v>
      </c>
      <c r="D282" s="4" t="s">
        <v>58</v>
      </c>
      <c r="E282" s="4"/>
      <c r="F282" s="4" t="s">
        <v>37</v>
      </c>
      <c r="G282" s="4"/>
      <c r="H282" s="4"/>
      <c r="I282" s="4"/>
      <c r="J282" s="4">
        <v>2</v>
      </c>
      <c r="K282" s="4">
        <v>1</v>
      </c>
      <c r="L282" s="4">
        <v>1</v>
      </c>
      <c r="M282" s="4"/>
      <c r="N282" s="4" t="s">
        <v>33</v>
      </c>
      <c r="O282" s="4"/>
      <c r="P282" s="4" t="s">
        <v>30</v>
      </c>
      <c r="Q282" s="4"/>
      <c r="R282" s="4" t="s">
        <v>39</v>
      </c>
      <c r="S282" s="4" t="s">
        <v>59</v>
      </c>
      <c r="T282" s="4" t="s">
        <v>41</v>
      </c>
      <c r="U282" s="4"/>
      <c r="V282" s="4"/>
    </row>
    <row r="283" spans="1:22" ht="102" x14ac:dyDescent="0.2">
      <c r="A283" s="3">
        <v>41804.336759259299</v>
      </c>
      <c r="B283" s="4" t="s">
        <v>197</v>
      </c>
      <c r="C283" s="4" t="s">
        <v>23</v>
      </c>
      <c r="D283" s="4" t="s">
        <v>50</v>
      </c>
      <c r="E283" s="4" t="s">
        <v>544</v>
      </c>
      <c r="F283" s="4" t="s">
        <v>37</v>
      </c>
      <c r="G283" s="4"/>
      <c r="H283" s="4" t="s">
        <v>56</v>
      </c>
      <c r="I283" s="4" t="s">
        <v>545</v>
      </c>
      <c r="J283" s="4">
        <v>3</v>
      </c>
      <c r="K283" s="4">
        <v>2</v>
      </c>
      <c r="L283" s="4">
        <v>1</v>
      </c>
      <c r="M283" s="4" t="s">
        <v>546</v>
      </c>
      <c r="N283" s="4" t="s">
        <v>33</v>
      </c>
      <c r="O283" s="4"/>
      <c r="P283" s="4" t="s">
        <v>30</v>
      </c>
      <c r="Q283" s="4"/>
      <c r="R283" s="4" t="s">
        <v>39</v>
      </c>
      <c r="S283" s="4" t="s">
        <v>59</v>
      </c>
      <c r="T283" s="4" t="s">
        <v>33</v>
      </c>
      <c r="U283" s="4"/>
      <c r="V283" s="4" t="s">
        <v>547</v>
      </c>
    </row>
    <row r="284" spans="1:22" ht="63.75" x14ac:dyDescent="0.2">
      <c r="A284" s="3">
        <v>41804.387615740699</v>
      </c>
      <c r="B284" s="4" t="s">
        <v>34</v>
      </c>
      <c r="C284" s="4" t="s">
        <v>49</v>
      </c>
      <c r="D284" s="4" t="s">
        <v>24</v>
      </c>
      <c r="E284" s="4" t="s">
        <v>548</v>
      </c>
      <c r="F284" s="4" t="s">
        <v>37</v>
      </c>
      <c r="G284" s="4"/>
      <c r="H284" s="4" t="s">
        <v>56</v>
      </c>
      <c r="I284" s="4"/>
      <c r="J284" s="4">
        <v>1</v>
      </c>
      <c r="K284" s="4">
        <v>1</v>
      </c>
      <c r="L284" s="4">
        <v>1</v>
      </c>
      <c r="M284" s="4"/>
      <c r="N284" s="4" t="s">
        <v>33</v>
      </c>
      <c r="O284" s="4"/>
      <c r="P284" s="4" t="s">
        <v>30</v>
      </c>
      <c r="Q284" s="4"/>
      <c r="R284" s="4" t="s">
        <v>39</v>
      </c>
      <c r="S284" s="4" t="s">
        <v>59</v>
      </c>
      <c r="T284" s="4" t="s">
        <v>33</v>
      </c>
      <c r="U284" s="4"/>
      <c r="V284" s="4"/>
    </row>
    <row r="285" spans="1:22" ht="51" x14ac:dyDescent="0.2">
      <c r="A285" s="3">
        <v>41804.402858796297</v>
      </c>
      <c r="B285" s="4" t="s">
        <v>48</v>
      </c>
      <c r="C285" s="4" t="s">
        <v>35</v>
      </c>
      <c r="D285" s="4" t="s">
        <v>58</v>
      </c>
      <c r="E285" s="4"/>
      <c r="F285" s="4" t="s">
        <v>37</v>
      </c>
      <c r="G285" s="4"/>
      <c r="H285" s="4" t="s">
        <v>56</v>
      </c>
      <c r="I285" s="4"/>
      <c r="J285" s="4">
        <v>1</v>
      </c>
      <c r="K285" s="4">
        <v>1</v>
      </c>
      <c r="L285" s="4">
        <v>1</v>
      </c>
      <c r="M285" s="4"/>
      <c r="N285" s="4" t="s">
        <v>33</v>
      </c>
      <c r="O285" s="4"/>
      <c r="P285" s="4" t="s">
        <v>30</v>
      </c>
      <c r="Q285" s="4"/>
      <c r="R285" s="4" t="s">
        <v>39</v>
      </c>
      <c r="S285" s="4" t="s">
        <v>32</v>
      </c>
      <c r="T285" s="4" t="s">
        <v>33</v>
      </c>
      <c r="U285" s="4"/>
      <c r="V285" s="4"/>
    </row>
    <row r="286" spans="1:22" ht="63.75" x14ac:dyDescent="0.2">
      <c r="A286" s="3">
        <v>41804.416064814803</v>
      </c>
      <c r="B286" s="4" t="s">
        <v>34</v>
      </c>
      <c r="C286" s="4" t="s">
        <v>35</v>
      </c>
      <c r="D286" s="4" t="s">
        <v>58</v>
      </c>
      <c r="E286" s="4"/>
      <c r="F286" s="4" t="s">
        <v>37</v>
      </c>
      <c r="G286" s="4"/>
      <c r="H286" s="4" t="s">
        <v>38</v>
      </c>
      <c r="I286" s="4"/>
      <c r="J286" s="4">
        <v>2</v>
      </c>
      <c r="K286" s="4">
        <v>1</v>
      </c>
      <c r="L286" s="4">
        <v>1</v>
      </c>
      <c r="M286" s="4"/>
      <c r="N286" s="4" t="s">
        <v>33</v>
      </c>
      <c r="O286" s="4"/>
      <c r="P286" s="4" t="s">
        <v>30</v>
      </c>
      <c r="Q286" s="4"/>
      <c r="R286" s="4" t="s">
        <v>39</v>
      </c>
      <c r="S286" s="4" t="s">
        <v>59</v>
      </c>
      <c r="T286" s="4" t="s">
        <v>41</v>
      </c>
      <c r="U286" s="4"/>
      <c r="V286" s="4" t="s">
        <v>491</v>
      </c>
    </row>
    <row r="287" spans="1:22" ht="140.25" x14ac:dyDescent="0.2">
      <c r="A287" s="3">
        <v>41804.428460648101</v>
      </c>
      <c r="B287" s="4" t="s">
        <v>48</v>
      </c>
      <c r="C287" s="4" t="s">
        <v>49</v>
      </c>
      <c r="D287" s="4" t="s">
        <v>62</v>
      </c>
      <c r="E287" s="4"/>
      <c r="F287" s="4" t="s">
        <v>37</v>
      </c>
      <c r="G287" s="4"/>
      <c r="H287" s="4" t="s">
        <v>38</v>
      </c>
      <c r="I287" s="4"/>
      <c r="J287" s="4">
        <v>4</v>
      </c>
      <c r="K287" s="4">
        <v>1</v>
      </c>
      <c r="L287" s="4">
        <v>1</v>
      </c>
      <c r="M287" s="4" t="s">
        <v>549</v>
      </c>
      <c r="N287" s="4" t="s">
        <v>33</v>
      </c>
      <c r="O287" s="4"/>
      <c r="P287" s="4" t="s">
        <v>30</v>
      </c>
      <c r="Q287" s="4"/>
      <c r="R287" s="4" t="s">
        <v>39</v>
      </c>
      <c r="S287" s="4" t="s">
        <v>32</v>
      </c>
      <c r="T287" s="4" t="s">
        <v>41</v>
      </c>
      <c r="U287" s="4" t="s">
        <v>461</v>
      </c>
      <c r="V287" s="4" t="s">
        <v>440</v>
      </c>
    </row>
    <row r="288" spans="1:22" ht="318.75" x14ac:dyDescent="0.2">
      <c r="A288" s="3">
        <v>41804.534479166701</v>
      </c>
      <c r="B288" s="6" t="s">
        <v>479</v>
      </c>
      <c r="C288" s="4" t="s">
        <v>23</v>
      </c>
      <c r="D288" s="4" t="s">
        <v>24</v>
      </c>
      <c r="E288" s="4" t="s">
        <v>611</v>
      </c>
      <c r="F288" s="4" t="s">
        <v>37</v>
      </c>
      <c r="G288" s="4"/>
      <c r="H288" s="4" t="s">
        <v>56</v>
      </c>
      <c r="I288" s="4" t="s">
        <v>550</v>
      </c>
      <c r="J288" s="4">
        <v>1</v>
      </c>
      <c r="K288" s="4">
        <v>1</v>
      </c>
      <c r="L288" s="4">
        <v>1</v>
      </c>
      <c r="M288" s="4"/>
      <c r="N288" s="4" t="s">
        <v>33</v>
      </c>
      <c r="O288" s="4"/>
      <c r="P288" s="4" t="s">
        <v>30</v>
      </c>
      <c r="Q288" s="4"/>
      <c r="R288" s="4" t="s">
        <v>39</v>
      </c>
      <c r="S288" s="4" t="s">
        <v>32</v>
      </c>
      <c r="T288" s="4" t="s">
        <v>33</v>
      </c>
      <c r="U288" s="4"/>
      <c r="V288" s="4"/>
    </row>
    <row r="289" spans="1:22" ht="51" x14ac:dyDescent="0.2">
      <c r="A289" s="3">
        <v>41804.734398148103</v>
      </c>
      <c r="B289" s="4" t="s">
        <v>48</v>
      </c>
      <c r="C289" s="4" t="s">
        <v>49</v>
      </c>
      <c r="D289" s="4" t="s">
        <v>62</v>
      </c>
      <c r="E289" s="4"/>
      <c r="F289" s="4" t="s">
        <v>37</v>
      </c>
      <c r="G289" s="4"/>
      <c r="H289" s="4" t="s">
        <v>38</v>
      </c>
      <c r="I289" s="4"/>
      <c r="J289" s="4">
        <v>3</v>
      </c>
      <c r="K289" s="4">
        <v>2</v>
      </c>
      <c r="L289" s="4">
        <v>1</v>
      </c>
      <c r="M289" s="4"/>
      <c r="N289" s="4" t="s">
        <v>33</v>
      </c>
      <c r="O289" s="4"/>
      <c r="P289" s="4" t="s">
        <v>30</v>
      </c>
      <c r="Q289" s="4"/>
      <c r="R289" s="6" t="s">
        <v>88</v>
      </c>
      <c r="S289" s="4" t="s">
        <v>32</v>
      </c>
      <c r="T289" s="4" t="s">
        <v>41</v>
      </c>
      <c r="U289" s="4"/>
      <c r="V289" s="4" t="s">
        <v>551</v>
      </c>
    </row>
    <row r="290" spans="1:22" ht="38.25" x14ac:dyDescent="0.2">
      <c r="A290" s="3">
        <v>41804.8581597222</v>
      </c>
      <c r="B290" s="4" t="s">
        <v>48</v>
      </c>
      <c r="C290" s="4" t="s">
        <v>35</v>
      </c>
      <c r="D290" s="4" t="s">
        <v>62</v>
      </c>
      <c r="E290" s="4"/>
      <c r="F290" s="4" t="s">
        <v>37</v>
      </c>
      <c r="G290" s="4"/>
      <c r="H290" s="4"/>
      <c r="I290" s="4"/>
      <c r="J290" s="4">
        <v>1</v>
      </c>
      <c r="K290" s="4">
        <v>1</v>
      </c>
      <c r="L290" s="4">
        <v>1</v>
      </c>
      <c r="M290" s="4"/>
      <c r="N290" s="4"/>
      <c r="O290" s="4"/>
      <c r="P290" s="4"/>
      <c r="Q290" s="4"/>
      <c r="R290" s="4" t="s">
        <v>39</v>
      </c>
      <c r="S290" s="4" t="s">
        <v>32</v>
      </c>
      <c r="T290" s="4"/>
      <c r="U290" s="4"/>
      <c r="V290" s="4"/>
    </row>
    <row r="291" spans="1:22" ht="51" x14ac:dyDescent="0.2">
      <c r="A291" s="3">
        <v>41804.973321759302</v>
      </c>
      <c r="B291" s="4" t="s">
        <v>34</v>
      </c>
      <c r="C291" s="4" t="s">
        <v>49</v>
      </c>
      <c r="D291" s="4" t="s">
        <v>24</v>
      </c>
      <c r="E291" s="4" t="s">
        <v>552</v>
      </c>
      <c r="F291" s="4" t="s">
        <v>37</v>
      </c>
      <c r="G291" s="4"/>
      <c r="H291" s="4" t="s">
        <v>56</v>
      </c>
      <c r="I291" s="4"/>
      <c r="J291" s="4">
        <v>3</v>
      </c>
      <c r="K291" s="4">
        <v>2</v>
      </c>
      <c r="L291" s="4">
        <v>1</v>
      </c>
      <c r="M291" s="4"/>
      <c r="N291" s="4" t="s">
        <v>33</v>
      </c>
      <c r="O291" s="4"/>
      <c r="P291" s="4" t="s">
        <v>30</v>
      </c>
      <c r="Q291" s="4"/>
      <c r="R291" s="4" t="s">
        <v>39</v>
      </c>
      <c r="S291" s="4" t="s">
        <v>32</v>
      </c>
      <c r="T291" s="4" t="s">
        <v>33</v>
      </c>
      <c r="U291" s="4"/>
      <c r="V291" s="4"/>
    </row>
    <row r="292" spans="1:22" ht="63.75" x14ac:dyDescent="0.2">
      <c r="A292" s="3">
        <v>41805.0831944444</v>
      </c>
      <c r="B292" s="4" t="s">
        <v>48</v>
      </c>
      <c r="C292" s="4" t="s">
        <v>49</v>
      </c>
      <c r="D292" s="4" t="s">
        <v>24</v>
      </c>
      <c r="E292" s="4" t="s">
        <v>553</v>
      </c>
      <c r="F292" s="4" t="s">
        <v>37</v>
      </c>
      <c r="G292" s="4"/>
      <c r="H292" s="4" t="s">
        <v>56</v>
      </c>
      <c r="I292" s="4"/>
      <c r="J292" s="4">
        <v>1</v>
      </c>
      <c r="K292" s="4">
        <v>1</v>
      </c>
      <c r="L292" s="4">
        <v>1</v>
      </c>
      <c r="M292" s="4"/>
      <c r="N292" s="4" t="s">
        <v>33</v>
      </c>
      <c r="O292" s="4"/>
      <c r="P292" s="4" t="s">
        <v>30</v>
      </c>
      <c r="Q292" s="4"/>
      <c r="R292" s="4" t="s">
        <v>39</v>
      </c>
      <c r="S292" s="4" t="s">
        <v>59</v>
      </c>
      <c r="T292" s="4" t="s">
        <v>33</v>
      </c>
      <c r="U292" s="4"/>
      <c r="V292" s="4"/>
    </row>
    <row r="293" spans="1:22" ht="63.75" x14ac:dyDescent="0.2">
      <c r="A293" s="3">
        <v>41805.349004629599</v>
      </c>
      <c r="B293" s="4" t="s">
        <v>48</v>
      </c>
      <c r="C293" s="4" t="s">
        <v>35</v>
      </c>
      <c r="D293" s="4" t="s">
        <v>58</v>
      </c>
      <c r="E293" s="4"/>
      <c r="F293" s="4" t="s">
        <v>37</v>
      </c>
      <c r="G293" s="4"/>
      <c r="H293" s="4" t="s">
        <v>38</v>
      </c>
      <c r="I293" s="4"/>
      <c r="J293" s="4">
        <v>2</v>
      </c>
      <c r="K293" s="4">
        <v>2</v>
      </c>
      <c r="L293" s="4">
        <v>1</v>
      </c>
      <c r="M293" s="4"/>
      <c r="N293" s="4" t="s">
        <v>33</v>
      </c>
      <c r="O293" s="4"/>
      <c r="P293" s="4" t="s">
        <v>30</v>
      </c>
      <c r="Q293" s="4"/>
      <c r="R293" s="4" t="s">
        <v>39</v>
      </c>
      <c r="S293" s="4" t="s">
        <v>59</v>
      </c>
      <c r="T293" s="4" t="s">
        <v>33</v>
      </c>
      <c r="U293" s="4"/>
      <c r="V293" s="4"/>
    </row>
    <row r="294" spans="1:22" ht="242.25" x14ac:dyDescent="0.2">
      <c r="A294" s="3">
        <v>41805.472187500003</v>
      </c>
      <c r="B294" s="4" t="s">
        <v>48</v>
      </c>
      <c r="C294" s="4" t="s">
        <v>35</v>
      </c>
      <c r="D294" s="4" t="s">
        <v>58</v>
      </c>
      <c r="E294" s="4"/>
      <c r="F294" s="4" t="s">
        <v>37</v>
      </c>
      <c r="G294" s="4"/>
      <c r="H294" s="4" t="s">
        <v>56</v>
      </c>
      <c r="I294" s="4"/>
      <c r="J294" s="4">
        <v>3</v>
      </c>
      <c r="K294" s="4">
        <v>2</v>
      </c>
      <c r="L294" s="4">
        <v>1</v>
      </c>
      <c r="M294" s="4"/>
      <c r="N294" s="4" t="s">
        <v>33</v>
      </c>
      <c r="O294" s="4"/>
      <c r="P294" s="4" t="s">
        <v>30</v>
      </c>
      <c r="Q294" s="4" t="s">
        <v>554</v>
      </c>
      <c r="R294" s="4" t="s">
        <v>39</v>
      </c>
      <c r="S294" s="4" t="s">
        <v>59</v>
      </c>
      <c r="T294" s="4" t="s">
        <v>41</v>
      </c>
      <c r="U294" s="6" t="s">
        <v>555</v>
      </c>
      <c r="V294" s="4" t="s">
        <v>556</v>
      </c>
    </row>
    <row r="295" spans="1:22" ht="76.5" x14ac:dyDescent="0.2">
      <c r="A295" s="3">
        <v>41805.527847222198</v>
      </c>
      <c r="B295" s="4" t="s">
        <v>34</v>
      </c>
      <c r="C295" s="4" t="s">
        <v>35</v>
      </c>
      <c r="D295" s="4" t="s">
        <v>58</v>
      </c>
      <c r="E295" s="4"/>
      <c r="F295" s="4" t="s">
        <v>37</v>
      </c>
      <c r="G295" s="4"/>
      <c r="H295" s="4" t="s">
        <v>38</v>
      </c>
      <c r="I295" s="4"/>
      <c r="J295" s="4">
        <v>1</v>
      </c>
      <c r="K295" s="4">
        <v>3</v>
      </c>
      <c r="L295" s="4">
        <v>2</v>
      </c>
      <c r="M295" s="4"/>
      <c r="N295" s="4" t="s">
        <v>33</v>
      </c>
      <c r="O295" s="4"/>
      <c r="P295" s="4" t="s">
        <v>30</v>
      </c>
      <c r="Q295" s="4"/>
      <c r="R295" s="4" t="s">
        <v>39</v>
      </c>
      <c r="S295" s="4" t="s">
        <v>40</v>
      </c>
      <c r="T295" s="4" t="s">
        <v>41</v>
      </c>
      <c r="U295" s="4"/>
      <c r="V295" s="4"/>
    </row>
    <row r="296" spans="1:22" ht="306" x14ac:dyDescent="0.2">
      <c r="A296" s="3">
        <v>41805.5710300926</v>
      </c>
      <c r="B296" s="4" t="s">
        <v>48</v>
      </c>
      <c r="C296" s="4" t="s">
        <v>49</v>
      </c>
      <c r="D296" s="4" t="s">
        <v>58</v>
      </c>
      <c r="E296" s="4"/>
      <c r="F296" s="4" t="s">
        <v>37</v>
      </c>
      <c r="G296" s="4"/>
      <c r="H296" s="4" t="s">
        <v>56</v>
      </c>
      <c r="I296" s="4"/>
      <c r="J296" s="4">
        <v>3</v>
      </c>
      <c r="K296" s="4">
        <v>3</v>
      </c>
      <c r="L296" s="4">
        <v>1</v>
      </c>
      <c r="M296" s="4"/>
      <c r="N296" s="4" t="s">
        <v>33</v>
      </c>
      <c r="O296" s="4"/>
      <c r="P296" s="4" t="s">
        <v>30</v>
      </c>
      <c r="Q296" s="4" t="s">
        <v>557</v>
      </c>
      <c r="R296" s="6" t="s">
        <v>558</v>
      </c>
      <c r="S296" s="4" t="s">
        <v>59</v>
      </c>
      <c r="T296" s="4" t="s">
        <v>33</v>
      </c>
      <c r="U296" s="4"/>
      <c r="V296" s="4" t="s">
        <v>461</v>
      </c>
    </row>
    <row r="297" spans="1:22" ht="76.5" x14ac:dyDescent="0.2">
      <c r="A297" s="3">
        <v>41805.619108796302</v>
      </c>
      <c r="B297" s="4" t="s">
        <v>34</v>
      </c>
      <c r="C297" s="4" t="s">
        <v>35</v>
      </c>
      <c r="D297" s="4" t="s">
        <v>58</v>
      </c>
      <c r="E297" s="4"/>
      <c r="F297" s="4" t="s">
        <v>37</v>
      </c>
      <c r="G297" s="4"/>
      <c r="H297" s="4" t="s">
        <v>28</v>
      </c>
      <c r="I297" s="4"/>
      <c r="J297" s="4">
        <v>4</v>
      </c>
      <c r="K297" s="4">
        <v>3</v>
      </c>
      <c r="L297" s="4">
        <v>1</v>
      </c>
      <c r="M297" s="4"/>
      <c r="N297" s="4"/>
      <c r="O297" s="4"/>
      <c r="P297" s="4" t="s">
        <v>90</v>
      </c>
      <c r="Q297" s="4"/>
      <c r="R297" s="6" t="s">
        <v>559</v>
      </c>
      <c r="S297" s="4" t="s">
        <v>32</v>
      </c>
      <c r="T297" s="4"/>
      <c r="U297" s="4"/>
      <c r="V297" s="4" t="s">
        <v>409</v>
      </c>
    </row>
    <row r="298" spans="1:22" ht="114.75" x14ac:dyDescent="0.2">
      <c r="A298" s="3">
        <v>41805.628946759301</v>
      </c>
      <c r="B298" s="4" t="s">
        <v>48</v>
      </c>
      <c r="C298" s="4" t="s">
        <v>35</v>
      </c>
      <c r="D298" s="4" t="s">
        <v>62</v>
      </c>
      <c r="E298" s="4"/>
      <c r="F298" s="4" t="s">
        <v>37</v>
      </c>
      <c r="G298" s="4"/>
      <c r="H298" s="4" t="s">
        <v>28</v>
      </c>
      <c r="I298" s="4"/>
      <c r="J298" s="4">
        <v>4</v>
      </c>
      <c r="K298" s="4">
        <v>1</v>
      </c>
      <c r="L298" s="4">
        <v>1</v>
      </c>
      <c r="M298" s="4"/>
      <c r="N298" s="6" t="s">
        <v>180</v>
      </c>
      <c r="O298" s="4"/>
      <c r="P298" s="4" t="s">
        <v>30</v>
      </c>
      <c r="Q298" s="4"/>
      <c r="R298" s="6" t="s">
        <v>460</v>
      </c>
      <c r="S298" s="4" t="s">
        <v>32</v>
      </c>
      <c r="T298" s="4" t="s">
        <v>41</v>
      </c>
      <c r="U298" s="4" t="s">
        <v>456</v>
      </c>
      <c r="V298" s="4"/>
    </row>
    <row r="299" spans="1:22" ht="63.75" x14ac:dyDescent="0.2">
      <c r="A299" s="3">
        <v>41805.654560185198</v>
      </c>
      <c r="B299" s="4" t="s">
        <v>48</v>
      </c>
      <c r="C299" s="4" t="s">
        <v>49</v>
      </c>
      <c r="D299" s="4" t="s">
        <v>50</v>
      </c>
      <c r="E299" s="4" t="s">
        <v>409</v>
      </c>
      <c r="F299" s="4" t="s">
        <v>37</v>
      </c>
      <c r="G299" s="4"/>
      <c r="H299" s="4" t="s">
        <v>56</v>
      </c>
      <c r="I299" s="4"/>
      <c r="J299" s="4">
        <v>2</v>
      </c>
      <c r="K299" s="4">
        <v>1</v>
      </c>
      <c r="L299" s="4">
        <v>1</v>
      </c>
      <c r="M299" s="4"/>
      <c r="N299" s="4" t="s">
        <v>33</v>
      </c>
      <c r="O299" s="4"/>
      <c r="P299" s="6" t="s">
        <v>90</v>
      </c>
      <c r="Q299" s="4"/>
      <c r="R299" s="4"/>
      <c r="S299" s="4" t="s">
        <v>59</v>
      </c>
      <c r="T299" s="4" t="s">
        <v>41</v>
      </c>
      <c r="U299" s="4"/>
      <c r="V299" s="4" t="s">
        <v>560</v>
      </c>
    </row>
    <row r="300" spans="1:22" ht="229.5" x14ac:dyDescent="0.2">
      <c r="A300" s="3">
        <v>41805.83625</v>
      </c>
      <c r="B300" s="6" t="s">
        <v>602</v>
      </c>
      <c r="C300" s="4" t="s">
        <v>35</v>
      </c>
      <c r="D300" s="4" t="s">
        <v>58</v>
      </c>
      <c r="E300" s="4"/>
      <c r="F300" s="4" t="s">
        <v>37</v>
      </c>
      <c r="G300" s="4"/>
      <c r="H300" s="4" t="s">
        <v>38</v>
      </c>
      <c r="I300" s="4"/>
      <c r="J300" s="4">
        <v>3</v>
      </c>
      <c r="K300" s="4">
        <v>2</v>
      </c>
      <c r="L300" s="4">
        <v>1</v>
      </c>
      <c r="M300" s="4"/>
      <c r="N300" s="4" t="s">
        <v>33</v>
      </c>
      <c r="O300" s="4"/>
      <c r="P300" s="4" t="s">
        <v>30</v>
      </c>
      <c r="Q300" s="4" t="s">
        <v>561</v>
      </c>
      <c r="R300" s="4" t="s">
        <v>39</v>
      </c>
      <c r="S300" s="4" t="s">
        <v>59</v>
      </c>
      <c r="T300" s="4" t="s">
        <v>33</v>
      </c>
      <c r="U300" s="4"/>
      <c r="V300" s="4"/>
    </row>
    <row r="301" spans="1:22" ht="63.75" x14ac:dyDescent="0.2">
      <c r="A301" s="3">
        <v>41805.861180555599</v>
      </c>
      <c r="B301" s="4" t="s">
        <v>34</v>
      </c>
      <c r="C301" s="4" t="s">
        <v>35</v>
      </c>
      <c r="D301" s="4" t="s">
        <v>58</v>
      </c>
      <c r="E301" s="4" t="s">
        <v>456</v>
      </c>
      <c r="F301" s="4" t="s">
        <v>37</v>
      </c>
      <c r="G301" s="4"/>
      <c r="H301" s="4" t="s">
        <v>56</v>
      </c>
      <c r="I301" s="4"/>
      <c r="J301" s="4">
        <v>3</v>
      </c>
      <c r="K301" s="4">
        <v>1</v>
      </c>
      <c r="L301" s="4">
        <v>1</v>
      </c>
      <c r="M301" s="4"/>
      <c r="N301" s="4" t="s">
        <v>33</v>
      </c>
      <c r="O301" s="4"/>
      <c r="P301" s="4" t="s">
        <v>30</v>
      </c>
      <c r="Q301" s="4"/>
      <c r="R301" s="4" t="s">
        <v>39</v>
      </c>
      <c r="S301" s="4" t="s">
        <v>59</v>
      </c>
      <c r="T301" s="4" t="s">
        <v>41</v>
      </c>
      <c r="U301" s="4"/>
      <c r="V301" s="4" t="s">
        <v>456</v>
      </c>
    </row>
    <row r="302" spans="1:22" ht="76.5" x14ac:dyDescent="0.2">
      <c r="A302" s="3">
        <v>41805.886932870402</v>
      </c>
      <c r="B302" s="4" t="s">
        <v>48</v>
      </c>
      <c r="C302" s="4" t="s">
        <v>49</v>
      </c>
      <c r="D302" s="6" t="s">
        <v>24</v>
      </c>
      <c r="E302" s="4" t="s">
        <v>562</v>
      </c>
      <c r="F302" s="4" t="s">
        <v>37</v>
      </c>
      <c r="G302" s="4"/>
      <c r="H302" s="4"/>
      <c r="I302" s="4"/>
      <c r="J302" s="4">
        <v>4</v>
      </c>
      <c r="K302" s="4">
        <v>3</v>
      </c>
      <c r="L302" s="4">
        <v>1</v>
      </c>
      <c r="M302" s="4"/>
      <c r="N302" s="4"/>
      <c r="O302" s="4"/>
      <c r="P302" s="4" t="s">
        <v>30</v>
      </c>
      <c r="Q302" s="4"/>
      <c r="R302" s="4" t="s">
        <v>77</v>
      </c>
      <c r="S302" s="4" t="s">
        <v>40</v>
      </c>
      <c r="T302" s="4" t="s">
        <v>33</v>
      </c>
      <c r="U302" s="4"/>
      <c r="V302" s="4"/>
    </row>
    <row r="303" spans="1:22" ht="140.25" x14ac:dyDescent="0.2">
      <c r="A303" s="3">
        <v>41805.943275463003</v>
      </c>
      <c r="B303" s="4" t="s">
        <v>48</v>
      </c>
      <c r="C303" s="4" t="s">
        <v>53</v>
      </c>
      <c r="D303" s="4" t="s">
        <v>24</v>
      </c>
      <c r="E303" s="4" t="s">
        <v>612</v>
      </c>
      <c r="F303" s="6" t="s">
        <v>63</v>
      </c>
      <c r="G303" s="4" t="s">
        <v>563</v>
      </c>
      <c r="H303" s="6" t="s">
        <v>56</v>
      </c>
      <c r="I303" s="4" t="s">
        <v>564</v>
      </c>
      <c r="J303" s="4">
        <v>3</v>
      </c>
      <c r="K303" s="4">
        <v>2</v>
      </c>
      <c r="L303" s="4">
        <v>1</v>
      </c>
      <c r="M303" s="4" t="s">
        <v>565</v>
      </c>
      <c r="N303" s="4" t="s">
        <v>33</v>
      </c>
      <c r="O303" s="4"/>
      <c r="P303" s="6" t="s">
        <v>30</v>
      </c>
      <c r="Q303" s="4"/>
      <c r="R303" s="4" t="s">
        <v>39</v>
      </c>
      <c r="S303" s="4" t="s">
        <v>32</v>
      </c>
      <c r="T303" s="4" t="s">
        <v>33</v>
      </c>
      <c r="U303" s="4"/>
      <c r="V303" s="4" t="s">
        <v>566</v>
      </c>
    </row>
    <row r="304" spans="1:22" ht="63.75" x14ac:dyDescent="0.2">
      <c r="A304" s="3">
        <v>41806.359988425902</v>
      </c>
      <c r="B304" s="6" t="s">
        <v>48</v>
      </c>
      <c r="C304" s="4" t="s">
        <v>35</v>
      </c>
      <c r="D304" s="4" t="s">
        <v>58</v>
      </c>
      <c r="E304" s="4" t="s">
        <v>567</v>
      </c>
      <c r="F304" s="4" t="s">
        <v>37</v>
      </c>
      <c r="G304" s="4"/>
      <c r="H304" s="6" t="s">
        <v>38</v>
      </c>
      <c r="I304" s="4"/>
      <c r="J304" s="4">
        <v>4</v>
      </c>
      <c r="K304" s="4">
        <v>3</v>
      </c>
      <c r="L304" s="4">
        <v>1</v>
      </c>
      <c r="M304" s="4"/>
      <c r="N304" s="4" t="s">
        <v>33</v>
      </c>
      <c r="O304" s="4"/>
      <c r="P304" s="4" t="s">
        <v>30</v>
      </c>
      <c r="Q304" s="4"/>
      <c r="R304" s="6" t="s">
        <v>39</v>
      </c>
      <c r="S304" s="4" t="s">
        <v>59</v>
      </c>
      <c r="T304" s="4" t="s">
        <v>33</v>
      </c>
      <c r="U304" s="4"/>
      <c r="V304" s="4" t="s">
        <v>568</v>
      </c>
    </row>
    <row r="305" spans="1:22" ht="38.25" x14ac:dyDescent="0.2">
      <c r="A305" s="3">
        <v>41806.364780092597</v>
      </c>
      <c r="B305" s="4" t="s">
        <v>48</v>
      </c>
      <c r="C305" s="4" t="s">
        <v>35</v>
      </c>
      <c r="D305" s="6" t="s">
        <v>62</v>
      </c>
      <c r="E305" s="4"/>
      <c r="F305" s="4" t="s">
        <v>37</v>
      </c>
      <c r="G305" s="4"/>
      <c r="H305" s="4"/>
      <c r="I305" s="4"/>
      <c r="J305" s="4">
        <v>1</v>
      </c>
      <c r="K305" s="4">
        <v>2</v>
      </c>
      <c r="L305" s="4">
        <v>1</v>
      </c>
      <c r="M305" s="4"/>
      <c r="N305" s="4" t="s">
        <v>33</v>
      </c>
      <c r="O305" s="4"/>
      <c r="P305" s="4" t="s">
        <v>45</v>
      </c>
      <c r="Q305" s="4"/>
      <c r="R305" s="4"/>
      <c r="S305" s="4" t="s">
        <v>32</v>
      </c>
      <c r="T305" s="4" t="s">
        <v>33</v>
      </c>
      <c r="U305" s="4"/>
      <c r="V305" s="4"/>
    </row>
    <row r="306" spans="1:22" ht="77.25" thickBot="1" x14ac:dyDescent="0.25">
      <c r="A306" s="3">
        <v>41806.638900462996</v>
      </c>
      <c r="B306" s="4" t="s">
        <v>34</v>
      </c>
      <c r="C306" s="4" t="s">
        <v>23</v>
      </c>
      <c r="D306" s="4" t="s">
        <v>62</v>
      </c>
      <c r="E306" s="4"/>
      <c r="F306" s="6" t="s">
        <v>37</v>
      </c>
      <c r="G306" s="4"/>
      <c r="H306" s="6" t="s">
        <v>28</v>
      </c>
      <c r="I306" s="4"/>
      <c r="J306" s="4">
        <v>1</v>
      </c>
      <c r="K306" s="4">
        <v>2</v>
      </c>
      <c r="L306" s="4">
        <v>5</v>
      </c>
      <c r="M306" s="4"/>
      <c r="N306" s="6" t="s">
        <v>33</v>
      </c>
      <c r="O306" s="4"/>
      <c r="P306" s="6" t="s">
        <v>45</v>
      </c>
      <c r="Q306" s="4"/>
      <c r="R306" s="6" t="s">
        <v>72</v>
      </c>
      <c r="S306" s="6" t="s">
        <v>59</v>
      </c>
      <c r="T306" s="4" t="s">
        <v>41</v>
      </c>
      <c r="U306" s="4" t="s">
        <v>456</v>
      </c>
      <c r="V306" s="4"/>
    </row>
    <row r="307" spans="1:22" s="12" customFormat="1" ht="14.25" customHeight="1" thickBot="1" x14ac:dyDescent="0.25">
      <c r="A307" s="11"/>
    </row>
    <row r="308" spans="1:22" ht="24.75" customHeight="1" x14ac:dyDescent="0.3">
      <c r="B308" s="5">
        <f>COUNTIF(B3:B306,"Administrativa/finanční sektor")</f>
        <v>73</v>
      </c>
      <c r="C308" s="7">
        <f>COUNTIF(C2:C306,"Jsem OSVČ")</f>
        <v>105</v>
      </c>
      <c r="D308" s="7">
        <f>COUNTIF(A2:A306,"Ano, jejich podíl ze všech zaměstnanců je 51-100%")</f>
        <v>0</v>
      </c>
      <c r="E308">
        <f>COUNTIF(E3:E306,"Ano, jejich podíl ze všech zaměstnanců je 51-100%")</f>
        <v>0</v>
      </c>
      <c r="F308">
        <f>COUNTIF(F3:F306,"Ano, ale zaměstnávám pouze pracovníky z jiných členských států EU, jejichž kvalifikace nemusí být v ČR úředně uznána (nevykonávají regulované povolání)")</f>
        <v>21</v>
      </c>
      <c r="G308">
        <f>COUNTIF(G3:G306,"administrativa
lektor")</f>
        <v>1</v>
      </c>
      <c r="H308">
        <f>COUNTIF(H3:H306,"Nepřiměřené omezení ")</f>
        <v>36</v>
      </c>
      <c r="J308">
        <f>COUNTIF(J3:J306,"1")</f>
        <v>58</v>
      </c>
      <c r="K308">
        <f>COUNTIF(K3:K306,"1")</f>
        <v>103</v>
      </c>
      <c r="L308">
        <f>COUNTIF(L3:L306,"1")</f>
        <v>212</v>
      </c>
      <c r="N308">
        <f>COUNTIF(N3:N306,"Ano, potíže mi způsobila procedura uznávání odborné kvalifikace pracovníka ")</f>
        <v>13</v>
      </c>
      <c r="P308">
        <f>COUNTIF(P3:P306,"Nemám názor")</f>
        <v>69</v>
      </c>
      <c r="R308">
        <f>COUNTIF(R3:R306,"POMOCI ŠKOLÁM")</f>
        <v>1</v>
      </c>
      <c r="U308">
        <f>COUNTIF(U3:U306,"")</f>
        <v>262</v>
      </c>
    </row>
    <row r="309" spans="1:22" ht="12.75" customHeight="1" x14ac:dyDescent="0.3">
      <c r="B309" s="5">
        <f>COUNTIF(B3:B306,"auditorské služby")</f>
        <v>1</v>
      </c>
      <c r="C309" s="7">
        <f>COUNTIF(C2:C306,"1-10 zaměstnanců")</f>
        <v>86</v>
      </c>
      <c r="D309" s="7">
        <f>COUNTIF(D3:D306,"Ano; jejich podíl ze všech zaměstnanců je 1-50%")</f>
        <v>61</v>
      </c>
      <c r="F309">
        <f>COUNTIF(F4:F308,"Ano, zaměstnávám pracovníky z jiných členských států EU, jejichž kvalifikace musí být v ČR úředně uznána (vykonávají regulované povolání)")</f>
        <v>9</v>
      </c>
      <c r="G309">
        <f>COUNTIF(G3:G306,"autokarosář, autolakyrník, obchodní manažer")</f>
        <v>1</v>
      </c>
      <c r="H309">
        <f>COUNTIF(H3:H306,"Požadavky zákona na výkon profese mi nevadí")</f>
        <v>132</v>
      </c>
      <c r="I309" s="7"/>
      <c r="J309">
        <f>COUNTIF(J2:J306,"2")</f>
        <v>52</v>
      </c>
      <c r="K309">
        <f>COUNTIF(K2:K306,"2")</f>
        <v>83</v>
      </c>
      <c r="L309">
        <f>COUNTIF(L2:L306,"2")</f>
        <v>25</v>
      </c>
      <c r="N309">
        <f>COUNTIF(N3:N306,"Ano, potíže mi způsobily požadavky na výkon profese")</f>
        <v>19</v>
      </c>
      <c r="P309">
        <f>COUNTIF(P3:P306,"Nesouhlasím se snížením požadavků na výkon profesí")</f>
        <v>174</v>
      </c>
      <c r="R309">
        <f>COUNTIF(R3:R306,"Nemám názor")</f>
        <v>5</v>
      </c>
      <c r="U309">
        <f>COUNTIF(U3:U306,"advokacie")</f>
        <v>1</v>
      </c>
    </row>
    <row r="310" spans="1:22" ht="12.75" customHeight="1" x14ac:dyDescent="0.3">
      <c r="B310" s="5">
        <f>COUNTIF(B3:B306,"bezpečnost práce")</f>
        <v>1</v>
      </c>
      <c r="C310" s="7">
        <f>COUNTIF(C2:C306,"11-50 zaměstnanců")</f>
        <v>44</v>
      </c>
      <c r="D310">
        <f>COUNTIF(D3:D306,"Jsem OSVČ; na mou kvalifikaci zákon klade požadavky")</f>
        <v>81</v>
      </c>
      <c r="F310">
        <f>COUNTIF(F5:F309,"Nezaměstnávám zahraniční pracovníky")</f>
        <v>256</v>
      </c>
      <c r="G310">
        <f>COUNTIF(G3:G306,"čalouník")</f>
        <v>1</v>
      </c>
      <c r="H310">
        <f>COUNTIF(H3:H306,"Požadavky zákona na výkon profese mi pomáhají při výběru pracovníka")</f>
        <v>89</v>
      </c>
      <c r="J310">
        <f>COUNTIF(J3:J306,"3")</f>
        <v>102</v>
      </c>
      <c r="K310">
        <f>COUNTIF(K3:K306,"3")</f>
        <v>58</v>
      </c>
      <c r="L310">
        <f>COUNTIF(L3:L306,"3")</f>
        <v>8</v>
      </c>
      <c r="N310">
        <f>COUNTIF(N3:N306,"Ano, potíže mi způsobily požadavky na výkon profese, Ano, potíže mi způsobila procedura uznávání odborné kvalifikace pracovníka ")</f>
        <v>7</v>
      </c>
      <c r="P310">
        <f>COUNTIF(P3:P306,"Uvítal/a")</f>
        <v>50</v>
      </c>
      <c r="R310">
        <f>COUNTIF(R3:R306,"Nemohu hodnotit")</f>
        <v>1</v>
      </c>
      <c r="U310">
        <f>COUNTIF(U3:U306,"")</f>
        <v>262</v>
      </c>
    </row>
    <row r="311" spans="1:22" ht="12.75" customHeight="1" x14ac:dyDescent="0.3">
      <c r="B311" s="5">
        <f>COUNTIF(B3:B306,"Biotechnologie")</f>
        <v>1</v>
      </c>
      <c r="C311" s="7">
        <f>COUNTIF(C2:C306,"51-250 zaměstnanců")</f>
        <v>39</v>
      </c>
      <c r="D311">
        <f>COUNTIF(D3:D306,"Jsem OSVČ; na mou kvalifikaci zákon neklade žádné požadavky")</f>
        <v>18</v>
      </c>
      <c r="F311">
        <f>COUNTIF(F6:F310,"Prázdné")</f>
        <v>0</v>
      </c>
      <c r="G311">
        <f>COUNTIF(G3:G306,"fyzioterapeut")</f>
        <v>1</v>
      </c>
      <c r="H311">
        <f>COUNTIF(H3:H306,"")</f>
        <v>47</v>
      </c>
      <c r="J311">
        <f>COUNTIF(J3:J306,"4")</f>
        <v>35</v>
      </c>
      <c r="K311">
        <f>COUNTIF(K3:K306,"4")</f>
        <v>20</v>
      </c>
      <c r="L311">
        <f>COUNTIF(L3:L306,"4")</f>
        <v>3</v>
      </c>
      <c r="N311">
        <f>COUNTIF(N3:N306,"Ne")</f>
        <v>234</v>
      </c>
      <c r="P311">
        <f>COUNTIF(P3:P306,"")</f>
        <v>11</v>
      </c>
      <c r="R311">
        <f>COUNTIF(R3:R306,"požadavky žádné nejsou - kvalita již nízká je")</f>
        <v>1</v>
      </c>
      <c r="U311">
        <f>COUNTIF(U3:U306,"")</f>
        <v>262</v>
      </c>
    </row>
    <row r="312" spans="1:22" ht="12.75" customHeight="1" x14ac:dyDescent="0.3">
      <c r="B312" s="5">
        <f>COUNTIF(B3:B306,"BOZP a PO")</f>
        <v>1</v>
      </c>
      <c r="C312" s="7">
        <f>COUNTIF(C2:C306,"251 a více zaměstnanců")</f>
        <v>28</v>
      </c>
      <c r="D312">
        <f>COUNTIF(D3:D306,"Nezaměstnávám takové pracovníky")</f>
        <v>75</v>
      </c>
      <c r="G312">
        <f>COUNTIF(G3:G306,"obchodní zástupce")</f>
        <v>1</v>
      </c>
      <c r="J312">
        <f>COUNTIF(J3:J306,"5")</f>
        <v>24</v>
      </c>
      <c r="K312">
        <f>COUNTIF(K3:K306,"5")</f>
        <v>14</v>
      </c>
      <c r="L312">
        <f>COUNTIF(L3:L306,"5")</f>
        <v>37</v>
      </c>
      <c r="N312">
        <f>COUNTIF(N3:N306,"")</f>
        <v>31</v>
      </c>
      <c r="R312">
        <f>COUNTIF(R3:R306,"snížení bezpečnosti dopravy")</f>
        <v>1</v>
      </c>
      <c r="U312">
        <f>COUNTIF(U3:U306,"")</f>
        <v>262</v>
      </c>
    </row>
    <row r="313" spans="1:22" ht="12.75" customHeight="1" x14ac:dyDescent="0.3">
      <c r="B313" s="5">
        <f>COUNTIF(B3:B306,"daňový poradce")</f>
        <v>1</v>
      </c>
      <c r="C313" s="7"/>
      <c r="D313">
        <f>COUNTIF(D3:D306,"Prázdné")</f>
        <v>0</v>
      </c>
      <c r="G313">
        <f>COUNTIF(G3:G306,"obchodní zástupce pro export")</f>
        <v>1</v>
      </c>
      <c r="J313">
        <f>COUNTIF(J3:J306,"")</f>
        <v>33</v>
      </c>
      <c r="K313">
        <f>COUNTIF(K3:K306,"")</f>
        <v>27</v>
      </c>
      <c r="L313">
        <f>COUNTIF(L3:L306,"")</f>
        <v>19</v>
      </c>
      <c r="R313">
        <f>COUNTIF(R3:R306,"Snížení cen produktů či služeb")</f>
        <v>4</v>
      </c>
      <c r="U313">
        <f>COUNTIF(U3:U306,"")</f>
        <v>262</v>
      </c>
    </row>
    <row r="314" spans="1:22" ht="12.75" customHeight="1" x14ac:dyDescent="0.3">
      <c r="B314" s="5">
        <f>COUNTIF(B3:B306,"daňový poradce, auditor")</f>
        <v>1</v>
      </c>
      <c r="C314" s="7"/>
      <c r="G314">
        <f>COUNTIF(G3:G306,"obchodník")</f>
        <v>1</v>
      </c>
      <c r="R314">
        <f>COUNTIF(R3:R306,"Snížení cen produktů či služeb, Zvýšení konkurence")</f>
        <v>2</v>
      </c>
      <c r="U314">
        <f>COUNTIF(U3:U306,"")</f>
        <v>262</v>
      </c>
    </row>
    <row r="315" spans="1:22" ht="12.75" customHeight="1" x14ac:dyDescent="0.3">
      <c r="B315" s="5">
        <f>COUNTIF(B3:B306,"Doprava")</f>
        <v>4</v>
      </c>
      <c r="C315" s="7"/>
      <c r="G315">
        <f>COUNTIF(G3:G306,"operátor
skladník")</f>
        <v>1</v>
      </c>
      <c r="R315">
        <f>COUNTIF(R3:R306,"Snížení flexibility pracovního trhu")</f>
        <v>1</v>
      </c>
      <c r="U315">
        <f>COUNTIF(U3:U306,"")</f>
        <v>262</v>
      </c>
    </row>
    <row r="316" spans="1:22" ht="12.75" customHeight="1" x14ac:dyDescent="0.3">
      <c r="B316" s="5">
        <f>COUNTIF(B3:B306,"Elektrotechnický průmysl")</f>
        <v>3</v>
      </c>
      <c r="C316" s="7"/>
      <c r="G316">
        <f>COUNTIF(G3:G306,"Strojírenský technik")</f>
        <v>1</v>
      </c>
      <c r="R316">
        <f>COUNTIF(R3:R306,"Snížení flexibility pracovního trhu, Snížení konkurence")</f>
        <v>1</v>
      </c>
      <c r="U316">
        <f>COUNTIF(U3:U306,"")</f>
        <v>262</v>
      </c>
    </row>
    <row r="317" spans="1:22" ht="12.75" customHeight="1" x14ac:dyDescent="0.3">
      <c r="B317" s="5"/>
      <c r="C317" s="7"/>
      <c r="G317">
        <f>COUNTIF(G3:G306,"technický pracovník v obchodním úseku")</f>
        <v>1</v>
      </c>
      <c r="R317">
        <f>COUNTIF(R3:R306,"Snížení kvality výrobků a služeb")</f>
        <v>120</v>
      </c>
      <c r="U317">
        <f>COUNTIF(U3:U306,"")</f>
        <v>262</v>
      </c>
    </row>
    <row r="318" spans="1:22" ht="12.75" customHeight="1" x14ac:dyDescent="0.3">
      <c r="B318" s="5"/>
      <c r="C318" s="7"/>
      <c r="G318">
        <f>COUNTIF(G3:G306,"technik")</f>
        <v>1</v>
      </c>
      <c r="R318">
        <f>COUNTIF(R3:R306,"Snížení kvality výrobků a služeb, k excesům v oblasti přestupků a trestního práva")</f>
        <v>1</v>
      </c>
      <c r="U318">
        <f>COUNTIF(U3:U306,"")</f>
        <v>262</v>
      </c>
    </row>
    <row r="319" spans="1:22" ht="12.75" customHeight="1" x14ac:dyDescent="0.3">
      <c r="B319" s="5">
        <f>COUNTIF(B3:B306,"Energetika ")</f>
        <v>8</v>
      </c>
      <c r="C319" s="7"/>
      <c r="G319">
        <f>COUNTIF(G3:G306,"učitel střední školy, farmaceutický asistent")</f>
        <v>1</v>
      </c>
      <c r="R319">
        <f>COUNTIF(R3:R306,"Snížení kvality výrobků a služeb, k excesům v oblasti přestupků a trestního práva")</f>
        <v>1</v>
      </c>
      <c r="U319">
        <f>COUNTIF(U3:U306,"")</f>
        <v>262</v>
      </c>
    </row>
    <row r="320" spans="1:22" ht="12.75" customHeight="1" x14ac:dyDescent="0.3">
      <c r="B320" s="5"/>
      <c r="C320" s="7"/>
      <c r="G320">
        <f>COUNTIF(G3:G306,"vedoucí outsourcingového oddělení")</f>
        <v>1</v>
      </c>
      <c r="R320">
        <f>COUNTIF(R3:R306,"Snížení kvality výrobků a služeb, Snížení cen produktů či služeb, Zvýšení konkurence")</f>
        <v>11</v>
      </c>
      <c r="U320">
        <f>COUNTIF(U3:U306,"")</f>
        <v>262</v>
      </c>
    </row>
    <row r="321" spans="2:21" ht="12.75" customHeight="1" x14ac:dyDescent="0.3">
      <c r="B321" s="5">
        <f>COUNTIF(B3:B306,"Finance")</f>
        <v>2</v>
      </c>
      <c r="G321">
        <f>COUNTIF(G3:G306,"vedoucí strojní výroby, šička-mongolsko")</f>
        <v>1</v>
      </c>
      <c r="R321">
        <f>COUNTIF(R3:R306,"")</f>
        <v>24</v>
      </c>
      <c r="U321">
        <f>COUNTIF(U3:U306,"")</f>
        <v>262</v>
      </c>
    </row>
    <row r="322" spans="2:21" ht="12.75" customHeight="1" x14ac:dyDescent="0.3">
      <c r="B322" s="5">
        <f>COUNTIF(B3:B306,"Fitness")</f>
        <v>1</v>
      </c>
      <c r="G322">
        <f>COUNTIF(G3:G306,"Vedoucí střediska monitoringu")</f>
        <v>1</v>
      </c>
      <c r="R322">
        <f>COUNTIF(R3:R306,"")</f>
        <v>24</v>
      </c>
      <c r="U322">
        <f>COUNTIF(U3:U306,"")</f>
        <v>262</v>
      </c>
    </row>
    <row r="323" spans="2:21" ht="12.75" customHeight="1" x14ac:dyDescent="0.3">
      <c r="B323" s="5">
        <f>COUNTIF(B3:B306,"Geodézie")</f>
        <v>1</v>
      </c>
      <c r="G323">
        <f>COUNTIF(G3:G306,"Viz vyse")</f>
        <v>1</v>
      </c>
      <c r="R323">
        <f>COUNTIF(R3:R306,"")</f>
        <v>24</v>
      </c>
      <c r="U323">
        <f>COUNTIF(U3:U306,"")</f>
        <v>262</v>
      </c>
    </row>
    <row r="324" spans="2:21" ht="12.75" customHeight="1" x14ac:dyDescent="0.3">
      <c r="B324" s="5">
        <f>COUNTIF(B3:B306,"Hornictví")</f>
        <v>1</v>
      </c>
      <c r="G324">
        <f>COUNTIF(G3:G306,"Zámečnictví, nástrojářství, malířství, lakýrnictví, natěračství")</f>
        <v>1</v>
      </c>
      <c r="R324">
        <f>COUNTIF(R3:R306,"")</f>
        <v>24</v>
      </c>
      <c r="U324">
        <f>COUNTIF(U3:U306,"")</f>
        <v>262</v>
      </c>
    </row>
    <row r="325" spans="2:21" ht="12.75" customHeight="1" x14ac:dyDescent="0.3">
      <c r="B325" s="5">
        <f>COUNTIF(B3:B306,"integrovaný záchranný systém")</f>
        <v>1</v>
      </c>
      <c r="G325">
        <f>COUNTIF(G3:G306,"")</f>
        <v>287</v>
      </c>
      <c r="R325">
        <f>COUNTIF(R3:R306,"")</f>
        <v>24</v>
      </c>
      <c r="U325">
        <f>COUNTIF(U3:U306,"")</f>
        <v>262</v>
      </c>
    </row>
    <row r="326" spans="2:21" ht="12.75" customHeight="1" x14ac:dyDescent="0.2">
      <c r="B326">
        <f>COUNTIF(B3:B306,"IT sektor")</f>
        <v>5</v>
      </c>
      <c r="R326">
        <f>COUNTIF(R3:R306,"Snížení kvality výrobků a služeb, Snížení cen produktů či služeb, Zvýšení konkurence, konkurence nekalé")</f>
        <v>1</v>
      </c>
      <c r="S326">
        <f>COUNTIF(S3:S306,"Mám několik informací o Národní soustavě kvalifikací, ale nepracuji s ní")</f>
        <v>183</v>
      </c>
      <c r="T326">
        <f>COUNTIF(T3:T306,"ano")</f>
        <v>120</v>
      </c>
      <c r="U326">
        <f>COUNTIF(U3:U306,"121, 118,645,325,147,670")</f>
        <v>1</v>
      </c>
    </row>
    <row r="327" spans="2:21" ht="12.75" customHeight="1" x14ac:dyDescent="0.2">
      <c r="B327">
        <f>COUNTIF(B3:B306,"Marketing")</f>
        <v>1</v>
      </c>
      <c r="R327">
        <f>COUNTIF(R3:R306,"Snížení kvality výrobků a služeb, Snížení flexibility pracovního trhu, Snížení konkurence")</f>
        <v>2</v>
      </c>
      <c r="S327">
        <f>COUNTIF(S3:S306,"Národní soustavu kvalifikací a profesní kvalifikace jsou součástí personální politiky firmy")</f>
        <v>42</v>
      </c>
      <c r="T327">
        <f>COUNTIF(T3:T306,"ne")</f>
        <v>157</v>
      </c>
      <c r="U327">
        <f>COUNTIF(U3:U306,"Ano, pouze u některých, za předpokladu vykonání odborných zkoušek, ne pouze formálních zkoušek.")</f>
        <v>1</v>
      </c>
    </row>
    <row r="328" spans="2:21" ht="12.75" customHeight="1" x14ac:dyDescent="0.2">
      <c r="B328">
        <f>COUNTIF(B3:B306,"Městský úřad")</f>
        <v>1</v>
      </c>
      <c r="R328">
        <f>COUNTIF(R3:R306,"Snížení kvality výrobků a služeb, Snížení flexibility pracovního trhu, Zvýšení cen produktů či služeb, Zvýšení konkurence")</f>
        <v>1</v>
      </c>
      <c r="S328">
        <f>COUNTIF(S3:S306,"O systému nic nevím")</f>
        <v>70</v>
      </c>
      <c r="T328">
        <f>COUNTIF(T3:T306,"")</f>
        <v>27</v>
      </c>
      <c r="U328">
        <f>COUNTIF(U3:U306,"číšník/servírka
pivovarník/sladovník (znalosti si ověří zaměstnavatel)")</f>
        <v>1</v>
      </c>
    </row>
    <row r="329" spans="2:21" ht="12.75" customHeight="1" x14ac:dyDescent="0.2">
      <c r="B329">
        <f>COUNTIF(B3:B306,"obchod")</f>
        <v>4</v>
      </c>
      <c r="R329">
        <f>COUNTIF(R3:R306,"Snížení kvality výrobků a služeb, Snížení konkurence")</f>
        <v>10</v>
      </c>
      <c r="S329">
        <f>COUNTIF(S3:S306,"")</f>
        <v>9</v>
      </c>
      <c r="U329">
        <f>COUNTIF(U3:U306,"daňové poradenství")</f>
        <v>1</v>
      </c>
    </row>
    <row r="330" spans="2:21" ht="12.75" customHeight="1" x14ac:dyDescent="0.2">
      <c r="B330">
        <f>COUNTIF(B3:B306,"Oceňování nemovitostí")</f>
        <v>1</v>
      </c>
      <c r="R330">
        <f>COUNTIF(R3:R306,"Snížení kvality výrobků a služeb, větším daňovým únikům")</f>
        <v>1</v>
      </c>
      <c r="U330">
        <f>COUNTIF(U3:U306,"Dobrovolná kvalifikace bez podpory ze strany státu nemá žádný význam - viz dobrovolná certifikace účetních u KCÚ zaštítěná ACCA, která v ČR nemá žádný praktický význam pro toho, kdo ji získá. A to funguje od roku 1998 - naprosto k ničemu!!")</f>
        <v>1</v>
      </c>
    </row>
    <row r="331" spans="2:21" ht="12.75" customHeight="1" x14ac:dyDescent="0.2">
      <c r="B331">
        <f>COUNTIF(B3:B306,"Pohostinství")</f>
        <v>1</v>
      </c>
      <c r="R331">
        <f>COUNTIF(R3:R306,"Snížení kvality výrobků a služeb, zákazník by nebyl chráněn, tak jako je doposud (v naší profesi např. povinné pojištění, další vzdělávání apod.)")</f>
        <v>1</v>
      </c>
      <c r="U331">
        <f>COUNTIF(U3:U306,"K této odpovědi nemám potřebné informace z uvedené oblasti. Proto uvádím ne.")</f>
        <v>1</v>
      </c>
    </row>
    <row r="332" spans="2:21" ht="12.75" customHeight="1" x14ac:dyDescent="0.2">
      <c r="B332">
        <f>COUNTIF(B3:B306,"pojišťovnictví")</f>
        <v>1</v>
      </c>
      <c r="R332">
        <f>COUNTIF(R3:R306,"Snížení kvality výrobků a služeb, Zvýšení cen produktů či služeb")</f>
        <v>2</v>
      </c>
      <c r="U332">
        <f>COUNTIF(U3:U306,"možným řešením by byly cechy, které by dbali na kvalitu výkonu profese a měli by právo oprávnění odebrat")</f>
        <v>1</v>
      </c>
    </row>
    <row r="333" spans="2:21" ht="12.75" customHeight="1" x14ac:dyDescent="0.2">
      <c r="B333">
        <f>COUNTIF(B3:B306,"poradenství")</f>
        <v>1</v>
      </c>
      <c r="R333">
        <f>COUNTIF(R3:R306,"Snížení kvality výrobků a služeb, Zvýšení cen produktů či služeb, Zvýšení konkurence")</f>
        <v>2</v>
      </c>
      <c r="U333">
        <f>COUNTIF(U3:U306,"Musí být kvalitní a náročná PK a hlavně úplná.")</f>
        <v>1</v>
      </c>
    </row>
    <row r="334" spans="2:21" ht="12.75" customHeight="1" x14ac:dyDescent="0.2">
      <c r="B334">
        <f>COUNTIF(B3:B306,"polygrafie")</f>
        <v>2</v>
      </c>
      <c r="R334">
        <f>COUNTIF(R3:R306,"Snížení kvality výrobků a služeb, Zvýšení flexibility pracovního trhu")</f>
        <v>6</v>
      </c>
      <c r="U334">
        <f>COUNTIF(U3:U306,"např. úklidový pracovník")</f>
        <v>1</v>
      </c>
    </row>
    <row r="335" spans="2:21" ht="12.75" customHeight="1" x14ac:dyDescent="0.2">
      <c r="B335">
        <f>COUNTIF(B3:B306,"požární technika")</f>
        <v>1</v>
      </c>
      <c r="R335">
        <f>COUNTIF(R3:R306,"Snížení kvality výrobků a služeb, Zvýšení flexibility pracovního trhu, Právní jistotu zákazníků")</f>
        <v>1</v>
      </c>
      <c r="U335">
        <f>COUNTIF(U3:U306,"Ne, protože dosažení kvalifikace je jen vstup, dále musí její úroveň někdo hlídat a udržovat, což registr určitě nezastane:-)")</f>
        <v>1</v>
      </c>
    </row>
    <row r="336" spans="2:21" ht="12.75" customHeight="1" x14ac:dyDescent="0.2">
      <c r="B336">
        <f>COUNTIF(B3:B306,"provádění inženýringu")</f>
        <v>1</v>
      </c>
      <c r="R336">
        <f>COUNTIF(R3:R306,"Snížení kvality výrobků a služeb, Zvýšení flexibility pracovního trhu, Snížení cen produktů či služeb")</f>
        <v>1</v>
      </c>
      <c r="U336">
        <f>COUNTIF(U3:U306,"obecně")</f>
        <v>1</v>
      </c>
    </row>
    <row r="337" spans="2:21" ht="12.75" customHeight="1" x14ac:dyDescent="0.2">
      <c r="B337">
        <f>COUNTIF(B3:B306,"realitní činnost")</f>
        <v>4</v>
      </c>
      <c r="R337">
        <f>COUNTIF(R3:R306,"Snížení kvality výrobků a služeb, Zvýšení flexibility pracovního trhu, Snížení cen produktů či služeb")</f>
        <v>1</v>
      </c>
      <c r="U337">
        <f>COUNTIF(U3:U306,"obecně ano, konkrétní povolání nedokážu specifikovat")</f>
        <v>1</v>
      </c>
    </row>
    <row r="338" spans="2:21" ht="12.75" customHeight="1" x14ac:dyDescent="0.2">
      <c r="B338">
        <f>COUNTIF(B3:B306,"skladování")</f>
        <v>1</v>
      </c>
      <c r="R338">
        <f>COUNTIF(R3:R306,"Snížení kvality výrobků a služeb, Zvýšení flexibility pracovního trhu, Snížení konkurence, test")</f>
        <v>0</v>
      </c>
      <c r="U338">
        <f>COUNTIF(U3:U306,"Odborně způsobilá osoba v prevenci rizik, Koordinátor na staveništi.")</f>
        <v>1</v>
      </c>
    </row>
    <row r="339" spans="2:21" ht="12.75" customHeight="1" x14ac:dyDescent="0.2">
      <c r="B339">
        <f>COUNTIF(B3:B306,"slévárenství")</f>
        <v>1</v>
      </c>
      <c r="R339">
        <f>COUNTIF(R3:R306,"Snížení kvality výrobků a služeb, Zvýšení flexibility pracovního trhu, Zvýšení cen produktů či služeb")</f>
        <v>1</v>
      </c>
      <c r="U339">
        <f>COUNTIF(U3:U306,"OZO v BOZP pro školství")</f>
        <v>1</v>
      </c>
    </row>
    <row r="340" spans="2:21" ht="12.75" customHeight="1" x14ac:dyDescent="0.2">
      <c r="B340">
        <f>COUNTIF(B3:B306,"služby")</f>
        <v>71</v>
      </c>
      <c r="R340">
        <f>COUNTIF(R3:R306,"Snížení kvality výrobků a služeb, Zvýšení flexibility pracovního trhu, Zvýšení konkurence")</f>
        <v>2</v>
      </c>
      <c r="U340">
        <f>COUNTIF(U3:U306,"Polygrafické profese")</f>
        <v>1</v>
      </c>
    </row>
    <row r="341" spans="2:21" ht="12.75" customHeight="1" x14ac:dyDescent="0.2">
      <c r="B341">
        <f>COUNTIF(B3:B306,"sociální služby")</f>
        <v>1</v>
      </c>
      <c r="R341">
        <f>COUNTIF(R3:R306,"Snížení kvality výrobků a služeb, Zvýšení konkurence")</f>
        <v>14</v>
      </c>
      <c r="U341">
        <f>COUNTIF(U3:U306,"Povinné členství v Komoře certifikovaných účetních - to by ochránilo jak nás, účetní, tak i naše klienty.")</f>
        <v>1</v>
      </c>
    </row>
    <row r="342" spans="2:21" ht="12.75" customHeight="1" x14ac:dyDescent="0.2">
      <c r="B342">
        <f>COUNTIF(B3:B306,"Stavební průmysl")</f>
        <v>27</v>
      </c>
      <c r="R342">
        <f>COUNTIF(R3:R306,"Snížení kvality výrobků a služeb, Zvýšení kvality výrobků a služeb, Zvýšení flexibility pracovního trhu, Zvýšení konkurence")</f>
        <v>1</v>
      </c>
      <c r="U342">
        <f>COUNTIF(U3:U306,"poznámka:
pokud by mělo být povinné získání kvalifikace nahrazeno dobrovolnou, k čemu by to bylo? To by pak nemuselo být vůbec. Nedávalo by to smysl.")</f>
        <v>1</v>
      </c>
    </row>
    <row r="343" spans="2:21" ht="12.75" customHeight="1" x14ac:dyDescent="0.2">
      <c r="B343">
        <f>COUNTIF(B3:B306,"Strojní průmysl")</f>
        <v>30</v>
      </c>
      <c r="R343">
        <f>COUNTIF(R3:R306,"stávající stav nezmění kvalitu služeb")</f>
        <v>1</v>
      </c>
      <c r="U343">
        <f>COUNTIF(U3:U306,"Právníci, advokáti, finanční poradci, investiční zprostředkovatelé. Pravděpodobně mnoho dalších, nicméně o nich nemám dostatek informací pro toho, abych byl schopen a ochoten něco doporučovat.")</f>
        <v>1</v>
      </c>
    </row>
    <row r="344" spans="2:21" ht="12.75" customHeight="1" x14ac:dyDescent="0.2">
      <c r="B344">
        <f>COUNTIF(B3:B306,"Školství")</f>
        <v>14</v>
      </c>
      <c r="R344">
        <f>COUNTIF(R3:R306,"viz předchozí komentář.")</f>
        <v>1</v>
      </c>
      <c r="U344">
        <f>COUNTIF(U3:U306,"řemesla")</f>
        <v>1</v>
      </c>
    </row>
    <row r="345" spans="2:21" ht="12.75" customHeight="1" x14ac:dyDescent="0.2">
      <c r="B345">
        <f>COUNTIF(B3:B306,"textil")</f>
        <v>1</v>
      </c>
      <c r="R345">
        <f>COUNTIF(R3:R306,"Zvýšení flexibility pracovního trhu")</f>
        <v>19</v>
      </c>
      <c r="U345">
        <f>COUNTIF(U3:U306,"řemeslné profese")</f>
        <v>1</v>
      </c>
    </row>
    <row r="346" spans="2:21" ht="12.75" customHeight="1" x14ac:dyDescent="0.2">
      <c r="B346">
        <f>COUNTIF(B3:B306,"vedení účetnictví, daňové poradenství")</f>
        <v>10</v>
      </c>
      <c r="R346">
        <f>COUNTIF(R3:R306,"Zvýšení flexibility pracovního trhu, Snížení cen produktů či služeb")</f>
        <v>6</v>
      </c>
      <c r="U346">
        <f>COUNTIF(U3:U306,"servisní technik hasících přístrojů")</f>
        <v>1</v>
      </c>
    </row>
    <row r="347" spans="2:21" ht="12.75" customHeight="1" x14ac:dyDescent="0.2">
      <c r="B347">
        <f>COUNTIF(B3:B306,"účetnictví a mzdová agenda")</f>
        <v>1</v>
      </c>
      <c r="R347">
        <f>COUNTIF(R3:R306,"Zvýšení flexibility pracovního trhu, Snížení cen produktů či služeb, Zvýšení konkurence")</f>
        <v>8</v>
      </c>
      <c r="U347">
        <f>COUNTIF(U3:U306,"stavebnictví")</f>
        <v>1</v>
      </c>
    </row>
    <row r="348" spans="2:21" ht="12.75" customHeight="1" x14ac:dyDescent="0.2">
      <c r="B348">
        <f>COUNTIF(B3:B306,"účetnictví, audit")</f>
        <v>1</v>
      </c>
      <c r="R348">
        <f>COUNTIF(R3:R306,"Zvýšení flexibility pracovního trhu, Zvýšení konkurence")</f>
        <v>11</v>
      </c>
      <c r="U348">
        <f>COUNTIF(U3:U306,"trenér, pedagog volného času")</f>
        <v>1</v>
      </c>
    </row>
    <row r="349" spans="2:21" ht="12.75" customHeight="1" x14ac:dyDescent="0.2">
      <c r="B349">
        <f>COUNTIF(B3:B306,"Vodárenství")</f>
        <v>2</v>
      </c>
      <c r="R349">
        <f>COUNTIF(R3:R306,"Zvýšení konkurence")</f>
        <v>16</v>
      </c>
      <c r="U349">
        <f>COUNTIF(U3:U306,"U neohrožujících lidské zdraví.")</f>
        <v>1</v>
      </c>
    </row>
    <row r="350" spans="2:21" ht="12.75" customHeight="1" x14ac:dyDescent="0.2">
      <c r="B350">
        <f>COUNTIF(B3:B306,"výroba")</f>
        <v>2</v>
      </c>
      <c r="R350">
        <f>COUNTIF(R3:R306,"Zvýšení konkurence, a zároveň ke zvýšení kvality absolventů")</f>
        <v>1</v>
      </c>
      <c r="U350">
        <f>COUNTIF(U3:U306,"u povolání, jejichž neodborný výkon nebude mít závažné následky - pokud pekař zkazí chleba, nic se nestane, pokud zkazí lékař operaci, zemře pacient")</f>
        <v>1</v>
      </c>
    </row>
    <row r="351" spans="2:21" ht="12.75" customHeight="1" x14ac:dyDescent="0.2">
      <c r="B351">
        <f>COUNTIF(B3:B306,"výroba nábytku")</f>
        <v>1</v>
      </c>
      <c r="R351">
        <f>COUNTIF(R3:R306,"zvýšení konkurenceschopnosti vůči ostatním zahraničním subjektům")</f>
        <v>1</v>
      </c>
      <c r="U351">
        <f>COUNTIF(U3:U306,"U profesí z kategorie regulovaných profesí, které v naší společnosti máme obsazeny, již platí možnost uznání dobrovolného osvědčení o profesní kvalifikaci (Z. č. 179/2006 Sb.).")</f>
        <v>1</v>
      </c>
    </row>
    <row r="352" spans="2:21" ht="12.75" customHeight="1" x14ac:dyDescent="0.2">
      <c r="B352">
        <f>COUNTIF(B3:B306,"výroba regálové techniky")</f>
        <v>1</v>
      </c>
      <c r="R352">
        <f>COUNTIF(R3:R306,"Zvýšení kvality výrobků a služeb")</f>
        <v>2</v>
      </c>
      <c r="U352">
        <f>COUNTIF(U3:U306,"u všech")</f>
        <v>1</v>
      </c>
    </row>
    <row r="353" spans="2:21" ht="12.75" customHeight="1" x14ac:dyDescent="0.2">
      <c r="B353">
        <f>COUNTIF(B3:B306,"výrobní průmysl")</f>
        <v>1</v>
      </c>
      <c r="R353">
        <f>COUNTIF(R3:R306,"Zvýšení kvality výrobků a služeb")</f>
        <v>2</v>
      </c>
      <c r="U353">
        <f>COUNTIF(U3:U306,"u všech těch profesí, u kterých přebujelá byrokracie nařídila povinou profesní kvalifikaci jen proto aby omezila konkurenci na trhu")</f>
        <v>1</v>
      </c>
    </row>
    <row r="354" spans="2:21" ht="12.75" customHeight="1" x14ac:dyDescent="0.2">
      <c r="B354">
        <f>COUNTIF(B3:B306,"vzdělávání")</f>
        <v>2</v>
      </c>
      <c r="R354">
        <f>COUNTIF(R3:R306,"Zvýšení kvality výrobků a služeb, Snížení cen produktů či služeb, Zvýšení konkurence")</f>
        <v>1</v>
      </c>
      <c r="U354">
        <f>COUNTIF(U3:U306,"u žádné z profesí, které jsou dnes podřazeny pod systém povinné regulace, bych dobrovolné získávání nedoporučovala. Naopak u některých profesí (realitní makléř, finanční poradce) bych doporučovala zavedení povinného členství,zkoušek apod.")</f>
        <v>1</v>
      </c>
    </row>
    <row r="355" spans="2:21" ht="12.75" customHeight="1" x14ac:dyDescent="0.2">
      <c r="B355">
        <f>COUNTIF(B3:B306,"zdravotnictví")</f>
        <v>4</v>
      </c>
      <c r="R355">
        <f>COUNTIF(R3:R306,"Zvýšení kvality výrobků a služeb, Zvýšení flexibility pracovního trhu, Snížení cen produktů či služeb, Zvýšení cen produktů či služeb, Zvýšení konkurence")</f>
        <v>1</v>
      </c>
      <c r="U355">
        <f>COUNTIF(U3:U306,"účetní")</f>
        <v>2</v>
      </c>
    </row>
    <row r="356" spans="2:21" ht="12.75" customHeight="1" x14ac:dyDescent="0.2">
      <c r="B356">
        <f>COUNTIF(B3:B306,"Zemědělství")</f>
        <v>2</v>
      </c>
      <c r="R356">
        <f>COUNTIF(R3:R306,"Zvýšení kvality výrobků a služeb, Zvýšení flexibility pracovního trhu, Snížení cen produktů či služeb, Zvýšení konkurence")</f>
        <v>4</v>
      </c>
      <c r="U356">
        <f>COUNTIF(U3:U306,"účetnictví")</f>
        <v>2</v>
      </c>
    </row>
    <row r="357" spans="2:21" ht="12.75" customHeight="1" x14ac:dyDescent="0.2">
      <c r="B357">
        <f>COUNTIF(B3:B306,"Znalecký ústav")</f>
        <v>1</v>
      </c>
      <c r="R357">
        <f>COUNTIF(R3:R306,"Zvýšení kvality výrobků a služeb, Zvýšení flexibility pracovního trhu, Snížení konkurence")</f>
        <v>1</v>
      </c>
      <c r="U357">
        <f>COUNTIF(U3:U306,"vedení účetnictví a daňové evidence")</f>
        <v>1</v>
      </c>
    </row>
    <row r="358" spans="2:21" ht="12.75" customHeight="1" x14ac:dyDescent="0.2">
      <c r="B358">
        <f>COUNTIF(B3:B306,"Zpracovatelský průmysl")</f>
        <v>1</v>
      </c>
      <c r="R358">
        <f>COUNTIF(R3:R306,"Zvýšení kvality výrobků a služeb, Zvýšení flexibility pracovního trhu, Zvýšení konkurence")</f>
        <v>2</v>
      </c>
      <c r="U358">
        <f>COUNTIF(U3:U306,"z mého pohledu jde zejména o stavby ekologické,pasivní")</f>
        <v>1</v>
      </c>
    </row>
    <row r="359" spans="2:21" ht="12.75" customHeight="1" x14ac:dyDescent="0.2">
      <c r="B359">
        <f>COUNTIF(B3:B306,"")</f>
        <v>4</v>
      </c>
      <c r="R359">
        <f>COUNTIF(R3:R306,"Snížení kvality výrobků a služeb, Zvýšení flexibility pracovního trhu, Snížení cen produktů či služeb, Zvýšení konkurence")</f>
        <v>6</v>
      </c>
      <c r="U359">
        <f>COUNTIF(U3:U306,"Znalec v oceňování majetku pro věci nemovité")</f>
        <v>1</v>
      </c>
    </row>
    <row r="360" spans="2:21" ht="12.75" customHeight="1" x14ac:dyDescent="0.2">
      <c r="U360">
        <f>COUNTIF(U3:U306,"")</f>
        <v>262</v>
      </c>
    </row>
  </sheetData>
  <autoFilter ref="A1:V360"/>
  <pageMargins left="0.7" right="0.7" top="0.78740157499999996" bottom="0.78740157499999996"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2:EY503"/>
  <sheetViews>
    <sheetView tabSelected="1" topLeftCell="A370" zoomScale="75" zoomScaleNormal="75" workbookViewId="0">
      <selection activeCell="Z459" sqref="Z459"/>
    </sheetView>
  </sheetViews>
  <sheetFormatPr defaultRowHeight="12.75" x14ac:dyDescent="0.2"/>
  <cols>
    <col min="2" max="2" width="36.42578125" customWidth="1"/>
    <col min="3" max="43" width="20.7109375" customWidth="1"/>
  </cols>
  <sheetData>
    <row r="2" spans="1:155" ht="51" x14ac:dyDescent="0.2">
      <c r="A2" s="7" t="s">
        <v>605</v>
      </c>
      <c r="B2" s="1" t="s">
        <v>1</v>
      </c>
      <c r="C2" s="35" t="s">
        <v>34</v>
      </c>
      <c r="D2" s="35" t="s">
        <v>604</v>
      </c>
      <c r="E2" s="34" t="s">
        <v>48</v>
      </c>
      <c r="F2" s="35" t="s">
        <v>61</v>
      </c>
      <c r="G2" s="35" t="s">
        <v>68</v>
      </c>
      <c r="H2" s="35" t="s">
        <v>22</v>
      </c>
      <c r="I2" s="34" t="s">
        <v>711</v>
      </c>
      <c r="J2" s="35" t="s">
        <v>569</v>
      </c>
      <c r="K2" s="35" t="s">
        <v>175</v>
      </c>
      <c r="L2" s="35" t="s">
        <v>161</v>
      </c>
      <c r="M2" s="35" t="s">
        <v>43</v>
      </c>
      <c r="N2" s="34" t="s">
        <v>718</v>
      </c>
      <c r="O2" s="35" t="s">
        <v>743</v>
      </c>
      <c r="P2" s="35" t="s">
        <v>67</v>
      </c>
      <c r="Q2" s="35" t="s">
        <v>326</v>
      </c>
      <c r="R2" s="35" t="s">
        <v>717</v>
      </c>
      <c r="S2" s="35" t="s">
        <v>462</v>
      </c>
      <c r="T2" s="35" t="s">
        <v>302</v>
      </c>
      <c r="U2" s="35" t="s">
        <v>96</v>
      </c>
      <c r="V2" s="35" t="s">
        <v>268</v>
      </c>
      <c r="W2" s="35" t="s">
        <v>232</v>
      </c>
      <c r="X2" s="34" t="s">
        <v>739</v>
      </c>
      <c r="Y2" s="34" t="s">
        <v>723</v>
      </c>
      <c r="Z2" s="34" t="s">
        <v>732</v>
      </c>
      <c r="AA2" s="34" t="s">
        <v>709</v>
      </c>
      <c r="AB2" s="35" t="s">
        <v>592</v>
      </c>
      <c r="AC2" s="34" t="s">
        <v>715</v>
      </c>
      <c r="AD2" s="35" t="s">
        <v>110</v>
      </c>
      <c r="AE2" s="35" t="s">
        <v>428</v>
      </c>
      <c r="AF2" s="35" t="s">
        <v>321</v>
      </c>
      <c r="AG2" s="38" t="s">
        <v>714</v>
      </c>
      <c r="AH2" s="35" t="s">
        <v>730</v>
      </c>
      <c r="AI2" s="34" t="s">
        <v>719</v>
      </c>
      <c r="AJ2" s="34" t="s">
        <v>710</v>
      </c>
      <c r="AK2" s="34" t="s">
        <v>733</v>
      </c>
      <c r="AL2" s="34" t="s">
        <v>737</v>
      </c>
      <c r="AM2" s="35" t="s">
        <v>313</v>
      </c>
      <c r="AN2" s="35" t="s">
        <v>189</v>
      </c>
      <c r="AO2" s="34" t="s">
        <v>722</v>
      </c>
      <c r="AP2" s="35" t="s">
        <v>725</v>
      </c>
      <c r="AQ2" s="35" t="s">
        <v>266</v>
      </c>
      <c r="AR2" s="34" t="s">
        <v>741</v>
      </c>
      <c r="AS2" s="34" t="s">
        <v>728</v>
      </c>
      <c r="AT2" s="44" t="s">
        <v>708</v>
      </c>
      <c r="AU2" s="35" t="s">
        <v>85</v>
      </c>
      <c r="AV2" s="34" t="s">
        <v>727</v>
      </c>
      <c r="AW2" s="35" t="s">
        <v>348</v>
      </c>
      <c r="AX2" s="34" t="s">
        <v>720</v>
      </c>
      <c r="AY2" s="34" t="s">
        <v>729</v>
      </c>
      <c r="AZ2" s="34" t="s">
        <v>726</v>
      </c>
      <c r="BA2" s="34" t="s">
        <v>724</v>
      </c>
      <c r="BB2" s="35" t="s">
        <v>270</v>
      </c>
      <c r="BC2" s="34" t="s">
        <v>740</v>
      </c>
      <c r="BD2" s="34" t="s">
        <v>734</v>
      </c>
      <c r="BE2" s="34" t="s">
        <v>735</v>
      </c>
      <c r="BF2" s="35" t="s">
        <v>736</v>
      </c>
      <c r="BG2" s="34" t="s">
        <v>712</v>
      </c>
      <c r="BH2" s="34" t="s">
        <v>738</v>
      </c>
      <c r="BI2" s="34" t="s">
        <v>713</v>
      </c>
      <c r="BJ2" s="35" t="s">
        <v>219</v>
      </c>
      <c r="BK2" s="35" t="s">
        <v>365</v>
      </c>
      <c r="BL2" s="35" t="s">
        <v>603</v>
      </c>
      <c r="BM2" s="34" t="s">
        <v>742</v>
      </c>
      <c r="BN2" s="34" t="s">
        <v>716</v>
      </c>
      <c r="BO2" s="34" t="s">
        <v>731</v>
      </c>
      <c r="BP2" s="34" t="s">
        <v>721</v>
      </c>
      <c r="BQ2" s="37"/>
      <c r="BR2" s="37"/>
      <c r="BS2" s="40"/>
      <c r="BT2" s="37"/>
      <c r="BU2" s="40"/>
      <c r="BV2" s="37"/>
      <c r="BW2" s="40"/>
      <c r="BX2" s="40"/>
      <c r="BY2" s="37"/>
      <c r="BZ2" s="40"/>
      <c r="CA2" s="37"/>
      <c r="CB2" s="40"/>
      <c r="CC2" s="37"/>
      <c r="CD2" s="40"/>
      <c r="CE2" s="37"/>
      <c r="CF2" s="37"/>
      <c r="CG2" s="40"/>
      <c r="CH2" s="40"/>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6"/>
      <c r="DX2" s="36"/>
      <c r="DY2" s="36"/>
      <c r="DZ2" s="36"/>
      <c r="EA2" s="36"/>
      <c r="EB2" s="36"/>
      <c r="EC2" s="36"/>
      <c r="ED2" s="36"/>
      <c r="EE2" s="36"/>
      <c r="EF2" s="36"/>
      <c r="EG2" s="36"/>
      <c r="EH2" s="36"/>
      <c r="EI2" s="36"/>
      <c r="EJ2" s="36"/>
      <c r="EK2" s="36"/>
    </row>
    <row r="3" spans="1:155" x14ac:dyDescent="0.2">
      <c r="C3" s="34">
        <f>75+117</f>
        <v>192</v>
      </c>
      <c r="D3" s="34">
        <f>16+87</f>
        <v>103</v>
      </c>
      <c r="E3" s="34">
        <f>73+25</f>
        <v>98</v>
      </c>
      <c r="F3" s="34">
        <f>30+45</f>
        <v>75</v>
      </c>
      <c r="G3" s="34">
        <f>27+38</f>
        <v>65</v>
      </c>
      <c r="H3" s="34">
        <f>2+40</f>
        <v>42</v>
      </c>
      <c r="I3" s="34">
        <v>28</v>
      </c>
      <c r="J3" s="34">
        <v>27</v>
      </c>
      <c r="K3" s="34">
        <f>4+17</f>
        <v>21</v>
      </c>
      <c r="L3" s="34">
        <v>21</v>
      </c>
      <c r="M3" s="34">
        <v>17</v>
      </c>
      <c r="N3" s="34">
        <v>15</v>
      </c>
      <c r="O3" s="34">
        <v>14</v>
      </c>
      <c r="P3" s="34">
        <f>4+9</f>
        <v>13</v>
      </c>
      <c r="Q3" s="34">
        <f>5+5</f>
        <v>10</v>
      </c>
      <c r="R3" s="34">
        <f>1+8</f>
        <v>9</v>
      </c>
      <c r="S3" s="34">
        <f>4+4</f>
        <v>8</v>
      </c>
      <c r="T3" s="34">
        <f>2+5</f>
        <v>7</v>
      </c>
      <c r="U3" s="34">
        <v>6</v>
      </c>
      <c r="V3" s="34">
        <f>2+4</f>
        <v>6</v>
      </c>
      <c r="W3" s="34">
        <f>2+4</f>
        <v>6</v>
      </c>
      <c r="X3" s="34">
        <v>5</v>
      </c>
      <c r="Y3" s="34">
        <v>5</v>
      </c>
      <c r="Z3" s="34">
        <v>4</v>
      </c>
      <c r="AA3" s="34">
        <v>4</v>
      </c>
      <c r="AB3" s="34">
        <v>4</v>
      </c>
      <c r="AC3" s="34">
        <v>4</v>
      </c>
      <c r="AD3" s="34">
        <f>1+3</f>
        <v>4</v>
      </c>
      <c r="AE3" s="34">
        <v>3</v>
      </c>
      <c r="AF3" s="34">
        <f>1+2</f>
        <v>3</v>
      </c>
      <c r="AG3" s="34">
        <v>3</v>
      </c>
      <c r="AH3" s="34">
        <v>3</v>
      </c>
      <c r="AI3" s="34">
        <v>2</v>
      </c>
      <c r="AJ3" s="34">
        <v>2</v>
      </c>
      <c r="AK3" s="34">
        <v>2</v>
      </c>
      <c r="AL3" s="34">
        <v>2</v>
      </c>
      <c r="AM3" s="34">
        <f>1+1</f>
        <v>2</v>
      </c>
      <c r="AN3" s="34">
        <f>1+1</f>
        <v>2</v>
      </c>
      <c r="AO3" s="34">
        <v>2</v>
      </c>
      <c r="AP3" s="34">
        <v>1</v>
      </c>
      <c r="AQ3" s="34">
        <v>1</v>
      </c>
      <c r="AR3" s="34">
        <v>1</v>
      </c>
      <c r="AS3" s="34">
        <v>1</v>
      </c>
      <c r="AT3" s="34">
        <v>1</v>
      </c>
      <c r="AU3" s="34">
        <v>1</v>
      </c>
      <c r="AV3" s="34">
        <v>1</v>
      </c>
      <c r="AW3" s="34">
        <v>1</v>
      </c>
      <c r="AX3" s="34">
        <v>1</v>
      </c>
      <c r="AY3" s="34">
        <v>1</v>
      </c>
      <c r="AZ3" s="34">
        <v>1</v>
      </c>
      <c r="BA3" s="34">
        <v>1</v>
      </c>
      <c r="BB3" s="34">
        <v>1</v>
      </c>
      <c r="BC3" s="34">
        <v>1</v>
      </c>
      <c r="BD3" s="34">
        <v>1</v>
      </c>
      <c r="BE3" s="34">
        <v>1</v>
      </c>
      <c r="BF3" s="34">
        <v>1</v>
      </c>
      <c r="BG3" s="34">
        <v>1</v>
      </c>
      <c r="BH3" s="34">
        <v>1</v>
      </c>
      <c r="BI3" s="34">
        <v>1</v>
      </c>
      <c r="BJ3" s="34">
        <v>1</v>
      </c>
      <c r="BK3" s="34">
        <v>1</v>
      </c>
      <c r="BL3" s="34">
        <v>1</v>
      </c>
      <c r="BM3" s="34">
        <v>1</v>
      </c>
      <c r="BN3" s="34">
        <v>1</v>
      </c>
      <c r="BO3" s="34">
        <v>1</v>
      </c>
      <c r="BP3" s="34"/>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6"/>
      <c r="DX3" s="36"/>
      <c r="DY3" s="36"/>
      <c r="DZ3" s="36"/>
      <c r="EA3" s="36"/>
      <c r="EB3" s="36"/>
      <c r="EC3" s="36"/>
      <c r="ED3" s="36"/>
      <c r="EE3" s="36"/>
      <c r="EF3" s="36"/>
      <c r="EG3" s="36"/>
      <c r="EH3" s="36"/>
      <c r="EI3" s="36"/>
      <c r="EJ3" s="36"/>
      <c r="EK3" s="36"/>
    </row>
    <row r="4" spans="1:155" x14ac:dyDescent="0.2">
      <c r="C4" s="37"/>
      <c r="D4" s="37"/>
      <c r="E4" s="40"/>
      <c r="F4" s="37"/>
      <c r="G4" s="37"/>
      <c r="H4" s="37"/>
      <c r="I4" s="43"/>
      <c r="J4" s="37"/>
      <c r="K4" s="37"/>
      <c r="L4" s="37"/>
      <c r="M4" s="37"/>
      <c r="N4" s="37"/>
      <c r="O4" s="37"/>
      <c r="P4" s="37"/>
      <c r="Q4" s="37"/>
      <c r="R4" s="37"/>
      <c r="S4" s="37"/>
      <c r="T4" s="37"/>
      <c r="U4" s="37"/>
      <c r="V4" s="37"/>
      <c r="W4" s="37"/>
      <c r="X4" s="37"/>
      <c r="Y4" s="37"/>
      <c r="Z4" s="37"/>
      <c r="AA4" s="37"/>
      <c r="AB4" s="37"/>
      <c r="AC4" s="37"/>
      <c r="AD4" s="37"/>
      <c r="AE4" s="37"/>
      <c r="AF4" s="37"/>
      <c r="AG4" s="37"/>
      <c r="AH4" s="40"/>
      <c r="AI4" s="37"/>
      <c r="AJ4" s="37"/>
      <c r="AK4" s="40"/>
      <c r="AL4" s="37"/>
      <c r="AM4" s="37"/>
      <c r="AN4" s="37"/>
      <c r="AO4" s="37"/>
      <c r="AP4" s="37"/>
      <c r="AQ4" s="37"/>
      <c r="AR4" s="37"/>
      <c r="AS4" s="37"/>
      <c r="AT4" s="42"/>
      <c r="AU4" s="37"/>
      <c r="AV4" s="37"/>
      <c r="AW4" s="40"/>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41"/>
      <c r="CA4" s="40"/>
      <c r="CB4" s="37"/>
      <c r="CC4" s="37"/>
      <c r="CD4" s="37"/>
      <c r="CE4" s="37"/>
      <c r="CF4" s="37"/>
      <c r="CG4" s="37"/>
      <c r="CH4" s="37"/>
      <c r="CI4" s="37"/>
      <c r="CJ4" s="42"/>
      <c r="CK4" s="37"/>
      <c r="CL4" s="42"/>
      <c r="CM4" s="37"/>
      <c r="CN4" s="37"/>
      <c r="CO4" s="37"/>
      <c r="CP4" s="37"/>
      <c r="CQ4" s="37"/>
      <c r="CR4" s="37"/>
      <c r="CS4" s="37"/>
      <c r="CT4" s="37"/>
      <c r="CU4" s="37"/>
      <c r="CV4" s="37"/>
      <c r="CW4" s="37"/>
      <c r="CX4" s="41"/>
      <c r="CY4" s="37"/>
      <c r="CZ4" s="37"/>
      <c r="DA4" s="37"/>
      <c r="DB4" s="37"/>
      <c r="DC4" s="37"/>
      <c r="DD4" s="42"/>
      <c r="DE4" s="37"/>
      <c r="DF4" s="37"/>
      <c r="DG4" s="37"/>
      <c r="DH4" s="37"/>
      <c r="DI4" s="37"/>
      <c r="DJ4" s="37"/>
      <c r="DK4" s="37"/>
      <c r="DL4" s="40"/>
      <c r="DM4" s="37"/>
      <c r="DN4" s="37"/>
      <c r="DO4" s="37"/>
      <c r="DP4" s="37"/>
      <c r="DQ4" s="40"/>
      <c r="DR4" s="40"/>
      <c r="DS4" s="40"/>
      <c r="DT4" s="37"/>
      <c r="DU4" s="37"/>
      <c r="DV4" s="37"/>
      <c r="DW4" s="39"/>
      <c r="DX4" s="34"/>
      <c r="DY4" s="34"/>
      <c r="DZ4" s="35"/>
      <c r="EA4" s="34"/>
      <c r="EB4" s="34"/>
      <c r="EC4" s="34"/>
      <c r="ED4" s="34"/>
      <c r="EE4" s="34"/>
      <c r="EF4" s="34"/>
      <c r="EG4" s="34"/>
      <c r="EH4" s="34"/>
      <c r="EI4" s="34"/>
      <c r="EJ4" s="34"/>
      <c r="EK4" s="34"/>
      <c r="EL4" s="32"/>
      <c r="EM4" s="32"/>
      <c r="EN4" s="32"/>
      <c r="EO4" s="32"/>
      <c r="EP4" s="32"/>
      <c r="EQ4" s="32"/>
      <c r="ER4" s="32"/>
      <c r="ES4" s="32"/>
      <c r="ET4" s="32"/>
      <c r="EU4" s="32"/>
      <c r="EV4" s="32"/>
      <c r="EW4" s="32"/>
      <c r="EX4" s="32"/>
      <c r="EY4" s="32"/>
    </row>
    <row r="5" spans="1:155" x14ac:dyDescent="0.2">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6"/>
      <c r="BT5" s="36"/>
      <c r="BU5" s="36"/>
      <c r="BV5" s="36"/>
      <c r="BW5" s="36"/>
      <c r="BX5" s="37"/>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7"/>
      <c r="DJ5" s="37"/>
      <c r="DK5" s="37"/>
      <c r="DL5" s="37"/>
      <c r="DM5" s="37"/>
      <c r="DN5" s="37"/>
      <c r="DO5" s="37"/>
      <c r="DP5" s="37"/>
      <c r="DQ5" s="37"/>
      <c r="DR5" s="37"/>
      <c r="DS5" s="37"/>
      <c r="DT5" s="37"/>
      <c r="DU5" s="37"/>
      <c r="DV5" s="37"/>
      <c r="DW5" s="36"/>
      <c r="DX5" s="36"/>
      <c r="DY5" s="36"/>
      <c r="DZ5" s="36"/>
      <c r="EA5" s="36"/>
      <c r="EB5" s="36"/>
      <c r="EC5" s="36"/>
      <c r="ED5" s="36"/>
      <c r="EE5" s="36"/>
      <c r="EF5" s="36"/>
      <c r="EG5" s="36"/>
      <c r="EH5" s="36"/>
      <c r="EI5" s="36"/>
      <c r="EJ5" s="36"/>
      <c r="EK5" s="36"/>
    </row>
    <row r="6" spans="1:155" x14ac:dyDescent="0.2">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7"/>
      <c r="DJ6" s="37"/>
      <c r="DK6" s="37"/>
      <c r="DL6" s="37"/>
      <c r="DM6" s="37"/>
      <c r="DN6" s="37"/>
      <c r="DO6" s="37"/>
      <c r="DP6" s="37"/>
      <c r="DQ6" s="37"/>
      <c r="DR6" s="37"/>
      <c r="DS6" s="37"/>
      <c r="DT6" s="37"/>
      <c r="DU6" s="37"/>
      <c r="DV6" s="37"/>
      <c r="DW6" s="36"/>
      <c r="DX6" s="36"/>
      <c r="DY6" s="36"/>
      <c r="DZ6" s="36"/>
      <c r="EA6" s="36"/>
      <c r="EB6" s="36"/>
      <c r="EC6" s="36"/>
      <c r="ED6" s="36"/>
      <c r="EE6" s="36"/>
      <c r="EF6" s="36"/>
      <c r="EG6" s="36"/>
      <c r="EH6" s="36"/>
      <c r="EI6" s="36"/>
      <c r="EJ6" s="36"/>
      <c r="EK6" s="36"/>
    </row>
    <row r="7" spans="1:155" x14ac:dyDescent="0.2">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7"/>
      <c r="DJ7" s="37"/>
      <c r="DK7" s="37"/>
      <c r="DL7" s="37"/>
      <c r="DM7" s="37"/>
      <c r="DN7" s="37"/>
      <c r="DO7" s="37"/>
      <c r="DP7" s="37"/>
      <c r="DQ7" s="37"/>
      <c r="DR7" s="37"/>
      <c r="DS7" s="37"/>
      <c r="DT7" s="37"/>
      <c r="DU7" s="37"/>
      <c r="DV7" s="37"/>
      <c r="DW7" s="36"/>
      <c r="DX7" s="36"/>
      <c r="DY7" s="36"/>
      <c r="DZ7" s="36"/>
      <c r="EA7" s="36"/>
      <c r="EB7" s="36"/>
      <c r="EC7" s="36"/>
      <c r="ED7" s="36"/>
      <c r="EE7" s="36"/>
      <c r="EF7" s="36"/>
      <c r="EG7" s="36"/>
      <c r="EH7" s="36"/>
      <c r="EI7" s="36"/>
      <c r="EJ7" s="36"/>
      <c r="EK7" s="36"/>
    </row>
    <row r="8" spans="1:155" x14ac:dyDescent="0.2">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7"/>
      <c r="DJ8" s="37"/>
      <c r="DK8" s="37"/>
      <c r="DL8" s="37"/>
      <c r="DM8" s="37"/>
      <c r="DN8" s="37"/>
      <c r="DO8" s="37"/>
      <c r="DP8" s="37"/>
      <c r="DQ8" s="37"/>
      <c r="DR8" s="37"/>
      <c r="DS8" s="37"/>
      <c r="DT8" s="37"/>
      <c r="DU8" s="37"/>
      <c r="DV8" s="37"/>
      <c r="DW8" s="36"/>
      <c r="DX8" s="36"/>
      <c r="DY8" s="36"/>
      <c r="DZ8" s="36"/>
      <c r="EA8" s="36"/>
      <c r="EB8" s="36"/>
      <c r="EC8" s="36"/>
      <c r="ED8" s="36"/>
      <c r="EE8" s="36"/>
      <c r="EF8" s="36"/>
      <c r="EG8" s="36"/>
      <c r="EH8" s="36"/>
      <c r="EI8" s="36"/>
      <c r="EJ8" s="36"/>
      <c r="EK8" s="36"/>
    </row>
    <row r="9" spans="1:155" x14ac:dyDescent="0.2">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7"/>
      <c r="DJ9" s="37"/>
      <c r="DK9" s="37"/>
      <c r="DL9" s="37"/>
      <c r="DM9" s="37"/>
      <c r="DN9" s="37"/>
      <c r="DO9" s="37"/>
      <c r="DP9" s="37"/>
      <c r="DQ9" s="37"/>
      <c r="DR9" s="37"/>
      <c r="DS9" s="37"/>
      <c r="DT9" s="37"/>
      <c r="DU9" s="37"/>
      <c r="DV9" s="37"/>
      <c r="DW9" s="36"/>
      <c r="DX9" s="36"/>
      <c r="DY9" s="36"/>
      <c r="DZ9" s="36"/>
      <c r="EA9" s="36"/>
      <c r="EB9" s="36"/>
      <c r="EC9" s="36"/>
      <c r="ED9" s="36"/>
      <c r="EE9" s="36"/>
      <c r="EF9" s="36"/>
      <c r="EG9" s="36"/>
      <c r="EH9" s="36"/>
      <c r="EI9" s="36"/>
      <c r="EJ9" s="36"/>
      <c r="EK9" s="36"/>
    </row>
    <row r="10" spans="1:155" x14ac:dyDescent="0.2">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DI10" s="33"/>
      <c r="DJ10" s="33"/>
      <c r="DK10" s="33"/>
      <c r="DL10" s="33"/>
      <c r="DM10" s="33"/>
      <c r="DN10" s="33"/>
      <c r="DO10" s="33"/>
      <c r="DP10" s="33"/>
      <c r="DQ10" s="33"/>
      <c r="DR10" s="33"/>
      <c r="DS10" s="33"/>
      <c r="DT10" s="33"/>
      <c r="DU10" s="33"/>
      <c r="DV10" s="33"/>
    </row>
    <row r="11" spans="1:155" x14ac:dyDescent="0.2">
      <c r="DI11" s="33"/>
      <c r="DJ11" s="33"/>
      <c r="DK11" s="33"/>
      <c r="DL11" s="33"/>
      <c r="DM11" s="33"/>
      <c r="DN11" s="33"/>
      <c r="DO11" s="33"/>
      <c r="DP11" s="33"/>
      <c r="DQ11" s="33"/>
      <c r="DR11" s="33"/>
      <c r="DS11" s="33"/>
      <c r="DT11" s="33"/>
      <c r="DU11" s="33"/>
      <c r="DV11" s="33"/>
    </row>
    <row r="12" spans="1:155" x14ac:dyDescent="0.2">
      <c r="DI12" s="33"/>
      <c r="DJ12" s="33"/>
      <c r="DK12" s="33"/>
      <c r="DL12" s="33"/>
      <c r="DM12" s="33"/>
      <c r="DN12" s="33"/>
      <c r="DO12" s="33"/>
      <c r="DP12" s="33"/>
      <c r="DQ12" s="33"/>
      <c r="DR12" s="33"/>
      <c r="DS12" s="33"/>
      <c r="DT12" s="33"/>
      <c r="DU12" s="33"/>
      <c r="DV12" s="33"/>
    </row>
    <row r="13" spans="1:155" x14ac:dyDescent="0.2">
      <c r="DI13" s="33"/>
      <c r="DJ13" s="33"/>
      <c r="DK13" s="33"/>
      <c r="DL13" s="33"/>
      <c r="DM13" s="33"/>
      <c r="DN13" s="33"/>
      <c r="DO13" s="33"/>
      <c r="DP13" s="33"/>
      <c r="DQ13" s="33"/>
      <c r="DR13" s="33"/>
      <c r="DS13" s="33"/>
      <c r="DT13" s="33"/>
      <c r="DU13" s="33"/>
      <c r="DV13" s="33"/>
    </row>
    <row r="14" spans="1:155" x14ac:dyDescent="0.2">
      <c r="DI14" s="33"/>
      <c r="DJ14" s="33"/>
      <c r="DK14" s="33"/>
      <c r="DL14" s="33"/>
      <c r="DM14" s="33"/>
      <c r="DN14" s="33"/>
      <c r="DO14" s="33"/>
      <c r="DP14" s="33"/>
      <c r="DQ14" s="33"/>
      <c r="DR14" s="33"/>
      <c r="DS14" s="33"/>
      <c r="DT14" s="33"/>
      <c r="DU14" s="33"/>
      <c r="DV14" s="33"/>
    </row>
    <row r="27" spans="1:10" ht="13.5" thickBot="1" x14ac:dyDescent="0.25"/>
    <row r="28" spans="1:10" ht="25.5" x14ac:dyDescent="0.2">
      <c r="A28" s="7" t="s">
        <v>601</v>
      </c>
      <c r="B28" s="1" t="s">
        <v>2</v>
      </c>
      <c r="C28" s="29" t="s">
        <v>35</v>
      </c>
      <c r="D28" s="14" t="s">
        <v>570</v>
      </c>
      <c r="E28" s="14" t="s">
        <v>23</v>
      </c>
      <c r="F28" s="14" t="s">
        <v>53</v>
      </c>
      <c r="G28" s="16" t="s">
        <v>70</v>
      </c>
      <c r="I28" s="37"/>
      <c r="J28" s="37"/>
    </row>
    <row r="29" spans="1:10" ht="13.5" thickBot="1" x14ac:dyDescent="0.25">
      <c r="C29" s="17">
        <f>105+90</f>
        <v>195</v>
      </c>
      <c r="D29" s="18">
        <f>86+66</f>
        <v>152</v>
      </c>
      <c r="E29" s="18">
        <f>44+83</f>
        <v>127</v>
      </c>
      <c r="F29" s="18">
        <f>39+108</f>
        <v>147</v>
      </c>
      <c r="G29" s="19">
        <f>28+163</f>
        <v>191</v>
      </c>
      <c r="I29" s="37"/>
      <c r="J29" s="37"/>
    </row>
    <row r="30" spans="1:10" x14ac:dyDescent="0.2">
      <c r="I30" s="37"/>
      <c r="J30" s="37"/>
    </row>
    <row r="31" spans="1:10" x14ac:dyDescent="0.2">
      <c r="I31" s="37"/>
      <c r="J31" s="37"/>
    </row>
    <row r="32" spans="1:10" x14ac:dyDescent="0.2">
      <c r="I32" s="37"/>
      <c r="J32" s="37"/>
    </row>
    <row r="48" ht="13.5" thickBot="1" x14ac:dyDescent="0.25"/>
    <row r="49" spans="1:51" ht="44.25" customHeight="1" thickBot="1" x14ac:dyDescent="0.25">
      <c r="A49" s="7" t="s">
        <v>606</v>
      </c>
      <c r="B49" s="1" t="s">
        <v>3</v>
      </c>
      <c r="C49" s="27" t="s">
        <v>24</v>
      </c>
      <c r="D49" s="26" t="s">
        <v>572</v>
      </c>
      <c r="E49" s="23" t="s">
        <v>58</v>
      </c>
      <c r="F49" s="22" t="s">
        <v>571</v>
      </c>
      <c r="G49" s="24" t="s">
        <v>62</v>
      </c>
      <c r="H49" s="27" t="s">
        <v>744</v>
      </c>
      <c r="I49" s="37"/>
      <c r="J49" s="37"/>
      <c r="K49" s="37"/>
      <c r="L49" s="37"/>
      <c r="M49" s="37"/>
      <c r="N49" s="37"/>
      <c r="O49" s="37"/>
      <c r="P49" s="37"/>
      <c r="Q49" s="37"/>
      <c r="R49" s="37"/>
      <c r="S49" s="37" t="s">
        <v>745</v>
      </c>
      <c r="T49" s="37" t="s">
        <v>746</v>
      </c>
      <c r="U49" s="37" t="s">
        <v>747</v>
      </c>
      <c r="V49" s="37" t="s">
        <v>748</v>
      </c>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row>
    <row r="50" spans="1:51" ht="13.5" thickBot="1" x14ac:dyDescent="0.25">
      <c r="B50" s="9"/>
      <c r="C50" s="28">
        <f>61+126</f>
        <v>187</v>
      </c>
      <c r="D50" s="25">
        <f>61+132</f>
        <v>193</v>
      </c>
      <c r="E50" s="20">
        <f>81+56</f>
        <v>137</v>
      </c>
      <c r="F50" s="20">
        <f>18+33</f>
        <v>51</v>
      </c>
      <c r="G50" s="21">
        <f>75+160</f>
        <v>235</v>
      </c>
      <c r="H50" s="28">
        <v>6</v>
      </c>
      <c r="I50" s="37"/>
      <c r="J50" s="37"/>
      <c r="K50" s="37"/>
      <c r="L50" s="37"/>
      <c r="M50" s="37"/>
      <c r="N50" s="37"/>
      <c r="O50" s="37"/>
      <c r="P50" s="37"/>
      <c r="Q50" s="37"/>
      <c r="R50" s="37"/>
      <c r="S50" s="37">
        <v>1</v>
      </c>
      <c r="T50" s="37">
        <v>1</v>
      </c>
      <c r="U50" s="37">
        <v>1</v>
      </c>
      <c r="V50" s="37">
        <v>1</v>
      </c>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row>
    <row r="69" spans="1:111" ht="13.5" thickBot="1" x14ac:dyDescent="0.25"/>
    <row r="70" spans="1:111" ht="99.95" customHeight="1" thickBot="1" x14ac:dyDescent="0.25">
      <c r="A70" s="7" t="s">
        <v>707</v>
      </c>
      <c r="B70" s="1" t="s">
        <v>4</v>
      </c>
      <c r="C70" s="31" t="s">
        <v>690</v>
      </c>
      <c r="D70" s="15" t="s">
        <v>691</v>
      </c>
      <c r="E70" s="15" t="s">
        <v>692</v>
      </c>
      <c r="F70" s="15" t="s">
        <v>693</v>
      </c>
      <c r="G70" s="15" t="s">
        <v>648</v>
      </c>
      <c r="H70" s="15" t="s">
        <v>694</v>
      </c>
      <c r="I70" s="15" t="s">
        <v>650</v>
      </c>
      <c r="J70" s="15" t="s">
        <v>695</v>
      </c>
      <c r="K70" s="15" t="s">
        <v>651</v>
      </c>
      <c r="L70" s="15" t="s">
        <v>696</v>
      </c>
      <c r="M70" s="15" t="s">
        <v>697</v>
      </c>
      <c r="N70" s="15" t="s">
        <v>698</v>
      </c>
      <c r="O70" s="15" t="s">
        <v>652</v>
      </c>
      <c r="P70" s="15" t="s">
        <v>699</v>
      </c>
      <c r="Q70" s="15" t="s">
        <v>430</v>
      </c>
      <c r="R70" s="15" t="s">
        <v>700</v>
      </c>
      <c r="S70" s="15" t="s">
        <v>701</v>
      </c>
      <c r="T70" s="15" t="s">
        <v>702</v>
      </c>
      <c r="U70" s="15" t="s">
        <v>372</v>
      </c>
      <c r="V70" s="15" t="s">
        <v>639</v>
      </c>
      <c r="W70" s="15" t="s">
        <v>614</v>
      </c>
      <c r="X70" s="15" t="s">
        <v>703</v>
      </c>
      <c r="Y70" s="15" t="s">
        <v>704</v>
      </c>
      <c r="Z70" s="15" t="s">
        <v>705</v>
      </c>
      <c r="AA70" s="15" t="s">
        <v>349</v>
      </c>
      <c r="AB70" s="15" t="s">
        <v>706</v>
      </c>
      <c r="AC70" s="14" t="s">
        <v>677</v>
      </c>
      <c r="AD70" s="14" t="s">
        <v>655</v>
      </c>
      <c r="AE70" s="14" t="s">
        <v>672</v>
      </c>
      <c r="AF70" s="14" t="s">
        <v>675</v>
      </c>
      <c r="AG70" s="14" t="s">
        <v>632</v>
      </c>
      <c r="AH70" s="14" t="s">
        <v>257</v>
      </c>
      <c r="AI70" s="14" t="s">
        <v>684</v>
      </c>
      <c r="AJ70" s="14" t="s">
        <v>620</v>
      </c>
      <c r="AK70" s="14" t="s">
        <v>644</v>
      </c>
      <c r="AL70" s="14" t="s">
        <v>613</v>
      </c>
      <c r="AM70" s="14" t="s">
        <v>634</v>
      </c>
      <c r="AN70" s="14" t="s">
        <v>670</v>
      </c>
      <c r="AO70" s="14" t="s">
        <v>618</v>
      </c>
      <c r="AP70" s="14" t="s">
        <v>640</v>
      </c>
      <c r="AQ70" s="14" t="s">
        <v>656</v>
      </c>
      <c r="AR70" s="14" t="s">
        <v>638</v>
      </c>
      <c r="AS70" s="14" t="s">
        <v>616</v>
      </c>
      <c r="AT70" s="14" t="s">
        <v>627</v>
      </c>
      <c r="AU70" s="14" t="s">
        <v>619</v>
      </c>
      <c r="AV70" s="14" t="s">
        <v>657</v>
      </c>
      <c r="AW70" s="14" t="s">
        <v>138</v>
      </c>
      <c r="AX70" s="14" t="s">
        <v>673</v>
      </c>
      <c r="AY70" s="14" t="s">
        <v>97</v>
      </c>
      <c r="AZ70" s="14" t="s">
        <v>273</v>
      </c>
      <c r="BA70" s="14" t="s">
        <v>393</v>
      </c>
      <c r="BB70" s="14" t="s">
        <v>630</v>
      </c>
      <c r="BC70" s="14" t="s">
        <v>320</v>
      </c>
      <c r="BD70" s="14" t="s">
        <v>676</v>
      </c>
      <c r="BE70" s="14" t="s">
        <v>154</v>
      </c>
      <c r="BF70" s="14" t="s">
        <v>681</v>
      </c>
      <c r="BG70" s="14" t="s">
        <v>658</v>
      </c>
      <c r="BH70" s="14" t="s">
        <v>212</v>
      </c>
      <c r="BI70" s="14" t="s">
        <v>659</v>
      </c>
      <c r="BJ70" s="14" t="s">
        <v>623</v>
      </c>
      <c r="BK70" s="14" t="s">
        <v>628</v>
      </c>
      <c r="BL70" s="14" t="s">
        <v>629</v>
      </c>
      <c r="BM70" s="14" t="s">
        <v>660</v>
      </c>
      <c r="BN70" s="14" t="s">
        <v>661</v>
      </c>
      <c r="BO70" s="14" t="s">
        <v>636</v>
      </c>
      <c r="BP70" s="14" t="s">
        <v>617</v>
      </c>
      <c r="BQ70" s="14" t="s">
        <v>685</v>
      </c>
      <c r="BR70" s="14" t="s">
        <v>635</v>
      </c>
      <c r="BS70" s="14" t="s">
        <v>646</v>
      </c>
      <c r="BT70" s="14" t="s">
        <v>647</v>
      </c>
      <c r="BU70" s="14" t="s">
        <v>668</v>
      </c>
      <c r="BV70" s="14" t="s">
        <v>688</v>
      </c>
      <c r="BW70" s="14" t="s">
        <v>686</v>
      </c>
      <c r="BY70" s="14" t="s">
        <v>682</v>
      </c>
      <c r="BZ70" s="14" t="s">
        <v>674</v>
      </c>
      <c r="CA70" s="14" t="s">
        <v>631</v>
      </c>
      <c r="CB70" s="14" t="s">
        <v>678</v>
      </c>
      <c r="CC70" s="14" t="s">
        <v>625</v>
      </c>
      <c r="CD70" s="14" t="s">
        <v>622</v>
      </c>
      <c r="CE70" s="14" t="s">
        <v>449</v>
      </c>
      <c r="CF70" s="14" t="s">
        <v>624</v>
      </c>
      <c r="CG70" s="14" t="s">
        <v>641</v>
      </c>
      <c r="CH70" s="14" t="s">
        <v>671</v>
      </c>
      <c r="CI70" s="14" t="s">
        <v>621</v>
      </c>
      <c r="CJ70" s="14" t="s">
        <v>683</v>
      </c>
      <c r="CK70" s="14" t="s">
        <v>643</v>
      </c>
      <c r="CL70" s="14" t="s">
        <v>680</v>
      </c>
      <c r="CM70" s="14" t="s">
        <v>615</v>
      </c>
      <c r="CN70" s="14" t="s">
        <v>679</v>
      </c>
      <c r="CO70" s="14" t="s">
        <v>689</v>
      </c>
      <c r="CP70" s="14" t="s">
        <v>654</v>
      </c>
      <c r="CQ70" s="14" t="s">
        <v>642</v>
      </c>
      <c r="CR70" s="14" t="s">
        <v>153</v>
      </c>
      <c r="CS70" s="14" t="s">
        <v>653</v>
      </c>
      <c r="CT70" s="14" t="s">
        <v>645</v>
      </c>
      <c r="CU70" s="14" t="s">
        <v>662</v>
      </c>
      <c r="CV70" s="14" t="s">
        <v>663</v>
      </c>
      <c r="CW70" s="14" t="s">
        <v>226</v>
      </c>
      <c r="CX70" s="14" t="s">
        <v>513</v>
      </c>
      <c r="CY70" s="14" t="s">
        <v>664</v>
      </c>
      <c r="CZ70" s="14" t="s">
        <v>649</v>
      </c>
      <c r="DA70" s="14" t="s">
        <v>669</v>
      </c>
      <c r="DB70" s="14" t="s">
        <v>626</v>
      </c>
      <c r="DC70" s="14" t="s">
        <v>665</v>
      </c>
      <c r="DD70" s="14" t="s">
        <v>666</v>
      </c>
      <c r="DE70" s="14" t="s">
        <v>633</v>
      </c>
      <c r="DF70" s="14" t="s">
        <v>667</v>
      </c>
      <c r="DG70" s="16" t="s">
        <v>637</v>
      </c>
    </row>
    <row r="71" spans="1:111" ht="39" thickBot="1" x14ac:dyDescent="0.25">
      <c r="C71" s="17">
        <v>11</v>
      </c>
      <c r="D71" s="18">
        <v>4</v>
      </c>
      <c r="E71" s="18">
        <v>1</v>
      </c>
      <c r="F71" s="18">
        <v>1</v>
      </c>
      <c r="G71" s="18">
        <v>9</v>
      </c>
      <c r="H71" s="18">
        <v>1</v>
      </c>
      <c r="I71" s="18">
        <v>3</v>
      </c>
      <c r="J71" s="18">
        <v>1</v>
      </c>
      <c r="K71" s="18">
        <v>2</v>
      </c>
      <c r="L71" s="18">
        <v>1</v>
      </c>
      <c r="M71" s="18">
        <v>1</v>
      </c>
      <c r="N71" s="18">
        <v>1</v>
      </c>
      <c r="O71" s="18">
        <v>26</v>
      </c>
      <c r="P71" s="18">
        <v>1</v>
      </c>
      <c r="Q71" s="18">
        <v>26</v>
      </c>
      <c r="R71" s="18">
        <v>1</v>
      </c>
      <c r="S71" s="18">
        <v>2</v>
      </c>
      <c r="T71" s="18">
        <v>1</v>
      </c>
      <c r="U71" s="18">
        <v>1</v>
      </c>
      <c r="V71" s="18">
        <v>2</v>
      </c>
      <c r="W71" s="18">
        <v>1</v>
      </c>
      <c r="X71" s="18">
        <v>1</v>
      </c>
      <c r="Y71" s="18">
        <v>1</v>
      </c>
      <c r="Z71" s="18">
        <v>1</v>
      </c>
      <c r="AA71" s="18">
        <v>1</v>
      </c>
      <c r="AB71" s="18">
        <v>1</v>
      </c>
      <c r="AC71" s="18">
        <v>1</v>
      </c>
      <c r="AD71" s="18">
        <v>1</v>
      </c>
      <c r="AE71" s="18">
        <v>1</v>
      </c>
      <c r="AF71" s="18">
        <v>1</v>
      </c>
      <c r="AG71" s="18">
        <v>1</v>
      </c>
      <c r="AH71" s="18">
        <v>2</v>
      </c>
      <c r="AI71" s="18">
        <v>2</v>
      </c>
      <c r="AJ71" s="18">
        <v>1</v>
      </c>
      <c r="AK71" s="18">
        <v>3</v>
      </c>
      <c r="AL71" s="18">
        <v>1</v>
      </c>
      <c r="AM71" s="18">
        <v>2</v>
      </c>
      <c r="AN71" s="18">
        <v>1</v>
      </c>
      <c r="AO71" s="18">
        <v>1</v>
      </c>
      <c r="AP71" s="18">
        <v>2</v>
      </c>
      <c r="AQ71" s="18">
        <v>1</v>
      </c>
      <c r="AR71" s="18">
        <v>3</v>
      </c>
      <c r="AS71" s="18">
        <v>1</v>
      </c>
      <c r="AT71" s="18">
        <v>6</v>
      </c>
      <c r="AU71" s="18">
        <v>1</v>
      </c>
      <c r="AV71" s="18">
        <v>6</v>
      </c>
      <c r="AW71" s="18">
        <v>5</v>
      </c>
      <c r="AX71" s="18">
        <v>1</v>
      </c>
      <c r="AY71" s="18">
        <v>5</v>
      </c>
      <c r="AZ71" s="18">
        <v>1</v>
      </c>
      <c r="BA71" s="18">
        <v>1</v>
      </c>
      <c r="BB71" s="18">
        <v>1</v>
      </c>
      <c r="BC71" s="18">
        <v>1</v>
      </c>
      <c r="BD71" s="18">
        <v>1</v>
      </c>
      <c r="BE71" s="18">
        <v>1</v>
      </c>
      <c r="BF71" s="18">
        <v>1</v>
      </c>
      <c r="BG71" s="18">
        <v>1</v>
      </c>
      <c r="BH71" s="18">
        <v>2</v>
      </c>
      <c r="BI71" s="18">
        <v>1</v>
      </c>
      <c r="BJ71" s="18">
        <v>2</v>
      </c>
      <c r="BK71" s="18">
        <v>1</v>
      </c>
      <c r="BL71" s="18">
        <v>1</v>
      </c>
      <c r="BM71" s="18">
        <v>1</v>
      </c>
      <c r="BN71" s="18">
        <v>1</v>
      </c>
      <c r="BO71" s="18">
        <v>2</v>
      </c>
      <c r="BP71" s="18">
        <v>1</v>
      </c>
      <c r="BQ71" s="18">
        <v>3</v>
      </c>
      <c r="BR71" s="18">
        <v>1</v>
      </c>
      <c r="BS71" s="18">
        <v>1</v>
      </c>
      <c r="BT71" s="18">
        <v>1</v>
      </c>
      <c r="BU71" s="18">
        <v>1</v>
      </c>
      <c r="BV71" s="18">
        <v>1</v>
      </c>
      <c r="BW71" s="18">
        <v>1</v>
      </c>
      <c r="BX71" s="14" t="s">
        <v>687</v>
      </c>
      <c r="BY71" s="18">
        <v>3</v>
      </c>
      <c r="BZ71" s="18">
        <v>1</v>
      </c>
      <c r="CA71" s="18">
        <v>6</v>
      </c>
      <c r="CB71" s="18">
        <v>2</v>
      </c>
      <c r="CC71" s="18">
        <v>1</v>
      </c>
      <c r="CD71" s="18">
        <v>2</v>
      </c>
      <c r="CE71" s="18">
        <v>1</v>
      </c>
      <c r="CF71" s="18">
        <v>2</v>
      </c>
      <c r="CG71" s="18">
        <v>1</v>
      </c>
      <c r="CH71" s="18">
        <v>2</v>
      </c>
      <c r="CI71" s="18">
        <v>1</v>
      </c>
      <c r="CJ71" s="18">
        <v>1</v>
      </c>
      <c r="CK71" s="18">
        <v>2</v>
      </c>
      <c r="CL71" s="18">
        <v>1</v>
      </c>
      <c r="CM71" s="18">
        <v>1</v>
      </c>
      <c r="CN71" s="18">
        <v>1</v>
      </c>
      <c r="CO71" s="18">
        <v>2</v>
      </c>
      <c r="CP71" s="18">
        <v>1</v>
      </c>
      <c r="CQ71" s="18">
        <v>1</v>
      </c>
      <c r="CR71" s="18">
        <v>1</v>
      </c>
      <c r="CS71" s="18">
        <v>2</v>
      </c>
      <c r="CT71" s="18">
        <v>2</v>
      </c>
      <c r="CU71" s="18">
        <v>1</v>
      </c>
      <c r="CV71" s="18">
        <v>1</v>
      </c>
      <c r="CW71" s="18">
        <v>1</v>
      </c>
      <c r="CX71" s="18">
        <v>1</v>
      </c>
      <c r="CY71" s="18">
        <v>1</v>
      </c>
      <c r="CZ71" s="18">
        <v>1</v>
      </c>
      <c r="DA71" s="18">
        <v>7</v>
      </c>
      <c r="DB71" s="18">
        <v>1</v>
      </c>
      <c r="DC71" s="18">
        <v>1</v>
      </c>
      <c r="DD71" s="18">
        <v>1</v>
      </c>
      <c r="DE71" s="18">
        <v>1</v>
      </c>
      <c r="DF71" s="18">
        <v>3</v>
      </c>
      <c r="DG71" s="19">
        <v>1</v>
      </c>
    </row>
    <row r="72" spans="1:111" x14ac:dyDescent="0.2">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46"/>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row>
    <row r="73" spans="1:111" x14ac:dyDescent="0.2">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46"/>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row>
    <row r="74" spans="1:111" x14ac:dyDescent="0.2">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46"/>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row>
    <row r="75" spans="1:111" x14ac:dyDescent="0.2">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46"/>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row>
    <row r="76" spans="1:111" ht="13.5" thickBot="1" x14ac:dyDescent="0.25">
      <c r="BX76" s="18">
        <v>1</v>
      </c>
    </row>
    <row r="197" spans="1:10" ht="13.5" thickBot="1" x14ac:dyDescent="0.25"/>
    <row r="198" spans="1:10" ht="63.75" customHeight="1" x14ac:dyDescent="0.2">
      <c r="A198" s="7" t="s">
        <v>607</v>
      </c>
      <c r="B198" s="1" t="s">
        <v>5</v>
      </c>
      <c r="C198" s="29" t="s">
        <v>63</v>
      </c>
      <c r="D198" s="14" t="s">
        <v>26</v>
      </c>
      <c r="E198" s="16" t="s">
        <v>37</v>
      </c>
      <c r="G198" s="45"/>
      <c r="H198" s="37"/>
      <c r="I198" s="37"/>
      <c r="J198" s="37"/>
    </row>
    <row r="199" spans="1:10" ht="13.5" thickBot="1" x14ac:dyDescent="0.25">
      <c r="C199" s="17">
        <f>21+72</f>
        <v>93</v>
      </c>
      <c r="D199" s="18">
        <f>9+33</f>
        <v>42</v>
      </c>
      <c r="E199" s="19">
        <f>256+401</f>
        <v>657</v>
      </c>
      <c r="G199" s="37"/>
      <c r="H199" s="37"/>
      <c r="I199" s="37"/>
      <c r="J199" s="37"/>
    </row>
    <row r="218" spans="1:6" ht="13.5" thickBot="1" x14ac:dyDescent="0.25"/>
    <row r="219" spans="1:6" ht="51" x14ac:dyDescent="0.2">
      <c r="A219" s="7" t="s">
        <v>573</v>
      </c>
      <c r="B219" s="1" t="s">
        <v>7</v>
      </c>
      <c r="C219" s="29" t="s">
        <v>28</v>
      </c>
      <c r="D219" s="14" t="s">
        <v>38</v>
      </c>
      <c r="E219" s="14" t="s">
        <v>56</v>
      </c>
      <c r="F219" s="30" t="s">
        <v>574</v>
      </c>
    </row>
    <row r="220" spans="1:6" ht="13.5" thickBot="1" x14ac:dyDescent="0.25">
      <c r="C220" s="17">
        <f>36+32</f>
        <v>68</v>
      </c>
      <c r="D220" s="18">
        <f>132+288</f>
        <v>420</v>
      </c>
      <c r="E220" s="18">
        <f>89+161</f>
        <v>250</v>
      </c>
      <c r="F220" s="19">
        <f>47+32</f>
        <v>79</v>
      </c>
    </row>
    <row r="225" spans="1:8" x14ac:dyDescent="0.2">
      <c r="F225" s="37"/>
    </row>
    <row r="226" spans="1:8" x14ac:dyDescent="0.2">
      <c r="F226" s="37"/>
      <c r="G226" s="37"/>
    </row>
    <row r="227" spans="1:8" x14ac:dyDescent="0.2">
      <c r="F227" s="37"/>
      <c r="G227" s="37"/>
    </row>
    <row r="228" spans="1:8" x14ac:dyDescent="0.2">
      <c r="F228" s="37"/>
      <c r="G228" s="37"/>
    </row>
    <row r="229" spans="1:8" x14ac:dyDescent="0.2">
      <c r="F229" s="37"/>
    </row>
    <row r="239" spans="1:8" ht="13.5" thickBot="1" x14ac:dyDescent="0.25"/>
    <row r="240" spans="1:8" ht="51" x14ac:dyDescent="0.2">
      <c r="A240" s="7" t="s">
        <v>577</v>
      </c>
      <c r="B240" s="10" t="s">
        <v>578</v>
      </c>
      <c r="C240" s="31" t="s">
        <v>575</v>
      </c>
      <c r="D240" s="14">
        <v>2</v>
      </c>
      <c r="E240" s="14">
        <v>3</v>
      </c>
      <c r="F240" s="14">
        <v>4</v>
      </c>
      <c r="G240" s="15" t="s">
        <v>576</v>
      </c>
      <c r="H240" s="30" t="s">
        <v>574</v>
      </c>
    </row>
    <row r="241" spans="3:8" ht="13.5" thickBot="1" x14ac:dyDescent="0.25">
      <c r="C241" s="17">
        <f>58+100</f>
        <v>158</v>
      </c>
      <c r="D241" s="18">
        <f>52+109</f>
        <v>161</v>
      </c>
      <c r="E241" s="18">
        <f>102+191</f>
        <v>293</v>
      </c>
      <c r="F241" s="18">
        <f>35+54</f>
        <v>89</v>
      </c>
      <c r="G241" s="18">
        <f>24+25</f>
        <v>49</v>
      </c>
      <c r="H241" s="19">
        <f>33+43</f>
        <v>76</v>
      </c>
    </row>
    <row r="260" spans="1:8" ht="13.5" thickBot="1" x14ac:dyDescent="0.25"/>
    <row r="261" spans="1:8" ht="51" x14ac:dyDescent="0.2">
      <c r="A261" s="7" t="s">
        <v>577</v>
      </c>
      <c r="B261" s="8" t="s">
        <v>580</v>
      </c>
      <c r="C261" s="31" t="s">
        <v>575</v>
      </c>
      <c r="D261" s="14">
        <v>2</v>
      </c>
      <c r="E261" s="14">
        <v>3</v>
      </c>
      <c r="F261" s="14">
        <v>4</v>
      </c>
      <c r="G261" s="15" t="s">
        <v>576</v>
      </c>
      <c r="H261" s="30" t="s">
        <v>574</v>
      </c>
    </row>
    <row r="262" spans="1:8" ht="13.5" thickBot="1" x14ac:dyDescent="0.25">
      <c r="C262" s="17">
        <f>103+214</f>
        <v>317</v>
      </c>
      <c r="D262" s="18">
        <f>83+162</f>
        <v>245</v>
      </c>
      <c r="E262" s="18">
        <f>58+64</f>
        <v>122</v>
      </c>
      <c r="F262" s="18">
        <f>20+33</f>
        <v>53</v>
      </c>
      <c r="G262" s="18">
        <f>14+22</f>
        <v>36</v>
      </c>
      <c r="H262" s="19">
        <f>27+27</f>
        <v>54</v>
      </c>
    </row>
    <row r="285" spans="1:8" ht="13.5" thickBot="1" x14ac:dyDescent="0.25"/>
    <row r="286" spans="1:8" ht="78" customHeight="1" x14ac:dyDescent="0.2">
      <c r="A286" s="7" t="s">
        <v>577</v>
      </c>
      <c r="B286" s="8" t="s">
        <v>579</v>
      </c>
      <c r="C286" s="31" t="s">
        <v>581</v>
      </c>
      <c r="D286" s="14">
        <v>2</v>
      </c>
      <c r="E286" s="14">
        <v>3</v>
      </c>
      <c r="F286" s="14">
        <v>4</v>
      </c>
      <c r="G286" s="15" t="s">
        <v>582</v>
      </c>
      <c r="H286" s="30" t="s">
        <v>574</v>
      </c>
    </row>
    <row r="287" spans="1:8" ht="13.5" thickBot="1" x14ac:dyDescent="0.25">
      <c r="C287" s="17">
        <f>212+354</f>
        <v>566</v>
      </c>
      <c r="D287" s="18">
        <f>25+70</f>
        <v>95</v>
      </c>
      <c r="E287" s="18">
        <f>8+21</f>
        <v>29</v>
      </c>
      <c r="F287" s="18">
        <f>3+9</f>
        <v>12</v>
      </c>
      <c r="G287" s="18">
        <f>37+46</f>
        <v>83</v>
      </c>
      <c r="H287" s="19">
        <f>19+22</f>
        <v>41</v>
      </c>
    </row>
    <row r="307" spans="1:11" ht="13.5" thickBot="1" x14ac:dyDescent="0.25"/>
    <row r="308" spans="1:11" ht="89.25" x14ac:dyDescent="0.2">
      <c r="A308" s="7" t="s">
        <v>583</v>
      </c>
      <c r="B308" s="8" t="s">
        <v>13</v>
      </c>
      <c r="C308" s="31" t="s">
        <v>584</v>
      </c>
      <c r="D308" s="15" t="s">
        <v>29</v>
      </c>
      <c r="E308" s="15" t="s">
        <v>585</v>
      </c>
      <c r="F308" s="15" t="s">
        <v>33</v>
      </c>
      <c r="G308" s="30" t="s">
        <v>574</v>
      </c>
    </row>
    <row r="309" spans="1:11" ht="13.5" thickBot="1" x14ac:dyDescent="0.25">
      <c r="B309" s="8"/>
      <c r="C309" s="17">
        <f>13+24</f>
        <v>37</v>
      </c>
      <c r="D309" s="18">
        <f>19+23</f>
        <v>42</v>
      </c>
      <c r="E309" s="18">
        <f>7+0</f>
        <v>7</v>
      </c>
      <c r="F309" s="18">
        <f>234+456</f>
        <v>690</v>
      </c>
      <c r="G309" s="19">
        <v>31</v>
      </c>
      <c r="J309" s="37"/>
      <c r="K309" s="37"/>
    </row>
    <row r="310" spans="1:11" x14ac:dyDescent="0.2">
      <c r="J310" s="37"/>
      <c r="K310" s="37"/>
    </row>
    <row r="311" spans="1:11" x14ac:dyDescent="0.2">
      <c r="J311" s="37"/>
      <c r="K311" s="37"/>
    </row>
    <row r="312" spans="1:11" x14ac:dyDescent="0.2">
      <c r="J312" s="37"/>
      <c r="K312" s="37"/>
    </row>
    <row r="313" spans="1:11" x14ac:dyDescent="0.2">
      <c r="J313" s="37"/>
      <c r="K313" s="37"/>
    </row>
    <row r="335" spans="1:6" ht="13.5" thickBot="1" x14ac:dyDescent="0.25"/>
    <row r="336" spans="1:6" ht="38.25" x14ac:dyDescent="0.2">
      <c r="A336" s="7" t="s">
        <v>586</v>
      </c>
      <c r="B336" s="8" t="s">
        <v>15</v>
      </c>
      <c r="C336" s="31" t="s">
        <v>45</v>
      </c>
      <c r="D336" s="15" t="s">
        <v>30</v>
      </c>
      <c r="E336" s="15" t="s">
        <v>90</v>
      </c>
      <c r="F336" s="30" t="s">
        <v>574</v>
      </c>
    </row>
    <row r="337" spans="3:7" ht="13.5" thickBot="1" x14ac:dyDescent="0.25">
      <c r="C337" s="17">
        <f>69+184</f>
        <v>253</v>
      </c>
      <c r="D337" s="18">
        <f>174+268</f>
        <v>442</v>
      </c>
      <c r="E337" s="18">
        <f>50+59</f>
        <v>109</v>
      </c>
      <c r="F337" s="19">
        <f>11+11</f>
        <v>22</v>
      </c>
      <c r="G337">
        <f>SUM(C337:F337)</f>
        <v>826</v>
      </c>
    </row>
    <row r="341" spans="3:7" x14ac:dyDescent="0.2">
      <c r="F341" s="37"/>
      <c r="G341" s="37"/>
    </row>
    <row r="342" spans="3:7" x14ac:dyDescent="0.2">
      <c r="F342" s="37"/>
      <c r="G342" s="37"/>
    </row>
    <row r="343" spans="3:7" x14ac:dyDescent="0.2">
      <c r="F343" s="37"/>
      <c r="G343" s="37"/>
    </row>
    <row r="344" spans="3:7" x14ac:dyDescent="0.2">
      <c r="F344" s="37"/>
      <c r="G344" s="37"/>
    </row>
    <row r="345" spans="3:7" x14ac:dyDescent="0.2">
      <c r="F345" s="37"/>
      <c r="G345" s="37"/>
    </row>
    <row r="359" spans="1:100" ht="13.5" thickBot="1" x14ac:dyDescent="0.25"/>
    <row r="360" spans="1:100" s="36" customFormat="1" ht="255" x14ac:dyDescent="0.2">
      <c r="A360" s="47" t="s">
        <v>587</v>
      </c>
      <c r="B360" s="48" t="s">
        <v>17</v>
      </c>
      <c r="C360" s="49" t="s">
        <v>590</v>
      </c>
      <c r="D360" s="50" t="s">
        <v>45</v>
      </c>
      <c r="E360" s="50" t="s">
        <v>588</v>
      </c>
      <c r="F360" s="50" t="s">
        <v>532</v>
      </c>
      <c r="G360" s="50" t="s">
        <v>275</v>
      </c>
      <c r="H360" s="50" t="s">
        <v>121</v>
      </c>
      <c r="I360" s="50" t="s">
        <v>162</v>
      </c>
      <c r="J360" s="50" t="s">
        <v>433</v>
      </c>
      <c r="K360" s="50" t="s">
        <v>145</v>
      </c>
      <c r="L360" s="50" t="s">
        <v>39</v>
      </c>
      <c r="M360" s="50" t="s">
        <v>88</v>
      </c>
      <c r="N360" s="50" t="s">
        <v>453</v>
      </c>
      <c r="O360" s="50" t="s">
        <v>72</v>
      </c>
      <c r="P360" s="50" t="s">
        <v>505</v>
      </c>
      <c r="Q360" s="50" t="s">
        <v>460</v>
      </c>
      <c r="R360" s="50" t="s">
        <v>497</v>
      </c>
      <c r="S360" s="50" t="s">
        <v>64</v>
      </c>
      <c r="T360" s="50" t="s">
        <v>419</v>
      </c>
      <c r="U360" s="50" t="s">
        <v>447</v>
      </c>
      <c r="V360" s="50" t="s">
        <v>77</v>
      </c>
      <c r="W360" s="50" t="s">
        <v>464</v>
      </c>
      <c r="X360" s="50" t="s">
        <v>94</v>
      </c>
      <c r="Y360" s="50" t="s">
        <v>352</v>
      </c>
      <c r="Z360" s="50" t="s">
        <v>361</v>
      </c>
      <c r="AA360" s="50" t="s">
        <v>282</v>
      </c>
      <c r="AB360" s="50" t="s">
        <v>31</v>
      </c>
      <c r="AC360" s="50" t="s">
        <v>177</v>
      </c>
      <c r="AD360" s="50" t="s">
        <v>278</v>
      </c>
      <c r="AE360" s="50" t="s">
        <v>46</v>
      </c>
      <c r="AF360" s="50" t="s">
        <v>100</v>
      </c>
      <c r="AG360" s="50" t="s">
        <v>558</v>
      </c>
      <c r="AH360" s="50" t="s">
        <v>762</v>
      </c>
      <c r="AI360" s="50" t="s">
        <v>160</v>
      </c>
      <c r="AJ360" s="50" t="s">
        <v>202</v>
      </c>
      <c r="AK360" s="50" t="s">
        <v>168</v>
      </c>
      <c r="AL360" s="50" t="s">
        <v>111</v>
      </c>
      <c r="AM360" s="50" t="s">
        <v>112</v>
      </c>
      <c r="AN360" s="50" t="s">
        <v>151</v>
      </c>
      <c r="AO360" s="50" t="s">
        <v>129</v>
      </c>
      <c r="AP360" s="50" t="s">
        <v>402</v>
      </c>
      <c r="AQ360" s="50" t="s">
        <v>92</v>
      </c>
      <c r="AR360" s="50" t="s">
        <v>559</v>
      </c>
      <c r="AS360" s="50" t="s">
        <v>297</v>
      </c>
      <c r="AT360" s="50" t="s">
        <v>237</v>
      </c>
      <c r="AU360" s="50" t="s">
        <v>265</v>
      </c>
      <c r="AV360" s="50" t="s">
        <v>310</v>
      </c>
      <c r="AW360" s="51" t="s">
        <v>589</v>
      </c>
      <c r="AX360" s="34" t="s">
        <v>749</v>
      </c>
      <c r="AY360" s="34" t="s">
        <v>753</v>
      </c>
      <c r="AZ360" s="34" t="s">
        <v>754</v>
      </c>
      <c r="BA360" s="34" t="s">
        <v>750</v>
      </c>
      <c r="BB360" s="34" t="s">
        <v>88</v>
      </c>
      <c r="BC360" s="34" t="s">
        <v>751</v>
      </c>
      <c r="BD360" s="34" t="s">
        <v>755</v>
      </c>
      <c r="BE360" s="34" t="s">
        <v>756</v>
      </c>
      <c r="BF360" s="38" t="s">
        <v>752</v>
      </c>
      <c r="BG360" s="34" t="s">
        <v>758</v>
      </c>
      <c r="BH360" s="34" t="s">
        <v>759</v>
      </c>
      <c r="BI360" s="34" t="s">
        <v>760</v>
      </c>
      <c r="BJ360" s="34" t="s">
        <v>761</v>
      </c>
      <c r="BK360" s="34" t="s">
        <v>763</v>
      </c>
      <c r="BL360" s="38" t="s">
        <v>764</v>
      </c>
      <c r="BM360" s="34" t="s">
        <v>765</v>
      </c>
      <c r="BN360" s="34" t="s">
        <v>757</v>
      </c>
      <c r="BO360" s="34" t="s">
        <v>72</v>
      </c>
      <c r="BP360" s="38" t="s">
        <v>237</v>
      </c>
      <c r="BQ360" s="34" t="s">
        <v>766</v>
      </c>
      <c r="BR360" s="34" t="s">
        <v>767</v>
      </c>
      <c r="BS360" s="34" t="s">
        <v>768</v>
      </c>
      <c r="BT360" s="34" t="s">
        <v>769</v>
      </c>
      <c r="BU360" s="34" t="s">
        <v>770</v>
      </c>
      <c r="BV360" s="34" t="s">
        <v>183</v>
      </c>
      <c r="BW360" s="34" t="s">
        <v>771</v>
      </c>
      <c r="BX360" s="38" t="s">
        <v>772</v>
      </c>
      <c r="BY360" s="34" t="s">
        <v>773</v>
      </c>
      <c r="BZ360" s="34" t="s">
        <v>774</v>
      </c>
      <c r="CA360" s="34" t="s">
        <v>775</v>
      </c>
      <c r="CB360" s="34" t="s">
        <v>776</v>
      </c>
      <c r="CC360" s="34" t="s">
        <v>497</v>
      </c>
      <c r="CD360" s="52" t="s">
        <v>777</v>
      </c>
      <c r="CE360" s="42"/>
      <c r="CF360" s="37"/>
      <c r="CG360" s="37"/>
      <c r="CH360" s="42"/>
      <c r="CI360" s="37"/>
      <c r="CJ360" s="37"/>
      <c r="CK360" s="37"/>
      <c r="CL360" s="37"/>
      <c r="CM360" s="37"/>
      <c r="CN360" s="37"/>
      <c r="CO360" s="37"/>
      <c r="CP360" s="42"/>
      <c r="CQ360" s="37"/>
      <c r="CR360" s="37"/>
      <c r="CS360" s="37"/>
      <c r="CT360" s="37"/>
      <c r="CU360" s="37"/>
      <c r="CV360" s="37"/>
    </row>
    <row r="361" spans="1:100" s="36" customFormat="1" x14ac:dyDescent="0.2">
      <c r="C361" s="53">
        <v>1</v>
      </c>
      <c r="D361" s="54">
        <v>5</v>
      </c>
      <c r="E361" s="54">
        <v>1</v>
      </c>
      <c r="F361" s="54">
        <v>1</v>
      </c>
      <c r="G361" s="54">
        <v>1</v>
      </c>
      <c r="H361" s="54">
        <v>4</v>
      </c>
      <c r="I361" s="54">
        <f>2+14</f>
        <v>16</v>
      </c>
      <c r="J361" s="54">
        <f>1+7</f>
        <v>8</v>
      </c>
      <c r="K361" s="54">
        <f>1+1</f>
        <v>2</v>
      </c>
      <c r="L361" s="54">
        <f>120+209</f>
        <v>329</v>
      </c>
      <c r="M361" s="54">
        <f>3+12</f>
        <v>15</v>
      </c>
      <c r="N361" s="54">
        <v>1</v>
      </c>
      <c r="O361" s="54">
        <v>11</v>
      </c>
      <c r="P361" s="54">
        <v>1</v>
      </c>
      <c r="Q361" s="54">
        <f>2+12</f>
        <v>14</v>
      </c>
      <c r="R361" s="54">
        <f>1+4</f>
        <v>5</v>
      </c>
      <c r="S361" s="54">
        <f>10+13</f>
        <v>23</v>
      </c>
      <c r="T361" s="54">
        <v>1</v>
      </c>
      <c r="U361" s="54">
        <v>1</v>
      </c>
      <c r="V361" s="54">
        <v>2</v>
      </c>
      <c r="W361" s="54">
        <v>2</v>
      </c>
      <c r="X361" s="54">
        <f>6+46</f>
        <v>52</v>
      </c>
      <c r="Y361" s="54">
        <v>1</v>
      </c>
      <c r="Z361" s="54">
        <v>1</v>
      </c>
      <c r="AA361" s="54">
        <f>6+10</f>
        <v>16</v>
      </c>
      <c r="AB361" s="54">
        <v>4</v>
      </c>
      <c r="AC361" s="54">
        <v>1</v>
      </c>
      <c r="AD361" s="54">
        <f>2+33</f>
        <v>35</v>
      </c>
      <c r="AE361" s="54">
        <f>14+12</f>
        <v>26</v>
      </c>
      <c r="AF361" s="54">
        <f>1+1</f>
        <v>2</v>
      </c>
      <c r="AG361" s="54">
        <v>1</v>
      </c>
      <c r="AH361" s="54">
        <v>1</v>
      </c>
      <c r="AI361" s="54">
        <v>19</v>
      </c>
      <c r="AJ361" s="54">
        <f>6+7</f>
        <v>13</v>
      </c>
      <c r="AK361" s="54">
        <v>8</v>
      </c>
      <c r="AL361" s="54">
        <v>11</v>
      </c>
      <c r="AM361" s="54">
        <v>16</v>
      </c>
      <c r="AN361" s="54">
        <v>1</v>
      </c>
      <c r="AO361" s="54">
        <v>1</v>
      </c>
      <c r="AP361" s="54">
        <f>2+4</f>
        <v>6</v>
      </c>
      <c r="AQ361" s="54">
        <v>1</v>
      </c>
      <c r="AR361" s="54">
        <v>1</v>
      </c>
      <c r="AS361" s="54">
        <v>1</v>
      </c>
      <c r="AT361" s="54">
        <v>4</v>
      </c>
      <c r="AU361" s="54">
        <v>1</v>
      </c>
      <c r="AV361" s="54">
        <v>2</v>
      </c>
      <c r="AW361" s="55">
        <v>24</v>
      </c>
      <c r="AX361" s="42">
        <v>1</v>
      </c>
      <c r="AY361" s="37">
        <v>1</v>
      </c>
      <c r="AZ361" s="37">
        <v>2</v>
      </c>
      <c r="BA361" s="37">
        <v>7</v>
      </c>
      <c r="BB361" s="37">
        <v>6</v>
      </c>
      <c r="BC361" s="37">
        <v>1</v>
      </c>
      <c r="BD361" s="37">
        <v>1</v>
      </c>
      <c r="BE361" s="37">
        <v>1</v>
      </c>
      <c r="BF361" s="37">
        <v>1</v>
      </c>
      <c r="BG361" s="37">
        <v>1</v>
      </c>
      <c r="BH361" s="37">
        <v>1</v>
      </c>
      <c r="BI361" s="37">
        <v>1</v>
      </c>
      <c r="BJ361" s="37">
        <v>5</v>
      </c>
      <c r="BK361" s="37">
        <v>1</v>
      </c>
      <c r="BL361" s="37">
        <v>2</v>
      </c>
      <c r="BM361" s="37">
        <v>1</v>
      </c>
      <c r="BN361" s="37">
        <v>1</v>
      </c>
      <c r="BO361" s="37">
        <v>12</v>
      </c>
      <c r="BP361" s="37">
        <v>1</v>
      </c>
      <c r="BQ361" s="37">
        <v>1</v>
      </c>
      <c r="BR361" s="37">
        <v>1</v>
      </c>
      <c r="BS361" s="37">
        <v>1</v>
      </c>
      <c r="BT361" s="37">
        <v>1</v>
      </c>
      <c r="BU361" s="37">
        <v>1</v>
      </c>
      <c r="BV361" s="37">
        <v>3</v>
      </c>
      <c r="BW361" s="37">
        <v>1</v>
      </c>
      <c r="BX361" s="37">
        <v>1</v>
      </c>
      <c r="BY361" s="37">
        <v>1</v>
      </c>
      <c r="BZ361" s="37">
        <v>1</v>
      </c>
      <c r="CA361" s="37">
        <v>1</v>
      </c>
      <c r="CB361" s="37">
        <v>2</v>
      </c>
      <c r="CC361" s="37">
        <v>1</v>
      </c>
      <c r="CD361" s="37">
        <v>1</v>
      </c>
      <c r="CE361" s="37"/>
      <c r="CF361" s="37"/>
      <c r="CG361" s="37"/>
      <c r="CH361" s="37"/>
      <c r="CI361" s="37"/>
      <c r="CJ361" s="37"/>
      <c r="CK361" s="37"/>
      <c r="CL361" s="37"/>
      <c r="CM361" s="37"/>
      <c r="CN361" s="37"/>
      <c r="CO361" s="37"/>
      <c r="CP361" s="37"/>
      <c r="CQ361" s="37"/>
      <c r="CR361" s="37"/>
      <c r="CS361" s="37"/>
      <c r="CT361" s="37"/>
      <c r="CU361" s="37"/>
      <c r="CV361" s="37"/>
    </row>
    <row r="362" spans="1:100" ht="83.25" customHeight="1" x14ac:dyDescent="0.2">
      <c r="A362" s="37"/>
      <c r="B362" s="37"/>
      <c r="C362" s="37"/>
      <c r="D362" s="37"/>
      <c r="E362" s="42"/>
      <c r="F362" s="37"/>
      <c r="G362" s="37"/>
      <c r="H362" s="37"/>
      <c r="I362" s="37"/>
      <c r="J362" s="37"/>
      <c r="K362" s="37"/>
      <c r="L362" s="37"/>
      <c r="M362" s="37"/>
      <c r="N362" s="42"/>
      <c r="O362" s="37"/>
      <c r="P362" s="37"/>
      <c r="Q362" s="37"/>
      <c r="R362" s="37"/>
      <c r="S362" s="37"/>
      <c r="T362" s="37"/>
      <c r="U362" s="37"/>
      <c r="V362" s="37"/>
      <c r="W362" s="37"/>
      <c r="X362" s="42"/>
      <c r="Y362" s="37"/>
      <c r="Z362" s="37"/>
      <c r="AA362" s="37"/>
      <c r="AB362" s="37"/>
      <c r="AC362" s="37"/>
      <c r="AD362" s="42"/>
      <c r="AE362" s="37"/>
      <c r="AF362" s="37"/>
      <c r="AG362" s="37"/>
      <c r="AH362" s="37"/>
      <c r="AI362" s="37"/>
      <c r="AJ362" s="37"/>
      <c r="AK362" s="37"/>
      <c r="AL362" s="37"/>
      <c r="AM362" s="42"/>
      <c r="AN362" s="37"/>
      <c r="AO362" s="37"/>
      <c r="AP362" s="42"/>
      <c r="AQ362" s="37"/>
      <c r="AR362" s="37"/>
      <c r="AS362" s="37"/>
      <c r="AT362" s="37"/>
      <c r="AU362" s="37"/>
      <c r="AV362" s="37"/>
      <c r="AW362" s="37"/>
      <c r="AX362" s="42"/>
      <c r="AY362" s="37"/>
      <c r="AZ362" s="37"/>
      <c r="BA362" s="37"/>
      <c r="BB362" s="37"/>
      <c r="BC362" s="37"/>
      <c r="BD362" s="37"/>
      <c r="BE362" s="37"/>
      <c r="BF362" s="37"/>
      <c r="BG362" s="37"/>
      <c r="BH362" s="37"/>
      <c r="BI362" s="37"/>
      <c r="BJ362" s="37"/>
      <c r="BK362" s="37"/>
      <c r="BL362" s="37"/>
      <c r="BM362" s="37"/>
      <c r="BN362" s="37"/>
      <c r="BO362" s="37"/>
      <c r="BP362" s="37"/>
      <c r="BQ362" s="37"/>
      <c r="BR362" s="37"/>
      <c r="BS362" s="37"/>
      <c r="BT362" s="37"/>
      <c r="BU362" s="42"/>
      <c r="BV362" s="37"/>
      <c r="BW362" s="37"/>
    </row>
    <row r="363" spans="1:100" x14ac:dyDescent="0.2">
      <c r="A363" s="37"/>
      <c r="B363" s="37"/>
      <c r="C363" s="37"/>
      <c r="D363" s="37"/>
      <c r="E363" s="37"/>
      <c r="F363" s="42"/>
      <c r="G363" s="37"/>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c r="AG363" s="37"/>
      <c r="AH363" s="37"/>
      <c r="AI363" s="37"/>
      <c r="AJ363" s="37"/>
      <c r="AK363" s="37"/>
      <c r="AL363" s="37"/>
      <c r="AM363" s="37"/>
      <c r="AN363" s="37"/>
      <c r="AO363" s="37"/>
      <c r="AP363" s="37"/>
      <c r="AQ363" s="37"/>
      <c r="AR363" s="37"/>
      <c r="AS363" s="37"/>
      <c r="AT363" s="37"/>
      <c r="AU363" s="37"/>
      <c r="AV363" s="37"/>
      <c r="AW363" s="37"/>
      <c r="AX363" s="37"/>
      <c r="AY363" s="37"/>
      <c r="AZ363" s="37"/>
      <c r="BA363" s="37"/>
      <c r="BB363" s="37"/>
      <c r="BC363" s="37"/>
      <c r="BD363" s="37"/>
      <c r="BE363" s="37"/>
      <c r="BF363" s="37"/>
      <c r="BG363" s="37"/>
      <c r="BH363" s="37"/>
      <c r="BI363" s="37"/>
      <c r="BJ363" s="37"/>
      <c r="BK363" s="37"/>
      <c r="BL363" s="37"/>
      <c r="BM363" s="37"/>
      <c r="BN363" s="37"/>
      <c r="BO363" s="37"/>
      <c r="BP363" s="37"/>
      <c r="BQ363" s="37"/>
      <c r="BR363" s="37"/>
      <c r="BS363" s="37"/>
      <c r="BT363" s="37"/>
      <c r="BU363" s="37"/>
      <c r="BV363" s="37"/>
      <c r="BW363" s="37"/>
    </row>
    <row r="414" spans="1:6" ht="13.5" thickBot="1" x14ac:dyDescent="0.25"/>
    <row r="415" spans="1:6" ht="63.75" x14ac:dyDescent="0.2">
      <c r="A415" s="7" t="s">
        <v>591</v>
      </c>
      <c r="B415" s="8" t="s">
        <v>18</v>
      </c>
      <c r="C415" s="31" t="s">
        <v>59</v>
      </c>
      <c r="D415" s="15" t="s">
        <v>40</v>
      </c>
      <c r="E415" s="15" t="s">
        <v>32</v>
      </c>
      <c r="F415" s="30" t="s">
        <v>592</v>
      </c>
    </row>
    <row r="416" spans="1:6" ht="13.5" thickBot="1" x14ac:dyDescent="0.25">
      <c r="C416" s="17">
        <v>467</v>
      </c>
      <c r="D416" s="18">
        <v>257</v>
      </c>
      <c r="E416" s="18">
        <v>84</v>
      </c>
      <c r="F416" s="19">
        <v>9</v>
      </c>
    </row>
    <row r="435" spans="1:5" ht="13.5" thickBot="1" x14ac:dyDescent="0.25"/>
    <row r="436" spans="1:5" ht="102" x14ac:dyDescent="0.2">
      <c r="A436" s="7" t="s">
        <v>593</v>
      </c>
      <c r="B436" s="8" t="s">
        <v>19</v>
      </c>
      <c r="C436" s="31" t="s">
        <v>594</v>
      </c>
      <c r="D436" s="15" t="s">
        <v>312</v>
      </c>
      <c r="E436" s="30" t="s">
        <v>595</v>
      </c>
    </row>
    <row r="437" spans="1:5" ht="13.5" thickBot="1" x14ac:dyDescent="0.25">
      <c r="C437" s="17">
        <f>120+218</f>
        <v>338</v>
      </c>
      <c r="D437" s="18">
        <f>157+287</f>
        <v>444</v>
      </c>
      <c r="E437" s="19">
        <f>27+17</f>
        <v>44</v>
      </c>
    </row>
    <row r="457" spans="1:37" ht="13.5" thickBot="1" x14ac:dyDescent="0.25"/>
    <row r="458" spans="1:37" ht="99.95" customHeight="1" x14ac:dyDescent="0.2">
      <c r="A458" s="13">
        <v>41651</v>
      </c>
      <c r="B458" s="8" t="s">
        <v>20</v>
      </c>
      <c r="C458" s="31" t="s">
        <v>786</v>
      </c>
      <c r="D458" s="15" t="s">
        <v>598</v>
      </c>
      <c r="E458" s="15" t="s">
        <v>319</v>
      </c>
      <c r="F458" s="15" t="s">
        <v>494</v>
      </c>
      <c r="G458" s="15" t="s">
        <v>533</v>
      </c>
      <c r="H458" s="15" t="s">
        <v>263</v>
      </c>
      <c r="I458" s="15" t="s">
        <v>413</v>
      </c>
      <c r="J458" s="15" t="s">
        <v>596</v>
      </c>
      <c r="K458" s="15" t="s">
        <v>555</v>
      </c>
      <c r="L458" s="15" t="s">
        <v>417</v>
      </c>
      <c r="M458" s="15" t="s">
        <v>324</v>
      </c>
      <c r="N458" s="15" t="s">
        <v>599</v>
      </c>
      <c r="O458" s="15" t="s">
        <v>135</v>
      </c>
      <c r="P458" s="15" t="s">
        <v>339</v>
      </c>
      <c r="Q458" s="15" t="s">
        <v>489</v>
      </c>
      <c r="R458" s="15" t="s">
        <v>506</v>
      </c>
      <c r="S458" s="15" t="s">
        <v>346</v>
      </c>
      <c r="T458" s="15" t="s">
        <v>298</v>
      </c>
      <c r="U458" s="15" t="s">
        <v>224</v>
      </c>
      <c r="V458" s="15" t="s">
        <v>196</v>
      </c>
      <c r="W458" s="15" t="s">
        <v>394</v>
      </c>
      <c r="X458" s="15" t="s">
        <v>159</v>
      </c>
      <c r="Y458" s="15" t="s">
        <v>597</v>
      </c>
      <c r="Z458" s="15" t="s">
        <v>238</v>
      </c>
      <c r="AA458" s="15" t="s">
        <v>259</v>
      </c>
      <c r="AB458" s="15" t="s">
        <v>448</v>
      </c>
      <c r="AC458" s="15" t="s">
        <v>290</v>
      </c>
      <c r="AD458" s="15" t="s">
        <v>397</v>
      </c>
      <c r="AE458" s="30" t="s">
        <v>592</v>
      </c>
      <c r="AF458" s="7"/>
      <c r="AG458" s="7"/>
      <c r="AH458" s="7"/>
      <c r="AI458" s="7"/>
      <c r="AJ458" s="7"/>
      <c r="AK458" s="7"/>
    </row>
    <row r="459" spans="1:37" ht="13.5" thickBot="1" x14ac:dyDescent="0.25">
      <c r="C459" s="17">
        <v>1</v>
      </c>
      <c r="D459" s="18">
        <v>1</v>
      </c>
      <c r="E459" s="18">
        <v>1</v>
      </c>
      <c r="F459" s="18">
        <v>8</v>
      </c>
      <c r="G459" s="18">
        <v>1</v>
      </c>
      <c r="H459" s="18">
        <v>1</v>
      </c>
      <c r="I459" s="18">
        <v>1</v>
      </c>
      <c r="J459" s="18">
        <v>1</v>
      </c>
      <c r="K459" s="18">
        <v>1</v>
      </c>
      <c r="L459" s="18">
        <v>1</v>
      </c>
      <c r="M459" s="18">
        <v>2</v>
      </c>
      <c r="N459" s="18">
        <v>1</v>
      </c>
      <c r="O459" s="18">
        <v>1</v>
      </c>
      <c r="P459" s="18">
        <v>1</v>
      </c>
      <c r="Q459" s="18">
        <v>1</v>
      </c>
      <c r="R459" s="18">
        <v>1</v>
      </c>
      <c r="S459" s="18">
        <v>3</v>
      </c>
      <c r="T459" s="18">
        <v>6</v>
      </c>
      <c r="U459" s="18">
        <v>1</v>
      </c>
      <c r="V459" s="18">
        <v>1</v>
      </c>
      <c r="W459" s="18">
        <v>2</v>
      </c>
      <c r="X459" s="18">
        <v>3</v>
      </c>
      <c r="Y459" s="18">
        <v>1</v>
      </c>
      <c r="Z459" s="18">
        <v>2</v>
      </c>
      <c r="AA459" s="18">
        <v>1</v>
      </c>
      <c r="AB459" s="18">
        <v>1</v>
      </c>
      <c r="AC459" s="18">
        <v>1</v>
      </c>
      <c r="AD459" s="18">
        <v>1</v>
      </c>
      <c r="AE459" s="19">
        <v>436</v>
      </c>
    </row>
    <row r="501" spans="1:10" ht="13.5" thickBot="1" x14ac:dyDescent="0.25"/>
    <row r="502" spans="1:10" ht="38.25" x14ac:dyDescent="0.2">
      <c r="A502" s="7" t="s">
        <v>600</v>
      </c>
      <c r="B502" s="29" t="s">
        <v>778</v>
      </c>
      <c r="C502" s="14" t="s">
        <v>782</v>
      </c>
      <c r="D502" s="14" t="s">
        <v>779</v>
      </c>
      <c r="E502" s="14" t="s">
        <v>780</v>
      </c>
      <c r="F502" s="14" t="s">
        <v>784</v>
      </c>
      <c r="G502" s="14" t="s">
        <v>785</v>
      </c>
      <c r="H502" s="14" t="s">
        <v>781</v>
      </c>
      <c r="I502" s="14" t="s">
        <v>783</v>
      </c>
      <c r="J502" s="16" t="s">
        <v>592</v>
      </c>
    </row>
    <row r="503" spans="1:10" ht="13.5" thickBot="1" x14ac:dyDescent="0.25">
      <c r="B503" s="17"/>
      <c r="C503" s="18">
        <v>93</v>
      </c>
      <c r="D503" s="18">
        <v>310</v>
      </c>
      <c r="E503" s="18">
        <v>13</v>
      </c>
      <c r="F503" s="18">
        <v>6</v>
      </c>
      <c r="G503" s="18">
        <v>5</v>
      </c>
      <c r="H503" s="18">
        <v>73</v>
      </c>
      <c r="I503" s="18">
        <v>14</v>
      </c>
      <c r="J503" s="19">
        <v>8</v>
      </c>
    </row>
  </sheetData>
  <sortState columnSort="1" ref="C2:BP3">
    <sortCondition descending="1" ref="C3:BP3"/>
  </sortState>
  <pageMargins left="0.7" right="0.7" top="0.78740157499999996" bottom="0.78740157499999996"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Odpovědi na formulář</vt:lpstr>
      <vt:lpstr>Grafy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Holečková Markéta</dc:creator>
  <cp:lastModifiedBy>Holečková Markéta</cp:lastModifiedBy>
  <dcterms:created xsi:type="dcterms:W3CDTF">2014-10-14T13:02:31Z</dcterms:created>
  <dcterms:modified xsi:type="dcterms:W3CDTF">2014-11-26T08:33:37Z</dcterms:modified>
</cp:coreProperties>
</file>