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drawings/drawing6.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checkCompatibility="1" defaultThemeVersion="124226"/>
  <mc:AlternateContent xmlns:mc="http://schemas.openxmlformats.org/markup-compatibility/2006">
    <mc:Choice Requires="x15">
      <x15ac:absPath xmlns:x15ac="http://schemas.microsoft.com/office/spreadsheetml/2010/11/ac" url="O:\Sekce_III\32_odbor\Oddělení  320\Výroční zpráva o hospodaření\výroční zprávy jednotlivých VVŠ\Za rok 2015\VZoH_2015_Tabulky\"/>
    </mc:Choice>
  </mc:AlternateContent>
  <bookViews>
    <workbookView xWindow="0" yWindow="0" windowWidth="25140" windowHeight="11880" tabRatio="823"/>
  </bookViews>
  <sheets>
    <sheet name="1" sheetId="1" r:id="rId1"/>
    <sheet name="2" sheetId="2" r:id="rId2"/>
    <sheet name="2a" sheetId="43" r:id="rId3"/>
    <sheet name="2b" sheetId="44" r:id="rId4"/>
    <sheet name="3" sheetId="3" r:id="rId5"/>
    <sheet name="4" sheetId="4" r:id="rId6"/>
    <sheet name="5 " sheetId="5" r:id="rId7"/>
    <sheet name="5.a" sheetId="6" r:id="rId8"/>
    <sheet name="5.b" sheetId="7" r:id="rId9"/>
    <sheet name="5.c" sheetId="8" r:id="rId10"/>
    <sheet name="5.d" sheetId="9" r:id="rId11"/>
    <sheet name="5.e navíc do kap.3.1.2" sheetId="23" r:id="rId12"/>
    <sheet name="6" sheetId="10" r:id="rId13"/>
    <sheet name="7" sheetId="11" r:id="rId14"/>
    <sheet name="8" sheetId="12" r:id="rId15"/>
    <sheet name="9" sheetId="13" r:id="rId16"/>
    <sheet name="10.ab" sheetId="14" r:id="rId17"/>
    <sheet name="10 c" sheetId="45" r:id="rId18"/>
    <sheet name="10 d" sheetId="46" r:id="rId19"/>
    <sheet name="10 e" sheetId="47" r:id="rId20"/>
    <sheet name="10 f" sheetId="50" r:id="rId21"/>
    <sheet name="10 g" sheetId="52" r:id="rId22"/>
    <sheet name="11" sheetId="15" r:id="rId23"/>
    <sheet name="11.a" sheetId="16" r:id="rId24"/>
    <sheet name="11.b" sheetId="17" r:id="rId25"/>
    <sheet name="11.c" sheetId="18" r:id="rId26"/>
    <sheet name="11.d" sheetId="19" r:id="rId27"/>
    <sheet name="11.e" sheetId="20" r:id="rId28"/>
    <sheet name="11.f" sheetId="21" r:id="rId29"/>
    <sheet name="11.g" sheetId="22" r:id="rId30"/>
    <sheet name="12.a" sheetId="29" r:id="rId31"/>
    <sheet name="12.b" sheetId="30" r:id="rId32"/>
    <sheet name="12.c" sheetId="31" r:id="rId33"/>
    <sheet name="12.d" sheetId="32" r:id="rId34"/>
    <sheet name="12.e" sheetId="33" r:id="rId35"/>
    <sheet name="12.f" sheetId="34" r:id="rId36"/>
    <sheet name="13.ab" sheetId="35" r:id="rId37"/>
    <sheet name="13.cd" sheetId="36" r:id="rId38"/>
    <sheet name="13.ef" sheetId="37" r:id="rId39"/>
    <sheet name="13.g" sheetId="38" r:id="rId40"/>
    <sheet name="13.h" sheetId="39" r:id="rId41"/>
    <sheet name="13.i" sheetId="40" r:id="rId42"/>
    <sheet name="13.j" sheetId="41" r:id="rId43"/>
    <sheet name="13.k" sheetId="42" r:id="rId44"/>
  </sheets>
  <externalReferences>
    <externalReference r:id="rId45"/>
    <externalReference r:id="rId46"/>
  </externalReferences>
  <definedNames>
    <definedName name="_xlnm._FilterDatabase" localSheetId="6" hidden="1">'5 '!$A$1:$I$35</definedName>
    <definedName name="_xlnm.Print_Titles" localSheetId="0">'1'!$5:$5</definedName>
    <definedName name="_xlnm.Print_Titles" localSheetId="6">'5 '!$3:$5</definedName>
    <definedName name="_xlnm.Print_Area" localSheetId="0">'1'!$A$1:$E$147</definedName>
    <definedName name="_xlnm.Print_Area" localSheetId="24">'11.b'!$A$1:$C$28</definedName>
    <definedName name="_xlnm.Print_Area" localSheetId="1">'2'!$A$1:$E$99</definedName>
    <definedName name="_xlnm.Print_Area" localSheetId="2">'2a'!$A$1:$E$99</definedName>
    <definedName name="_xlnm.Print_Area" localSheetId="3">'2b'!$A$1:$E$99</definedName>
    <definedName name="_xlnm.Print_Area" localSheetId="4">'3'!$A$1:$D$16</definedName>
    <definedName name="_xlnm.Print_Area" localSheetId="12">'6'!$A$1:$F$30</definedName>
    <definedName name="_xlnm.Print_Area" localSheetId="14">'8'!$A$1:$Z$38</definedName>
    <definedName name="Z_2AF6EA2A_E5C5_45EB_B6C4_875AD1E4E056_.wvu.FilterData" localSheetId="6" hidden="1">'5 '!$A$1:$I$35</definedName>
    <definedName name="Z_2AF6EA2A_E5C5_45EB_B6C4_875AD1E4E056_.wvu.PrintArea" localSheetId="0" hidden="1">'1'!$A$1:$E$147</definedName>
    <definedName name="Z_2AF6EA2A_E5C5_45EB_B6C4_875AD1E4E056_.wvu.PrintArea" localSheetId="24" hidden="1">'11.b'!$A$1:$C$28</definedName>
    <definedName name="Z_2AF6EA2A_E5C5_45EB_B6C4_875AD1E4E056_.wvu.PrintArea" localSheetId="1" hidden="1">'2'!$A$1:$E$99</definedName>
    <definedName name="Z_2AF6EA2A_E5C5_45EB_B6C4_875AD1E4E056_.wvu.PrintArea" localSheetId="2" hidden="1">'2a'!$A$1:$E$99</definedName>
    <definedName name="Z_2AF6EA2A_E5C5_45EB_B6C4_875AD1E4E056_.wvu.PrintArea" localSheetId="3" hidden="1">'2b'!$A$1:$E$99</definedName>
    <definedName name="Z_2AF6EA2A_E5C5_45EB_B6C4_875AD1E4E056_.wvu.PrintArea" localSheetId="4" hidden="1">'3'!$A$1:$D$16</definedName>
    <definedName name="Z_2AF6EA2A_E5C5_45EB_B6C4_875AD1E4E056_.wvu.PrintArea" localSheetId="12" hidden="1">'6'!$A$1:$F$30</definedName>
    <definedName name="Z_2AF6EA2A_E5C5_45EB_B6C4_875AD1E4E056_.wvu.PrintArea" localSheetId="14" hidden="1">'8'!$A$1:$Z$38</definedName>
    <definedName name="Z_2AF6EA2A_E5C5_45EB_B6C4_875AD1E4E056_.wvu.PrintTitles" localSheetId="0" hidden="1">'1'!$5:$5</definedName>
    <definedName name="Z_2AF6EA2A_E5C5_45EB_B6C4_875AD1E4E056_.wvu.PrintTitles" localSheetId="6" hidden="1">'5 '!$3:$5</definedName>
  </definedNames>
  <calcPr calcId="152511"/>
  <customWorkbookViews>
    <customWorkbookView name="Uldrichová Marie – osobní zobrazení" guid="{2AF6EA2A-E5C5-45EB-B6C4-875AD1E4E056}" mergeInterval="0" personalView="1" maximized="1" windowWidth="1676" windowHeight="755" tabRatio="823" activeSheetId="10"/>
  </customWorkbookViews>
</workbook>
</file>

<file path=xl/calcChain.xml><?xml version="1.0" encoding="utf-8"?>
<calcChain xmlns="http://schemas.openxmlformats.org/spreadsheetml/2006/main">
  <c r="H31" i="12" l="1"/>
  <c r="L30" i="12"/>
  <c r="K30" i="12"/>
  <c r="K29" i="12"/>
  <c r="M29" i="12" s="1"/>
  <c r="I29" i="12"/>
  <c r="J29" i="12" s="1"/>
  <c r="G29" i="12"/>
  <c r="M28" i="12"/>
  <c r="I28" i="12"/>
  <c r="J28" i="12" s="1"/>
  <c r="G28" i="12"/>
  <c r="M27" i="12"/>
  <c r="I27" i="12"/>
  <c r="J27" i="12" s="1"/>
  <c r="G27" i="12"/>
  <c r="L26" i="12"/>
  <c r="F26" i="12"/>
  <c r="F31" i="12" s="1"/>
  <c r="E26" i="12"/>
  <c r="E31" i="12" s="1"/>
  <c r="I25" i="12"/>
  <c r="M24" i="12"/>
  <c r="I24" i="12"/>
  <c r="J24" i="12" s="1"/>
  <c r="G24" i="12"/>
  <c r="M23" i="12"/>
  <c r="I23" i="12"/>
  <c r="J23" i="12" s="1"/>
  <c r="G23" i="12"/>
  <c r="M22" i="12"/>
  <c r="I22" i="12"/>
  <c r="J22" i="12" s="1"/>
  <c r="G22" i="12"/>
  <c r="M21" i="12"/>
  <c r="I21" i="12"/>
  <c r="J21" i="12" s="1"/>
  <c r="G21" i="12"/>
  <c r="L31" i="12" l="1"/>
  <c r="M31" i="12" s="1"/>
  <c r="G31" i="12"/>
  <c r="G26" i="12"/>
  <c r="M26" i="12"/>
  <c r="I26" i="12"/>
  <c r="I31" i="12" l="1"/>
  <c r="J31" i="12" s="1"/>
  <c r="J26" i="12"/>
  <c r="P38" i="6" l="1"/>
  <c r="I41" i="6"/>
  <c r="P41" i="6" s="1"/>
  <c r="P40" i="6" s="1"/>
  <c r="H41" i="6"/>
  <c r="M41" i="6" s="1"/>
  <c r="M40" i="6" s="1"/>
  <c r="O40" i="6"/>
  <c r="L40" i="6"/>
  <c r="K40" i="6"/>
  <c r="K34" i="6" s="1"/>
  <c r="J40" i="6"/>
  <c r="J34" i="6" s="1"/>
  <c r="G40" i="6"/>
  <c r="F40" i="6"/>
  <c r="E40" i="6"/>
  <c r="I40" i="6" s="1"/>
  <c r="D40" i="6"/>
  <c r="D34" i="6" s="1"/>
  <c r="I39" i="6"/>
  <c r="P39" i="6" s="1"/>
  <c r="H39" i="6"/>
  <c r="M39" i="6" s="1"/>
  <c r="M38" i="6" s="1"/>
  <c r="O38" i="6"/>
  <c r="L38" i="6"/>
  <c r="K38" i="6"/>
  <c r="J38" i="6"/>
  <c r="G38" i="6"/>
  <c r="I38" i="6" s="1"/>
  <c r="F38" i="6"/>
  <c r="H38" i="6" s="1"/>
  <c r="E38" i="6"/>
  <c r="D38" i="6"/>
  <c r="H37" i="6"/>
  <c r="E37" i="6"/>
  <c r="I37" i="6" s="1"/>
  <c r="I36" i="6"/>
  <c r="P36" i="6" s="1"/>
  <c r="D36" i="6"/>
  <c r="H36" i="6" s="1"/>
  <c r="H35" i="6" s="1"/>
  <c r="O35" i="6"/>
  <c r="L35" i="6"/>
  <c r="K35" i="6"/>
  <c r="J35" i="6"/>
  <c r="G35" i="6"/>
  <c r="F35" i="6"/>
  <c r="D35" i="6"/>
  <c r="O34" i="6"/>
  <c r="L34" i="6"/>
  <c r="G34" i="6"/>
  <c r="F34" i="6"/>
  <c r="H40" i="6" l="1"/>
  <c r="H34" i="6" s="1"/>
  <c r="E35" i="6"/>
  <c r="E34" i="6" s="1"/>
  <c r="M36" i="6"/>
  <c r="P37" i="6"/>
  <c r="P35" i="6" s="1"/>
  <c r="P34" i="6" s="1"/>
  <c r="I35" i="6"/>
  <c r="I34" i="6" s="1"/>
  <c r="M37" i="6"/>
  <c r="M35" i="6" l="1"/>
  <c r="M34" i="6" s="1"/>
  <c r="C16" i="22" l="1"/>
  <c r="C10" i="22"/>
  <c r="C17" i="22" s="1"/>
  <c r="C10" i="21"/>
  <c r="C11" i="21" s="1"/>
  <c r="C15" i="19"/>
  <c r="C9" i="19"/>
  <c r="C16" i="19" s="1"/>
  <c r="C9" i="18"/>
  <c r="C7" i="18"/>
  <c r="C23" i="17"/>
  <c r="C15" i="17"/>
  <c r="C27" i="17" s="1"/>
  <c r="C10" i="17"/>
  <c r="C14" i="17" s="1"/>
  <c r="C14" i="16"/>
  <c r="C8" i="16"/>
  <c r="C15" i="16" s="1"/>
  <c r="K7" i="13"/>
  <c r="D7" i="13"/>
  <c r="J17" i="13"/>
  <c r="J16" i="13"/>
  <c r="J14" i="13"/>
  <c r="J13" i="13"/>
  <c r="J12" i="13"/>
  <c r="J11" i="13"/>
  <c r="J10" i="13"/>
  <c r="J9" i="13"/>
  <c r="J8" i="13"/>
  <c r="J27" i="13"/>
  <c r="J26" i="13" s="1"/>
  <c r="J25" i="13"/>
  <c r="J24" i="13"/>
  <c r="J23" i="13"/>
  <c r="J22" i="13"/>
  <c r="J21" i="13"/>
  <c r="J20" i="13"/>
  <c r="I19" i="13"/>
  <c r="H19" i="13"/>
  <c r="G19" i="13"/>
  <c r="F19" i="13"/>
  <c r="E19" i="13"/>
  <c r="D19" i="13"/>
  <c r="J18" i="13"/>
  <c r="I15" i="13"/>
  <c r="H15" i="13"/>
  <c r="H7" i="13" s="1"/>
  <c r="G15" i="13"/>
  <c r="G7" i="13" s="1"/>
  <c r="F15" i="13"/>
  <c r="J15" i="13" s="1"/>
  <c r="E15" i="13"/>
  <c r="D15" i="13"/>
  <c r="L7" i="13"/>
  <c r="I7" i="13"/>
  <c r="E7" i="13"/>
  <c r="E10" i="11"/>
  <c r="C10" i="11"/>
  <c r="E5" i="11"/>
  <c r="E19" i="11" s="1"/>
  <c r="D5" i="11"/>
  <c r="D19" i="11" s="1"/>
  <c r="C5" i="11"/>
  <c r="F7" i="13" l="1"/>
  <c r="J7" i="13" s="1"/>
  <c r="J19" i="13"/>
  <c r="C28" i="17"/>
  <c r="C19" i="11"/>
  <c r="F21" i="10"/>
  <c r="F20" i="10"/>
  <c r="F19" i="10"/>
  <c r="F18" i="10"/>
  <c r="F17" i="10"/>
  <c r="E16" i="10"/>
  <c r="D16" i="10"/>
  <c r="F16" i="10" s="1"/>
  <c r="F15" i="10"/>
  <c r="F14" i="10"/>
  <c r="F13" i="10"/>
  <c r="F12" i="10"/>
  <c r="E11" i="10"/>
  <c r="D11" i="10"/>
  <c r="F11" i="10" s="1"/>
  <c r="F10" i="10"/>
  <c r="F9" i="10"/>
  <c r="F8" i="10"/>
  <c r="F7" i="10"/>
  <c r="F6" i="10"/>
  <c r="E5" i="10"/>
  <c r="D5" i="10"/>
  <c r="F5" i="10" l="1"/>
  <c r="D10" i="3"/>
  <c r="D9" i="3"/>
  <c r="D8" i="3"/>
  <c r="D7" i="3"/>
  <c r="D6" i="3"/>
  <c r="D5" i="3"/>
  <c r="B13" i="3"/>
  <c r="C13" i="3"/>
  <c r="H44" i="23"/>
  <c r="P44" i="23" s="1"/>
  <c r="P43" i="23" s="1"/>
  <c r="P42" i="23" s="1"/>
  <c r="G44" i="23"/>
  <c r="O43" i="23"/>
  <c r="M43" i="23"/>
  <c r="K43" i="23"/>
  <c r="J43" i="23"/>
  <c r="I43" i="23"/>
  <c r="H43" i="23"/>
  <c r="G43" i="23"/>
  <c r="F43" i="23"/>
  <c r="E43" i="23"/>
  <c r="D43" i="23"/>
  <c r="C43" i="23"/>
  <c r="O42" i="23"/>
  <c r="M42" i="23"/>
  <c r="K42" i="23"/>
  <c r="J42" i="23"/>
  <c r="I42" i="23"/>
  <c r="H42" i="23"/>
  <c r="G42" i="23"/>
  <c r="F42" i="23"/>
  <c r="E42" i="23"/>
  <c r="D42" i="23"/>
  <c r="C42" i="23"/>
  <c r="H41" i="23"/>
  <c r="P41" i="23" s="1"/>
  <c r="G41" i="23"/>
  <c r="O40" i="23"/>
  <c r="O39" i="23" s="1"/>
  <c r="O38" i="23" s="1"/>
  <c r="O37" i="23" s="1"/>
  <c r="E40" i="23"/>
  <c r="D40" i="23"/>
  <c r="H40" i="23" s="1"/>
  <c r="C40" i="23"/>
  <c r="G40" i="23" s="1"/>
  <c r="G39" i="23" s="1"/>
  <c r="G38" i="23" s="1"/>
  <c r="G37" i="23" s="1"/>
  <c r="M39" i="23"/>
  <c r="K39" i="23"/>
  <c r="K38" i="23" s="1"/>
  <c r="K37" i="23" s="1"/>
  <c r="J39" i="23"/>
  <c r="J38" i="23" s="1"/>
  <c r="J37" i="23" s="1"/>
  <c r="I39" i="23"/>
  <c r="I38" i="23" s="1"/>
  <c r="I37" i="23" s="1"/>
  <c r="F39" i="23"/>
  <c r="F38" i="23" s="1"/>
  <c r="F37" i="23" s="1"/>
  <c r="E39" i="23"/>
  <c r="D39" i="23"/>
  <c r="D38" i="23" s="1"/>
  <c r="D37" i="23" s="1"/>
  <c r="C39" i="23"/>
  <c r="M38" i="23"/>
  <c r="E38" i="23"/>
  <c r="E37" i="23" s="1"/>
  <c r="C38" i="23"/>
  <c r="C37" i="23" s="1"/>
  <c r="M37" i="23"/>
  <c r="H36" i="23"/>
  <c r="P36" i="23" s="1"/>
  <c r="P35" i="23" s="1"/>
  <c r="G36" i="23"/>
  <c r="M36" i="23" s="1"/>
  <c r="M35" i="23" s="1"/>
  <c r="O35" i="23"/>
  <c r="K35" i="23"/>
  <c r="J35" i="23"/>
  <c r="I35" i="23"/>
  <c r="H35" i="23"/>
  <c r="F35" i="23"/>
  <c r="E35" i="23"/>
  <c r="D35" i="23"/>
  <c r="C35" i="23"/>
  <c r="H34" i="23"/>
  <c r="P34" i="23" s="1"/>
  <c r="G34" i="23"/>
  <c r="H33" i="23"/>
  <c r="P33" i="23" s="1"/>
  <c r="G33" i="23"/>
  <c r="H32" i="23"/>
  <c r="P32" i="23" s="1"/>
  <c r="G32" i="23"/>
  <c r="O31" i="23"/>
  <c r="O30" i="23" s="1"/>
  <c r="O29" i="23" s="1"/>
  <c r="O28" i="23" s="1"/>
  <c r="M31" i="23"/>
  <c r="E31" i="23"/>
  <c r="D31" i="23"/>
  <c r="H31" i="23" s="1"/>
  <c r="C31" i="23"/>
  <c r="G31" i="23" s="1"/>
  <c r="G30" i="23" s="1"/>
  <c r="M30" i="23"/>
  <c r="K30" i="23"/>
  <c r="J30" i="23"/>
  <c r="J29" i="23" s="1"/>
  <c r="I30" i="23"/>
  <c r="F30" i="23"/>
  <c r="F29" i="23" s="1"/>
  <c r="E30" i="23"/>
  <c r="C30" i="23"/>
  <c r="L27" i="23"/>
  <c r="L26" i="23"/>
  <c r="H25" i="23"/>
  <c r="P25" i="23" s="1"/>
  <c r="P24" i="23" s="1"/>
  <c r="G25" i="23"/>
  <c r="O24" i="23"/>
  <c r="K24" i="23"/>
  <c r="J24" i="23"/>
  <c r="I24" i="23"/>
  <c r="G24" i="23"/>
  <c r="F24" i="23"/>
  <c r="E24" i="23"/>
  <c r="D24" i="23"/>
  <c r="C24" i="23"/>
  <c r="H23" i="23"/>
  <c r="P23" i="23" s="1"/>
  <c r="P22" i="23" s="1"/>
  <c r="G23" i="23"/>
  <c r="O22" i="23"/>
  <c r="K22" i="23"/>
  <c r="J22" i="23"/>
  <c r="I22" i="23"/>
  <c r="G22" i="23"/>
  <c r="F22" i="23"/>
  <c r="E22" i="23"/>
  <c r="D22" i="23"/>
  <c r="C22" i="23"/>
  <c r="H21" i="23"/>
  <c r="P21" i="23" s="1"/>
  <c r="P20" i="23" s="1"/>
  <c r="G21" i="23"/>
  <c r="O20" i="23"/>
  <c r="K20" i="23"/>
  <c r="J20" i="23"/>
  <c r="I20" i="23"/>
  <c r="G20" i="23"/>
  <c r="F20" i="23"/>
  <c r="E20" i="23"/>
  <c r="D20" i="23"/>
  <c r="C20" i="23"/>
  <c r="H19" i="23"/>
  <c r="P19" i="23" s="1"/>
  <c r="P18" i="23" s="1"/>
  <c r="G19" i="23"/>
  <c r="O18" i="23"/>
  <c r="K18" i="23"/>
  <c r="J18" i="23"/>
  <c r="I18" i="23"/>
  <c r="G18" i="23"/>
  <c r="F18" i="23"/>
  <c r="E18" i="23"/>
  <c r="D18" i="23"/>
  <c r="C18" i="23"/>
  <c r="H17" i="23"/>
  <c r="P17" i="23" s="1"/>
  <c r="G17" i="23"/>
  <c r="H16" i="23"/>
  <c r="G16" i="23"/>
  <c r="G14" i="23" s="1"/>
  <c r="O15" i="23"/>
  <c r="O14" i="23" s="1"/>
  <c r="H15" i="23"/>
  <c r="G15" i="23"/>
  <c r="M15" i="23" s="1"/>
  <c r="K14" i="23"/>
  <c r="J14" i="23"/>
  <c r="J10" i="23" s="1"/>
  <c r="J8" i="23" s="1"/>
  <c r="I14" i="23"/>
  <c r="F14" i="23"/>
  <c r="E14" i="23"/>
  <c r="D14" i="23"/>
  <c r="C14" i="23"/>
  <c r="H13" i="23"/>
  <c r="P13" i="23" s="1"/>
  <c r="G13" i="23"/>
  <c r="H12" i="23"/>
  <c r="P12" i="23" s="1"/>
  <c r="G12" i="23"/>
  <c r="O11" i="23"/>
  <c r="K11" i="23"/>
  <c r="J11" i="23"/>
  <c r="I11" i="23"/>
  <c r="H11" i="23"/>
  <c r="F11" i="23"/>
  <c r="F10" i="23" s="1"/>
  <c r="F8" i="23" s="1"/>
  <c r="E11" i="23"/>
  <c r="D11" i="23"/>
  <c r="C11" i="23"/>
  <c r="K10" i="23"/>
  <c r="K8" i="23" s="1"/>
  <c r="I10" i="23"/>
  <c r="I8" i="23" s="1"/>
  <c r="D10" i="23"/>
  <c r="D8" i="23" s="1"/>
  <c r="H9" i="23"/>
  <c r="P9" i="23" s="1"/>
  <c r="G9" i="23"/>
  <c r="A8" i="23"/>
  <c r="A9" i="23" s="1"/>
  <c r="A10" i="23" s="1"/>
  <c r="A11" i="23" s="1"/>
  <c r="A12" i="23" s="1"/>
  <c r="A13" i="23" s="1"/>
  <c r="A14" i="23" s="1"/>
  <c r="A15" i="23" s="1"/>
  <c r="H7" i="23"/>
  <c r="P7" i="23" s="1"/>
  <c r="G7" i="23"/>
  <c r="K33" i="5"/>
  <c r="J33" i="5"/>
  <c r="L33" i="5" s="1"/>
  <c r="I33" i="5"/>
  <c r="M33" i="5" s="1"/>
  <c r="H33" i="5"/>
  <c r="K31" i="5"/>
  <c r="J31" i="5"/>
  <c r="L31" i="5" s="1"/>
  <c r="I31" i="5"/>
  <c r="H31" i="5"/>
  <c r="K10" i="5"/>
  <c r="J10" i="5"/>
  <c r="I10" i="5"/>
  <c r="M31" i="5"/>
  <c r="M28" i="5"/>
  <c r="L28" i="5"/>
  <c r="M27" i="5"/>
  <c r="M26" i="5" s="1"/>
  <c r="L27" i="5"/>
  <c r="L26" i="5"/>
  <c r="K26" i="5"/>
  <c r="J26" i="5"/>
  <c r="I26" i="5"/>
  <c r="H26" i="5"/>
  <c r="M21" i="5"/>
  <c r="M19" i="5" s="1"/>
  <c r="L21" i="5"/>
  <c r="M20" i="5"/>
  <c r="L20" i="5"/>
  <c r="L19" i="5" s="1"/>
  <c r="K19" i="5"/>
  <c r="J19" i="5"/>
  <c r="I19" i="5"/>
  <c r="H19" i="5"/>
  <c r="M10" i="5"/>
  <c r="S29" i="9"/>
  <c r="O29" i="9"/>
  <c r="R29" i="9"/>
  <c r="P29" i="9"/>
  <c r="N29" i="9"/>
  <c r="L29" i="9"/>
  <c r="K29" i="9"/>
  <c r="J29" i="9"/>
  <c r="I29" i="9"/>
  <c r="H29" i="9"/>
  <c r="G29" i="9"/>
  <c r="L24" i="9"/>
  <c r="S24" i="9" s="1"/>
  <c r="K24" i="9"/>
  <c r="R23" i="9"/>
  <c r="R22" i="9" s="1"/>
  <c r="K23" i="9"/>
  <c r="H23" i="9"/>
  <c r="L23" i="9" s="1"/>
  <c r="S23" i="9" s="1"/>
  <c r="P22" i="9"/>
  <c r="N22" i="9"/>
  <c r="J22" i="9"/>
  <c r="I22" i="9"/>
  <c r="G22" i="9"/>
  <c r="L21" i="9"/>
  <c r="S21" i="9" s="1"/>
  <c r="K21" i="9"/>
  <c r="R20" i="9"/>
  <c r="P20" i="9"/>
  <c r="K20" i="9"/>
  <c r="H20" i="9"/>
  <c r="L20" i="9" s="1"/>
  <c r="L19" i="9"/>
  <c r="S19" i="9" s="1"/>
  <c r="K19" i="9"/>
  <c r="L18" i="9"/>
  <c r="S18" i="9" s="1"/>
  <c r="K18" i="9"/>
  <c r="L17" i="9"/>
  <c r="S17" i="9" s="1"/>
  <c r="K17" i="9"/>
  <c r="L16" i="9"/>
  <c r="S16" i="9" s="1"/>
  <c r="K16" i="9"/>
  <c r="R15" i="9"/>
  <c r="P15" i="9"/>
  <c r="N15" i="9"/>
  <c r="K15" i="9"/>
  <c r="J15" i="9"/>
  <c r="K11" i="5" s="1"/>
  <c r="I15" i="9"/>
  <c r="J11" i="5" s="1"/>
  <c r="G15" i="9"/>
  <c r="L14" i="9"/>
  <c r="S14" i="9" s="1"/>
  <c r="S13" i="9" s="1"/>
  <c r="K14" i="9"/>
  <c r="R13" i="9"/>
  <c r="P13" i="9"/>
  <c r="N13" i="9"/>
  <c r="J13" i="9"/>
  <c r="J7" i="9" s="1"/>
  <c r="J6" i="9" s="1"/>
  <c r="J31" i="9" s="1"/>
  <c r="I13" i="9"/>
  <c r="H13" i="9"/>
  <c r="G13" i="9"/>
  <c r="L12" i="9"/>
  <c r="S12" i="9" s="1"/>
  <c r="K12" i="9"/>
  <c r="O12" i="9" s="1"/>
  <c r="L11" i="9"/>
  <c r="S11" i="9" s="1"/>
  <c r="G11" i="9"/>
  <c r="K11" i="9" s="1"/>
  <c r="L10" i="9"/>
  <c r="S10" i="9" s="1"/>
  <c r="K10" i="9"/>
  <c r="O10" i="9" s="1"/>
  <c r="L9" i="9"/>
  <c r="S9" i="9" s="1"/>
  <c r="G9" i="9"/>
  <c r="K9" i="9" s="1"/>
  <c r="R8" i="9"/>
  <c r="R7" i="9" s="1"/>
  <c r="R6" i="9" s="1"/>
  <c r="R31" i="9" s="1"/>
  <c r="P8" i="9"/>
  <c r="P7" i="9" s="1"/>
  <c r="P6" i="9" s="1"/>
  <c r="P31" i="9" s="1"/>
  <c r="N8" i="9"/>
  <c r="J8" i="9"/>
  <c r="I8" i="9"/>
  <c r="I7" i="9" s="1"/>
  <c r="I6" i="9" s="1"/>
  <c r="I31" i="9" s="1"/>
  <c r="H8" i="9"/>
  <c r="L8" i="9" s="1"/>
  <c r="G8" i="9"/>
  <c r="N7" i="9"/>
  <c r="G7" i="9"/>
  <c r="A7" i="9"/>
  <c r="A8" i="9" s="1"/>
  <c r="A9" i="9" s="1"/>
  <c r="A10" i="9" s="1"/>
  <c r="A11" i="9" s="1"/>
  <c r="A12" i="9" s="1"/>
  <c r="A13" i="9" s="1"/>
  <c r="A14" i="9" s="1"/>
  <c r="A15" i="9" s="1"/>
  <c r="A16" i="9" s="1"/>
  <c r="A17" i="9" s="1"/>
  <c r="A18" i="9" s="1"/>
  <c r="A19" i="9" s="1"/>
  <c r="A20" i="9" s="1"/>
  <c r="A21" i="9" s="1"/>
  <c r="A22" i="9" s="1"/>
  <c r="A23" i="9" s="1"/>
  <c r="A24" i="9" s="1"/>
  <c r="A25" i="9" s="1"/>
  <c r="A26" i="9" s="1"/>
  <c r="A27" i="9" s="1"/>
  <c r="A28" i="9" s="1"/>
  <c r="A29" i="9" s="1"/>
  <c r="A30" i="9" s="1"/>
  <c r="A31" i="9" s="1"/>
  <c r="N6" i="9"/>
  <c r="N31" i="9" s="1"/>
  <c r="G6" i="9"/>
  <c r="G31" i="9" s="1"/>
  <c r="I33" i="6"/>
  <c r="P33" i="6" s="1"/>
  <c r="P32" i="6" s="1"/>
  <c r="H33" i="6"/>
  <c r="G32" i="6"/>
  <c r="F32" i="6"/>
  <c r="E32" i="6"/>
  <c r="D32" i="6"/>
  <c r="I31" i="6"/>
  <c r="P31" i="6" s="1"/>
  <c r="P30" i="6" s="1"/>
  <c r="P29" i="6" s="1"/>
  <c r="H31" i="6"/>
  <c r="H30" i="6" s="1"/>
  <c r="O30" i="6"/>
  <c r="L30" i="6"/>
  <c r="K30" i="6"/>
  <c r="K29" i="6" s="1"/>
  <c r="J30" i="6"/>
  <c r="G30" i="6"/>
  <c r="F30" i="6"/>
  <c r="F29" i="6" s="1"/>
  <c r="J30" i="5" s="1"/>
  <c r="J29" i="5" s="1"/>
  <c r="J25" i="5" s="1"/>
  <c r="E30" i="6"/>
  <c r="E29" i="6" s="1"/>
  <c r="I30" i="5" s="1"/>
  <c r="D30" i="6"/>
  <c r="O29" i="6"/>
  <c r="L29" i="6"/>
  <c r="J29" i="6"/>
  <c r="D29" i="6"/>
  <c r="H30" i="5" s="1"/>
  <c r="I28" i="6"/>
  <c r="I27" i="6" s="1"/>
  <c r="H28" i="6"/>
  <c r="H27" i="6" s="1"/>
  <c r="H26" i="6" s="1"/>
  <c r="O27" i="6"/>
  <c r="O26" i="6" s="1"/>
  <c r="L27" i="6"/>
  <c r="L26" i="6" s="1"/>
  <c r="K27" i="6"/>
  <c r="K26" i="6" s="1"/>
  <c r="J27" i="6"/>
  <c r="J26" i="6" s="1"/>
  <c r="G27" i="6"/>
  <c r="G26" i="6" s="1"/>
  <c r="K23" i="5" s="1"/>
  <c r="F27" i="6"/>
  <c r="F26" i="6" s="1"/>
  <c r="J23" i="5" s="1"/>
  <c r="E27" i="6"/>
  <c r="E26" i="6" s="1"/>
  <c r="I23" i="5" s="1"/>
  <c r="D27" i="6"/>
  <c r="D26" i="6" s="1"/>
  <c r="H23" i="5" s="1"/>
  <c r="I26" i="6"/>
  <c r="I25" i="6"/>
  <c r="P25" i="6" s="1"/>
  <c r="H25" i="6"/>
  <c r="I24" i="6"/>
  <c r="P24" i="6" s="1"/>
  <c r="H24" i="6"/>
  <c r="I23" i="6"/>
  <c r="P23" i="6" s="1"/>
  <c r="H23" i="6"/>
  <c r="I22" i="6"/>
  <c r="P22" i="6" s="1"/>
  <c r="H22" i="6"/>
  <c r="I21" i="6"/>
  <c r="P21" i="6" s="1"/>
  <c r="H21" i="6"/>
  <c r="I20" i="6"/>
  <c r="P20" i="6" s="1"/>
  <c r="H20" i="6"/>
  <c r="I19" i="6"/>
  <c r="P19" i="6" s="1"/>
  <c r="H19" i="6"/>
  <c r="O18" i="6"/>
  <c r="L18" i="6"/>
  <c r="K18" i="6"/>
  <c r="J18" i="6"/>
  <c r="G18" i="6"/>
  <c r="K16" i="5" s="1"/>
  <c r="F18" i="6"/>
  <c r="J16" i="5" s="1"/>
  <c r="E18" i="6"/>
  <c r="I16" i="5" s="1"/>
  <c r="M16" i="5" s="1"/>
  <c r="D18" i="6"/>
  <c r="H16" i="5" s="1"/>
  <c r="I17" i="6"/>
  <c r="P17" i="6" s="1"/>
  <c r="H17" i="6"/>
  <c r="M17" i="6" s="1"/>
  <c r="I16" i="6"/>
  <c r="P16" i="6" s="1"/>
  <c r="H16" i="6"/>
  <c r="I15" i="6"/>
  <c r="P15" i="6" s="1"/>
  <c r="H15" i="6"/>
  <c r="A15" i="6"/>
  <c r="A16" i="6" s="1"/>
  <c r="A17" i="6" s="1"/>
  <c r="A18" i="6" s="1"/>
  <c r="A19" i="6" s="1"/>
  <c r="A20" i="6" s="1"/>
  <c r="A21" i="6" s="1"/>
  <c r="A22" i="6" s="1"/>
  <c r="A23" i="6" s="1"/>
  <c r="A24" i="6" s="1"/>
  <c r="A25" i="6" s="1"/>
  <c r="A26" i="6" s="1"/>
  <c r="A27" i="6" s="1"/>
  <c r="A28" i="6" s="1"/>
  <c r="A29" i="6" s="1"/>
  <c r="A30" i="6" s="1"/>
  <c r="A31" i="6" s="1"/>
  <c r="A32" i="6" s="1"/>
  <c r="A33" i="6" s="1"/>
  <c r="I14" i="6"/>
  <c r="P14" i="6" s="1"/>
  <c r="H14" i="6"/>
  <c r="I13" i="6"/>
  <c r="P13" i="6" s="1"/>
  <c r="H13" i="6"/>
  <c r="I12" i="6"/>
  <c r="P12" i="6" s="1"/>
  <c r="H12" i="6"/>
  <c r="I11" i="6"/>
  <c r="P11" i="6" s="1"/>
  <c r="H11" i="6"/>
  <c r="I10" i="6"/>
  <c r="P10" i="6" s="1"/>
  <c r="H10" i="6"/>
  <c r="I9" i="6"/>
  <c r="P9" i="6" s="1"/>
  <c r="H9" i="6"/>
  <c r="H8" i="6" s="1"/>
  <c r="O8" i="6"/>
  <c r="L8" i="6"/>
  <c r="K8" i="6"/>
  <c r="K7" i="6" s="1"/>
  <c r="J8" i="6"/>
  <c r="J7" i="6" s="1"/>
  <c r="J42" i="6" s="1"/>
  <c r="G8" i="6"/>
  <c r="G7" i="6" s="1"/>
  <c r="F8" i="6"/>
  <c r="J14" i="5" s="1"/>
  <c r="E8" i="6"/>
  <c r="D8" i="6"/>
  <c r="H14" i="5" s="1"/>
  <c r="O7" i="6"/>
  <c r="O42" i="6" s="1"/>
  <c r="L7" i="6"/>
  <c r="F7" i="6"/>
  <c r="A7" i="6"/>
  <c r="A8" i="6" s="1"/>
  <c r="A9" i="6" s="1"/>
  <c r="A10" i="6" s="1"/>
  <c r="A11" i="6" s="1"/>
  <c r="A12" i="6" s="1"/>
  <c r="H45" i="7"/>
  <c r="O45" i="7" s="1"/>
  <c r="G45" i="7"/>
  <c r="L45" i="7" s="1"/>
  <c r="J28" i="23" l="1"/>
  <c r="H18" i="23"/>
  <c r="L18" i="23" s="1"/>
  <c r="H20" i="23"/>
  <c r="L20" i="23" s="1"/>
  <c r="H22" i="23"/>
  <c r="H24" i="23"/>
  <c r="F42" i="6"/>
  <c r="K42" i="6"/>
  <c r="H7" i="9"/>
  <c r="H15" i="9"/>
  <c r="I11" i="5" s="1"/>
  <c r="I9" i="5" s="1"/>
  <c r="L42" i="6"/>
  <c r="H32" i="6"/>
  <c r="H29" i="6" s="1"/>
  <c r="O9" i="9"/>
  <c r="O11" i="9"/>
  <c r="L13" i="9"/>
  <c r="J9" i="5"/>
  <c r="K22" i="9"/>
  <c r="G35" i="23"/>
  <c r="L35" i="23" s="1"/>
  <c r="L44" i="23"/>
  <c r="L43" i="23" s="1"/>
  <c r="L42" i="23" s="1"/>
  <c r="E7" i="6"/>
  <c r="E42" i="6" s="1"/>
  <c r="D7" i="6"/>
  <c r="D42" i="6" s="1"/>
  <c r="L16" i="5"/>
  <c r="I18" i="6"/>
  <c r="I32" i="6"/>
  <c r="K8" i="9"/>
  <c r="K9" i="5"/>
  <c r="H22" i="9"/>
  <c r="L22" i="9" s="1"/>
  <c r="G29" i="23"/>
  <c r="P31" i="23"/>
  <c r="P30" i="23" s="1"/>
  <c r="L22" i="23"/>
  <c r="O10" i="23"/>
  <c r="O8" i="23" s="1"/>
  <c r="O45" i="23" s="1"/>
  <c r="M11" i="5"/>
  <c r="M9" i="5" s="1"/>
  <c r="O14" i="9"/>
  <c r="O13" i="9" s="1"/>
  <c r="O16" i="9"/>
  <c r="O17" i="9"/>
  <c r="O18" i="9"/>
  <c r="O19" i="9"/>
  <c r="O21" i="9"/>
  <c r="O22" i="9"/>
  <c r="O24" i="9"/>
  <c r="H10" i="5"/>
  <c r="H11" i="5"/>
  <c r="L11" i="5" s="1"/>
  <c r="S22" i="9"/>
  <c r="L30" i="5"/>
  <c r="L29" i="5" s="1"/>
  <c r="L25" i="5" s="1"/>
  <c r="H29" i="5"/>
  <c r="H25" i="5" s="1"/>
  <c r="L14" i="5"/>
  <c r="I29" i="5"/>
  <c r="I25" i="5" s="1"/>
  <c r="M10" i="6"/>
  <c r="A34" i="6"/>
  <c r="A35" i="6" s="1"/>
  <c r="M28" i="6"/>
  <c r="M27" i="6" s="1"/>
  <c r="M26" i="6" s="1"/>
  <c r="I14" i="5"/>
  <c r="K14" i="5"/>
  <c r="M21" i="6"/>
  <c r="M22" i="6"/>
  <c r="M23" i="6"/>
  <c r="M25" i="6"/>
  <c r="I30" i="6"/>
  <c r="L23" i="5"/>
  <c r="M23" i="5"/>
  <c r="M11" i="6"/>
  <c r="M13" i="6"/>
  <c r="M15" i="6"/>
  <c r="P8" i="6"/>
  <c r="P18" i="6"/>
  <c r="P28" i="6"/>
  <c r="P27" i="6" s="1"/>
  <c r="P26" i="6" s="1"/>
  <c r="L24" i="23"/>
  <c r="M29" i="23"/>
  <c r="M28" i="23" s="1"/>
  <c r="L12" i="23"/>
  <c r="M13" i="23"/>
  <c r="P15" i="23"/>
  <c r="D30" i="23"/>
  <c r="D29" i="23" s="1"/>
  <c r="D28" i="23" s="1"/>
  <c r="F28" i="23"/>
  <c r="F45" i="23" s="1"/>
  <c r="L33" i="23"/>
  <c r="L34" i="23"/>
  <c r="J45" i="23"/>
  <c r="L9" i="23"/>
  <c r="P11" i="23"/>
  <c r="C10" i="23"/>
  <c r="C8" i="23" s="1"/>
  <c r="E10" i="23"/>
  <c r="E8" i="23" s="1"/>
  <c r="P29" i="23"/>
  <c r="G28" i="23"/>
  <c r="C29" i="23"/>
  <c r="E29" i="23"/>
  <c r="E28" i="23" s="1"/>
  <c r="E45" i="23" s="1"/>
  <c r="I29" i="23"/>
  <c r="K29" i="23"/>
  <c r="K28" i="23" s="1"/>
  <c r="K45" i="23" s="1"/>
  <c r="A17" i="23"/>
  <c r="A18" i="23" s="1"/>
  <c r="A19" i="23" s="1"/>
  <c r="A20" i="23" s="1"/>
  <c r="A21" i="23" s="1"/>
  <c r="A22" i="23" s="1"/>
  <c r="A23" i="23" s="1"/>
  <c r="A24" i="23" s="1"/>
  <c r="A25" i="23" s="1"/>
  <c r="A26" i="23" s="1"/>
  <c r="A27" i="23" s="1"/>
  <c r="A28" i="23" s="1"/>
  <c r="A29" i="23" s="1"/>
  <c r="A30" i="23" s="1"/>
  <c r="A31" i="23" s="1"/>
  <c r="A32" i="23" s="1"/>
  <c r="A33" i="23" s="1"/>
  <c r="A34" i="23" s="1"/>
  <c r="A35" i="23" s="1"/>
  <c r="A36" i="23" s="1"/>
  <c r="A37" i="23" s="1"/>
  <c r="A38" i="23" s="1"/>
  <c r="A39" i="23" s="1"/>
  <c r="A40" i="23" s="1"/>
  <c r="A41" i="23" s="1"/>
  <c r="A42" i="23" s="1"/>
  <c r="A43" i="23" s="1"/>
  <c r="A44" i="23" s="1"/>
  <c r="A45" i="23" s="1"/>
  <c r="A16" i="23"/>
  <c r="D45" i="23"/>
  <c r="M7" i="23"/>
  <c r="M9" i="23"/>
  <c r="M12" i="23"/>
  <c r="M11" i="23" s="1"/>
  <c r="L13" i="23"/>
  <c r="L15" i="23"/>
  <c r="P16" i="23"/>
  <c r="H14" i="23"/>
  <c r="H10" i="23" s="1"/>
  <c r="H8" i="23" s="1"/>
  <c r="P40" i="23"/>
  <c r="P39" i="23" s="1"/>
  <c r="P38" i="23" s="1"/>
  <c r="P37" i="23" s="1"/>
  <c r="P28" i="23" s="1"/>
  <c r="H39" i="23"/>
  <c r="H38" i="23" s="1"/>
  <c r="H37" i="23" s="1"/>
  <c r="L37" i="23" s="1"/>
  <c r="L7" i="23"/>
  <c r="G11" i="23"/>
  <c r="L16" i="23"/>
  <c r="M16" i="23"/>
  <c r="L17" i="23"/>
  <c r="M17" i="23"/>
  <c r="L19" i="23"/>
  <c r="M19" i="23"/>
  <c r="M18" i="23" s="1"/>
  <c r="L21" i="23"/>
  <c r="M21" i="23"/>
  <c r="M20" i="23" s="1"/>
  <c r="L23" i="23"/>
  <c r="M23" i="23"/>
  <c r="M22" i="23" s="1"/>
  <c r="L25" i="23"/>
  <c r="M25" i="23"/>
  <c r="M24" i="23" s="1"/>
  <c r="H30" i="23"/>
  <c r="H29" i="23" s="1"/>
  <c r="L31" i="23"/>
  <c r="L32" i="23"/>
  <c r="C28" i="23"/>
  <c r="C45" i="23" s="1"/>
  <c r="I28" i="23"/>
  <c r="I45" i="23" s="1"/>
  <c r="L36" i="23"/>
  <c r="L38" i="23"/>
  <c r="L40" i="23"/>
  <c r="L41" i="23"/>
  <c r="O23" i="9"/>
  <c r="K13" i="9"/>
  <c r="L7" i="9"/>
  <c r="S8" i="9"/>
  <c r="S7" i="9" s="1"/>
  <c r="S20" i="9"/>
  <c r="S15" i="9" s="1"/>
  <c r="L15" i="9"/>
  <c r="O8" i="9"/>
  <c r="O7" i="9" s="1"/>
  <c r="K7" i="9"/>
  <c r="K6" i="9" s="1"/>
  <c r="K31" i="9" s="1"/>
  <c r="O20" i="9"/>
  <c r="O15" i="9" s="1"/>
  <c r="M9" i="6"/>
  <c r="I29" i="6"/>
  <c r="I8" i="6"/>
  <c r="I7" i="6" s="1"/>
  <c r="M12" i="6"/>
  <c r="M14" i="6"/>
  <c r="M16" i="6"/>
  <c r="H18" i="6"/>
  <c r="H7" i="6" s="1"/>
  <c r="M19" i="6"/>
  <c r="M20" i="6"/>
  <c r="M24" i="6"/>
  <c r="G29" i="6"/>
  <c r="K30" i="5" s="1"/>
  <c r="K29" i="5" s="1"/>
  <c r="K25" i="5" s="1"/>
  <c r="M31" i="6"/>
  <c r="M30" i="6" s="1"/>
  <c r="M29" i="6" s="1"/>
  <c r="H44" i="7"/>
  <c r="O44" i="7" s="1"/>
  <c r="G44" i="7"/>
  <c r="H43" i="7"/>
  <c r="O43" i="7" s="1"/>
  <c r="O42" i="7" s="1"/>
  <c r="G43" i="7"/>
  <c r="N42" i="7"/>
  <c r="K42" i="7"/>
  <c r="J42" i="7"/>
  <c r="H42" i="7"/>
  <c r="F42" i="7"/>
  <c r="E42" i="7"/>
  <c r="D42" i="7"/>
  <c r="C42" i="7"/>
  <c r="H41" i="7"/>
  <c r="O41" i="7" s="1"/>
  <c r="G41" i="7"/>
  <c r="H40" i="7"/>
  <c r="H39" i="7" s="1"/>
  <c r="G40" i="7"/>
  <c r="G39" i="7" s="1"/>
  <c r="N39" i="7"/>
  <c r="N38" i="7" s="1"/>
  <c r="K39" i="7"/>
  <c r="K38" i="7" s="1"/>
  <c r="J39" i="7"/>
  <c r="I39" i="7"/>
  <c r="F39" i="7"/>
  <c r="E39" i="7"/>
  <c r="D39" i="7"/>
  <c r="C39" i="7"/>
  <c r="J38" i="7"/>
  <c r="O37" i="7"/>
  <c r="H36" i="7"/>
  <c r="O36" i="7" s="1"/>
  <c r="G36" i="7"/>
  <c r="G35" i="7" s="1"/>
  <c r="O35" i="7"/>
  <c r="N35" i="7"/>
  <c r="K35" i="7"/>
  <c r="J35" i="7"/>
  <c r="I35" i="7"/>
  <c r="F35" i="7"/>
  <c r="E35" i="7"/>
  <c r="D35" i="7"/>
  <c r="C35" i="7"/>
  <c r="H34" i="7"/>
  <c r="O34" i="7" s="1"/>
  <c r="G34" i="7"/>
  <c r="G33" i="7" s="1"/>
  <c r="O33" i="7"/>
  <c r="N33" i="7"/>
  <c r="K33" i="7"/>
  <c r="J33" i="7"/>
  <c r="I33" i="7"/>
  <c r="F33" i="7"/>
  <c r="E33" i="7"/>
  <c r="D33" i="7"/>
  <c r="C33" i="7"/>
  <c r="H32" i="7"/>
  <c r="O32" i="7" s="1"/>
  <c r="G32" i="7"/>
  <c r="G31" i="7" s="1"/>
  <c r="O31" i="7"/>
  <c r="N31" i="7"/>
  <c r="K31" i="7"/>
  <c r="J31" i="7"/>
  <c r="I31" i="7"/>
  <c r="I24" i="7" s="1"/>
  <c r="F31" i="7"/>
  <c r="E31" i="7"/>
  <c r="D31" i="7"/>
  <c r="C31" i="7"/>
  <c r="H30" i="7"/>
  <c r="O30" i="7" s="1"/>
  <c r="G30" i="7"/>
  <c r="H29" i="7"/>
  <c r="H28" i="7" s="1"/>
  <c r="G29" i="7"/>
  <c r="G28" i="7" s="1"/>
  <c r="N28" i="7"/>
  <c r="K28" i="7"/>
  <c r="J28" i="7"/>
  <c r="I28" i="7"/>
  <c r="F28" i="7"/>
  <c r="E28" i="7"/>
  <c r="D28" i="7"/>
  <c r="C28" i="7"/>
  <c r="H27" i="7"/>
  <c r="O27" i="7" s="1"/>
  <c r="G27" i="7"/>
  <c r="H26" i="7"/>
  <c r="O26" i="7" s="1"/>
  <c r="G26" i="7"/>
  <c r="G25" i="7" s="1"/>
  <c r="N25" i="7"/>
  <c r="N24" i="7" s="1"/>
  <c r="K25" i="7"/>
  <c r="J25" i="7"/>
  <c r="J24" i="7" s="1"/>
  <c r="I25" i="7"/>
  <c r="F25" i="7"/>
  <c r="E25" i="7"/>
  <c r="E24" i="7" s="1"/>
  <c r="J24" i="5" s="1"/>
  <c r="J22" i="5" s="1"/>
  <c r="J18" i="5" s="1"/>
  <c r="D25" i="7"/>
  <c r="C25" i="7"/>
  <c r="C24" i="7" s="1"/>
  <c r="H24" i="5" s="1"/>
  <c r="K24" i="7"/>
  <c r="H23" i="7"/>
  <c r="O23" i="7" s="1"/>
  <c r="G23" i="7"/>
  <c r="H22" i="7"/>
  <c r="O22" i="7" s="1"/>
  <c r="G22" i="7"/>
  <c r="H21" i="7"/>
  <c r="O21" i="7" s="1"/>
  <c r="G21" i="7"/>
  <c r="H20" i="7"/>
  <c r="O20" i="7" s="1"/>
  <c r="G20" i="7"/>
  <c r="H19" i="7"/>
  <c r="O19" i="7" s="1"/>
  <c r="G19" i="7"/>
  <c r="H18" i="7"/>
  <c r="O18" i="7" s="1"/>
  <c r="G18" i="7"/>
  <c r="H17" i="7"/>
  <c r="O17" i="7" s="1"/>
  <c r="G17" i="7"/>
  <c r="N16" i="7"/>
  <c r="N14" i="7" s="1"/>
  <c r="K16" i="7"/>
  <c r="K14" i="7" s="1"/>
  <c r="J16" i="7"/>
  <c r="J14" i="7" s="1"/>
  <c r="F16" i="7"/>
  <c r="F14" i="7" s="1"/>
  <c r="E16" i="7"/>
  <c r="E14" i="7" s="1"/>
  <c r="D16" i="7"/>
  <c r="D14" i="7" s="1"/>
  <c r="C16" i="7"/>
  <c r="G16" i="7" s="1"/>
  <c r="H15" i="7"/>
  <c r="O15" i="7" s="1"/>
  <c r="G15" i="7"/>
  <c r="G14" i="7"/>
  <c r="H13" i="7"/>
  <c r="O13" i="7" s="1"/>
  <c r="G13" i="7"/>
  <c r="H12" i="7"/>
  <c r="O12" i="7" s="1"/>
  <c r="G12" i="7"/>
  <c r="K11" i="7"/>
  <c r="J11" i="7"/>
  <c r="J8" i="7" s="1"/>
  <c r="I11" i="7"/>
  <c r="F11" i="7"/>
  <c r="F8" i="7" s="1"/>
  <c r="F7" i="7" s="1"/>
  <c r="K17" i="5" s="1"/>
  <c r="E11" i="7"/>
  <c r="D11" i="7"/>
  <c r="H11" i="7" s="1"/>
  <c r="C11" i="7"/>
  <c r="G11" i="7" s="1"/>
  <c r="H10" i="7"/>
  <c r="O10" i="7" s="1"/>
  <c r="G10" i="7"/>
  <c r="H9" i="7"/>
  <c r="O9" i="7" s="1"/>
  <c r="G9" i="7"/>
  <c r="K8" i="7"/>
  <c r="K7" i="7" s="1"/>
  <c r="K46" i="7" s="1"/>
  <c r="E8" i="7"/>
  <c r="E7" i="7" s="1"/>
  <c r="C8" i="7"/>
  <c r="A8" i="7"/>
  <c r="A9" i="7" s="1"/>
  <c r="A10" i="7" s="1"/>
  <c r="A11" i="7" s="1"/>
  <c r="A12" i="7" s="1"/>
  <c r="A13" i="7" s="1"/>
  <c r="A14" i="7" s="1"/>
  <c r="A15" i="7" s="1"/>
  <c r="A16" i="7" s="1"/>
  <c r="A17" i="7" s="1"/>
  <c r="A18" i="7" s="1"/>
  <c r="A19" i="7" s="1"/>
  <c r="A20" i="7" s="1"/>
  <c r="A21" i="7" s="1"/>
  <c r="A22" i="7" s="1"/>
  <c r="A23" i="7" s="1"/>
  <c r="A24" i="7" s="1"/>
  <c r="A25" i="7" s="1"/>
  <c r="A26" i="7" s="1"/>
  <c r="A27" i="7" s="1"/>
  <c r="A28" i="7" s="1"/>
  <c r="A29" i="7" s="1"/>
  <c r="A30" i="7" s="1"/>
  <c r="A31" i="7" s="1"/>
  <c r="A32" i="7" s="1"/>
  <c r="A33" i="7" s="1"/>
  <c r="A34" i="7" s="1"/>
  <c r="A35" i="7" s="1"/>
  <c r="A36" i="7" s="1"/>
  <c r="A37" i="7" s="1"/>
  <c r="A38" i="7" s="1"/>
  <c r="A39" i="7" s="1"/>
  <c r="A40" i="7" s="1"/>
  <c r="N7" i="7"/>
  <c r="I7" i="7"/>
  <c r="D22" i="20"/>
  <c r="C22" i="20"/>
  <c r="E22" i="20" s="1"/>
  <c r="D21" i="20"/>
  <c r="C21" i="20"/>
  <c r="E21" i="20" s="1"/>
  <c r="D20" i="20"/>
  <c r="C20" i="20"/>
  <c r="E20" i="20" s="1"/>
  <c r="D19" i="20"/>
  <c r="D23" i="20" s="1"/>
  <c r="C19" i="20"/>
  <c r="C23" i="20" s="1"/>
  <c r="D18" i="20"/>
  <c r="C18" i="20"/>
  <c r="E18" i="20" s="1"/>
  <c r="E17" i="20"/>
  <c r="E16" i="20"/>
  <c r="E15" i="20"/>
  <c r="E14" i="20"/>
  <c r="D13" i="20"/>
  <c r="C13" i="20"/>
  <c r="E13" i="20" s="1"/>
  <c r="E12" i="20"/>
  <c r="E11" i="20"/>
  <c r="E10" i="20"/>
  <c r="E9" i="20"/>
  <c r="D8" i="20"/>
  <c r="C8" i="20"/>
  <c r="E7" i="20"/>
  <c r="E6" i="20"/>
  <c r="E5" i="20"/>
  <c r="E4" i="20"/>
  <c r="L24" i="5" l="1"/>
  <c r="N46" i="7"/>
  <c r="H8" i="7"/>
  <c r="J7" i="7"/>
  <c r="J46" i="7" s="1"/>
  <c r="L18" i="7"/>
  <c r="L20" i="7"/>
  <c r="L22" i="7"/>
  <c r="F24" i="7"/>
  <c r="K24" i="5" s="1"/>
  <c r="K22" i="5" s="1"/>
  <c r="K18" i="5" s="1"/>
  <c r="L30" i="7"/>
  <c r="C38" i="7"/>
  <c r="H34" i="5" s="1"/>
  <c r="H32" i="5" s="1"/>
  <c r="L39" i="23"/>
  <c r="P14" i="23"/>
  <c r="P10" i="23" s="1"/>
  <c r="P8" i="23" s="1"/>
  <c r="E8" i="20"/>
  <c r="I46" i="7"/>
  <c r="C14" i="7"/>
  <c r="C7" i="7" s="1"/>
  <c r="H17" i="5" s="1"/>
  <c r="H25" i="7"/>
  <c r="H24" i="7" s="1"/>
  <c r="D8" i="7"/>
  <c r="D7" i="7" s="1"/>
  <c r="I17" i="5" s="1"/>
  <c r="M17" i="5" s="1"/>
  <c r="L21" i="7"/>
  <c r="D24" i="7"/>
  <c r="I24" i="5" s="1"/>
  <c r="I22" i="5" s="1"/>
  <c r="I18" i="5" s="1"/>
  <c r="G24" i="7"/>
  <c r="H31" i="7"/>
  <c r="H33" i="7"/>
  <c r="H35" i="7"/>
  <c r="E38" i="7"/>
  <c r="J34" i="5" s="1"/>
  <c r="J32" i="5" s="1"/>
  <c r="H38" i="7"/>
  <c r="S6" i="9"/>
  <c r="S31" i="9" s="1"/>
  <c r="H6" i="9"/>
  <c r="H31" i="9" s="1"/>
  <c r="L10" i="5"/>
  <c r="L9" i="5" s="1"/>
  <c r="H9" i="5"/>
  <c r="O11" i="7"/>
  <c r="O25" i="7"/>
  <c r="L34" i="5"/>
  <c r="L32" i="5" s="1"/>
  <c r="L22" i="5"/>
  <c r="L18" i="5" s="1"/>
  <c r="J17" i="5"/>
  <c r="L17" i="5"/>
  <c r="L11" i="7"/>
  <c r="L12" i="7"/>
  <c r="L13" i="7"/>
  <c r="L15" i="7"/>
  <c r="L27" i="7"/>
  <c r="L40" i="7"/>
  <c r="L39" i="7" s="1"/>
  <c r="L41" i="7"/>
  <c r="L43" i="7"/>
  <c r="H22" i="5"/>
  <c r="H18" i="5" s="1"/>
  <c r="G42" i="6"/>
  <c r="A36" i="6"/>
  <c r="A37" i="6" s="1"/>
  <c r="M30" i="5"/>
  <c r="M29" i="5" s="1"/>
  <c r="M25" i="5" s="1"/>
  <c r="M14" i="5"/>
  <c r="P7" i="6"/>
  <c r="P42" i="6" s="1"/>
  <c r="P45" i="23"/>
  <c r="H28" i="23"/>
  <c r="H45" i="23" s="1"/>
  <c r="L29" i="23"/>
  <c r="L28" i="23" s="1"/>
  <c r="L30" i="23"/>
  <c r="M14" i="23"/>
  <c r="G10" i="23"/>
  <c r="L11" i="23"/>
  <c r="L14" i="23"/>
  <c r="M10" i="23"/>
  <c r="M8" i="23" s="1"/>
  <c r="M45" i="23" s="1"/>
  <c r="O6" i="9"/>
  <c r="O31" i="9" s="1"/>
  <c r="L6" i="9"/>
  <c r="L31" i="9" s="1"/>
  <c r="M18" i="6"/>
  <c r="H42" i="6"/>
  <c r="I42" i="6"/>
  <c r="M8" i="6"/>
  <c r="O8" i="7"/>
  <c r="G42" i="7"/>
  <c r="G38" i="7" s="1"/>
  <c r="G8" i="7"/>
  <c r="G7" i="7" s="1"/>
  <c r="L17" i="7"/>
  <c r="O40" i="7"/>
  <c r="O39" i="7" s="1"/>
  <c r="O38" i="7" s="1"/>
  <c r="D38" i="7"/>
  <c r="F38" i="7"/>
  <c r="A41" i="7"/>
  <c r="A42" i="7"/>
  <c r="A43" i="7" s="1"/>
  <c r="A44" i="7" s="1"/>
  <c r="L10" i="7"/>
  <c r="O16" i="7"/>
  <c r="O14" i="7" s="1"/>
  <c r="L26" i="7"/>
  <c r="L25" i="7" s="1"/>
  <c r="L34" i="7"/>
  <c r="L33" i="7" s="1"/>
  <c r="L9" i="7"/>
  <c r="L8" i="7" s="1"/>
  <c r="N11" i="7"/>
  <c r="H16" i="7"/>
  <c r="H14" i="7" s="1"/>
  <c r="H7" i="7" s="1"/>
  <c r="H46" i="7" s="1"/>
  <c r="L19" i="7"/>
  <c r="L23" i="7"/>
  <c r="L29" i="7"/>
  <c r="L28" i="7" s="1"/>
  <c r="O29" i="7"/>
  <c r="O28" i="7" s="1"/>
  <c r="O24" i="7" s="1"/>
  <c r="L32" i="7"/>
  <c r="L31" i="7" s="1"/>
  <c r="L36" i="7"/>
  <c r="L35" i="7" s="1"/>
  <c r="L44" i="7"/>
  <c r="L42" i="7"/>
  <c r="E19" i="20"/>
  <c r="E23" i="20" s="1"/>
  <c r="O7" i="7" l="1"/>
  <c r="G46" i="7"/>
  <c r="E46" i="7"/>
  <c r="L16" i="7"/>
  <c r="C46" i="7"/>
  <c r="M24" i="5"/>
  <c r="M22" i="5" s="1"/>
  <c r="M18" i="5" s="1"/>
  <c r="A45" i="7"/>
  <c r="A46" i="7" s="1"/>
  <c r="F46" i="7"/>
  <c r="K34" i="5"/>
  <c r="K32" i="5" s="1"/>
  <c r="D46" i="7"/>
  <c r="I34" i="5"/>
  <c r="A38" i="6"/>
  <c r="A39" i="6" s="1"/>
  <c r="A40" i="6" s="1"/>
  <c r="A41" i="6" s="1"/>
  <c r="A42" i="6" s="1"/>
  <c r="M7" i="6"/>
  <c r="M42" i="6" s="1"/>
  <c r="G8" i="23"/>
  <c r="L10" i="23"/>
  <c r="L14" i="7"/>
  <c r="O46" i="7"/>
  <c r="L38" i="7"/>
  <c r="L37" i="7" s="1"/>
  <c r="L24" i="7"/>
  <c r="L7" i="7"/>
  <c r="M34" i="5" l="1"/>
  <c r="M32" i="5" s="1"/>
  <c r="I32" i="5"/>
  <c r="L8" i="23"/>
  <c r="L45" i="23" s="1"/>
  <c r="G45" i="23"/>
  <c r="L46" i="7"/>
  <c r="E20" i="34" l="1"/>
  <c r="E19" i="34"/>
  <c r="E18" i="34"/>
  <c r="D17" i="34"/>
  <c r="C17" i="34"/>
  <c r="D16" i="34"/>
  <c r="E16" i="34" s="1"/>
  <c r="C16" i="34"/>
  <c r="E15" i="34"/>
  <c r="E14" i="34"/>
  <c r="E13" i="34"/>
  <c r="E12" i="34"/>
  <c r="C11" i="34"/>
  <c r="D10" i="34"/>
  <c r="C10" i="34"/>
  <c r="C5" i="34" s="1"/>
  <c r="E9" i="34"/>
  <c r="E8" i="34"/>
  <c r="E7" i="34"/>
  <c r="E6" i="34"/>
  <c r="E11" i="33"/>
  <c r="E10" i="33"/>
  <c r="E9" i="33"/>
  <c r="E8" i="33"/>
  <c r="E7" i="33"/>
  <c r="E6" i="33"/>
  <c r="D5" i="33"/>
  <c r="C5" i="33"/>
  <c r="E5" i="33" s="1"/>
  <c r="E10" i="32"/>
  <c r="E9" i="32"/>
  <c r="E8" i="32"/>
  <c r="D7" i="32"/>
  <c r="E7" i="32" s="1"/>
  <c r="C7" i="32"/>
  <c r="E6" i="32"/>
  <c r="D5" i="32"/>
  <c r="C5" i="32"/>
  <c r="E5" i="32" s="1"/>
  <c r="G23" i="31"/>
  <c r="F23" i="31"/>
  <c r="G22" i="31"/>
  <c r="F22" i="31"/>
  <c r="G21" i="31"/>
  <c r="F21" i="31"/>
  <c r="G20" i="31"/>
  <c r="F20" i="31"/>
  <c r="G19" i="31"/>
  <c r="F19" i="31"/>
  <c r="G18" i="31"/>
  <c r="F18" i="31"/>
  <c r="G17" i="31"/>
  <c r="F17" i="31"/>
  <c r="G16" i="31"/>
  <c r="F16" i="31"/>
  <c r="G15" i="31"/>
  <c r="F15" i="31"/>
  <c r="G14" i="31"/>
  <c r="F14" i="31"/>
  <c r="F13" i="31" s="1"/>
  <c r="E13" i="31"/>
  <c r="D13" i="31"/>
  <c r="C13" i="31"/>
  <c r="G12" i="31"/>
  <c r="F12" i="31"/>
  <c r="G11" i="31"/>
  <c r="F11" i="31"/>
  <c r="G10" i="31"/>
  <c r="F10" i="31"/>
  <c r="G9" i="31"/>
  <c r="F9" i="31"/>
  <c r="G8" i="31"/>
  <c r="F8" i="31"/>
  <c r="F7" i="31" s="1"/>
  <c r="E7" i="31"/>
  <c r="D7" i="31"/>
  <c r="C7" i="31"/>
  <c r="L28" i="14"/>
  <c r="N28" i="14" s="1"/>
  <c r="I28" i="14"/>
  <c r="M28" i="14" s="1"/>
  <c r="L9" i="14"/>
  <c r="N9" i="14" s="1"/>
  <c r="I9" i="14"/>
  <c r="M9" i="14" s="1"/>
  <c r="Z13" i="12"/>
  <c r="Y13" i="12"/>
  <c r="Z12" i="12"/>
  <c r="Y12" i="12"/>
  <c r="Z11" i="12"/>
  <c r="Y11" i="12"/>
  <c r="Z10" i="12"/>
  <c r="Y10" i="12"/>
  <c r="Z9" i="12"/>
  <c r="Y9" i="12"/>
  <c r="E10" i="34" l="1"/>
  <c r="E17" i="34"/>
  <c r="G13" i="31"/>
  <c r="G7" i="31"/>
  <c r="D5" i="34"/>
  <c r="E5" i="34" s="1"/>
  <c r="D11" i="34"/>
  <c r="E11" i="34" s="1"/>
  <c r="E118" i="4" l="1"/>
  <c r="E114" i="4"/>
  <c r="E113" i="4"/>
  <c r="E112" i="4"/>
  <c r="E111" i="4"/>
  <c r="E110" i="4"/>
  <c r="E109" i="4"/>
  <c r="E108" i="4"/>
  <c r="E107" i="4"/>
  <c r="E106" i="4"/>
  <c r="E105" i="4"/>
  <c r="E104" i="4"/>
  <c r="F102" i="4"/>
  <c r="F115" i="4" s="1"/>
  <c r="E102" i="4"/>
  <c r="E115" i="4" s="1"/>
  <c r="D102" i="4"/>
  <c r="D115" i="4" s="1"/>
  <c r="C102" i="4"/>
  <c r="C115" i="4" s="1"/>
  <c r="E99" i="4"/>
  <c r="E98" i="4"/>
  <c r="E97" i="4"/>
  <c r="E96" i="4"/>
  <c r="E95" i="4"/>
  <c r="E94" i="4"/>
  <c r="E93" i="4"/>
  <c r="E92" i="4"/>
  <c r="E91" i="4"/>
  <c r="E90" i="4"/>
  <c r="E89" i="4"/>
  <c r="E88" i="4"/>
  <c r="E87" i="4"/>
  <c r="F86" i="4"/>
  <c r="F100" i="4" s="1"/>
  <c r="D86" i="4"/>
  <c r="C86" i="4"/>
  <c r="E85" i="4"/>
  <c r="E84" i="4"/>
  <c r="E83" i="4"/>
  <c r="E82" i="4"/>
  <c r="E81" i="4"/>
  <c r="E80" i="4"/>
  <c r="E79" i="4"/>
  <c r="E78" i="4"/>
  <c r="E77" i="4"/>
  <c r="E76" i="4"/>
  <c r="E75" i="4" s="1"/>
  <c r="F75" i="4"/>
  <c r="D75" i="4"/>
  <c r="C75" i="4"/>
  <c r="E74" i="4"/>
  <c r="E73" i="4"/>
  <c r="E72" i="4"/>
  <c r="E71" i="4"/>
  <c r="E69" i="4" s="1"/>
  <c r="E70" i="4"/>
  <c r="F69" i="4"/>
  <c r="D69" i="4"/>
  <c r="C69" i="4"/>
  <c r="E68" i="4"/>
  <c r="E67" i="4"/>
  <c r="E66" i="4"/>
  <c r="E65" i="4"/>
  <c r="E64" i="4"/>
  <c r="E63" i="4"/>
  <c r="E62" i="4"/>
  <c r="E61" i="4" s="1"/>
  <c r="F61" i="4"/>
  <c r="D61" i="4"/>
  <c r="C61" i="4"/>
  <c r="E58" i="4"/>
  <c r="E57" i="4"/>
  <c r="E56" i="4"/>
  <c r="E55" i="4"/>
  <c r="E54" i="4"/>
  <c r="E53" i="4"/>
  <c r="E52" i="4"/>
  <c r="E51" i="4"/>
  <c r="E50" i="4"/>
  <c r="E49" i="4"/>
  <c r="E48" i="4"/>
  <c r="E46" i="4"/>
  <c r="E45" i="4"/>
  <c r="E44" i="4"/>
  <c r="E42" i="4"/>
  <c r="E41" i="4" s="1"/>
  <c r="F41" i="4"/>
  <c r="F59" i="4" s="1"/>
  <c r="D41" i="4"/>
  <c r="C41" i="4"/>
  <c r="E39" i="4"/>
  <c r="E37" i="4"/>
  <c r="E36" i="4"/>
  <c r="E35" i="4"/>
  <c r="E34" i="4"/>
  <c r="D34" i="4"/>
  <c r="C34" i="4"/>
  <c r="E33" i="4"/>
  <c r="E32" i="4"/>
  <c r="E31" i="4"/>
  <c r="E29" i="4"/>
  <c r="E28" i="4"/>
  <c r="E27" i="4"/>
  <c r="E24" i="4"/>
  <c r="E23" i="4"/>
  <c r="E22" i="4"/>
  <c r="E21" i="4"/>
  <c r="E20" i="4"/>
  <c r="E19" i="4"/>
  <c r="E18" i="4"/>
  <c r="E17" i="4"/>
  <c r="D17" i="4"/>
  <c r="C17" i="4"/>
  <c r="E16" i="4"/>
  <c r="E15" i="4"/>
  <c r="E14" i="4"/>
  <c r="E13" i="4"/>
  <c r="D12" i="4"/>
  <c r="C12" i="4"/>
  <c r="E11" i="4"/>
  <c r="E10" i="4"/>
  <c r="E9" i="4"/>
  <c r="E8" i="4"/>
  <c r="E7" i="4" s="1"/>
  <c r="D7" i="4"/>
  <c r="C7" i="4"/>
  <c r="E6" i="4"/>
  <c r="E5" i="4"/>
  <c r="D11" i="3"/>
  <c r="E84" i="44"/>
  <c r="D84" i="44"/>
  <c r="E80" i="44"/>
  <c r="D80" i="44"/>
  <c r="E72" i="44"/>
  <c r="D72" i="44"/>
  <c r="E64" i="44"/>
  <c r="D64" i="44"/>
  <c r="E59" i="44"/>
  <c r="D59" i="44"/>
  <c r="E54" i="44"/>
  <c r="D54" i="44"/>
  <c r="E50" i="44"/>
  <c r="E86" i="44" s="1"/>
  <c r="D50" i="44"/>
  <c r="D86" i="44" s="1"/>
  <c r="E46" i="44"/>
  <c r="D46" i="44"/>
  <c r="E43" i="44"/>
  <c r="D43" i="44"/>
  <c r="D42" i="44"/>
  <c r="D40" i="44"/>
  <c r="D39" i="44"/>
  <c r="D38" i="44"/>
  <c r="D36" i="44" s="1"/>
  <c r="E36" i="44"/>
  <c r="D34" i="44"/>
  <c r="D33" i="44"/>
  <c r="D32" i="44"/>
  <c r="D30" i="44"/>
  <c r="D29" i="44"/>
  <c r="D28" i="44"/>
  <c r="D27" i="44" s="1"/>
  <c r="E27" i="44"/>
  <c r="D25" i="44"/>
  <c r="D24" i="44"/>
  <c r="D23" i="44" s="1"/>
  <c r="E23" i="44"/>
  <c r="D22" i="44"/>
  <c r="D20" i="44"/>
  <c r="D17" i="44" s="1"/>
  <c r="E17" i="44"/>
  <c r="E12" i="44"/>
  <c r="D12" i="44"/>
  <c r="E7" i="44"/>
  <c r="D7" i="44"/>
  <c r="D48" i="44" l="1"/>
  <c r="E12" i="4"/>
  <c r="E59" i="4" s="1"/>
  <c r="D59" i="4"/>
  <c r="C100" i="4"/>
  <c r="C117" i="4" s="1"/>
  <c r="E86" i="4"/>
  <c r="E48" i="44"/>
  <c r="D100" i="4"/>
  <c r="C59" i="4"/>
  <c r="E100" i="4"/>
  <c r="D117" i="4"/>
  <c r="D87" i="44"/>
  <c r="E87" i="44"/>
  <c r="E89" i="44" s="1"/>
  <c r="E117" i="4" l="1"/>
  <c r="D91" i="44"/>
  <c r="D89" i="44"/>
  <c r="D92" i="44" s="1"/>
  <c r="E89" i="43" l="1"/>
  <c r="D89" i="43"/>
  <c r="D92" i="43" s="1"/>
  <c r="E88" i="43"/>
  <c r="D85" i="43"/>
  <c r="E84" i="43"/>
  <c r="D84" i="43"/>
  <c r="E80" i="43"/>
  <c r="D80" i="43"/>
  <c r="D77" i="43"/>
  <c r="D73" i="43"/>
  <c r="D72" i="43" s="1"/>
  <c r="E72" i="43"/>
  <c r="E71" i="43"/>
  <c r="D71" i="43"/>
  <c r="D64" i="43" s="1"/>
  <c r="D68" i="43"/>
  <c r="E64" i="43"/>
  <c r="E59" i="43"/>
  <c r="D59" i="43"/>
  <c r="E54" i="43"/>
  <c r="D54" i="43"/>
  <c r="E52" i="43"/>
  <c r="E50" i="43" s="1"/>
  <c r="E86" i="43" s="1"/>
  <c r="D52" i="43"/>
  <c r="D50" i="43"/>
  <c r="E46" i="43"/>
  <c r="D46" i="43"/>
  <c r="E43" i="43"/>
  <c r="D43" i="43"/>
  <c r="D41" i="43"/>
  <c r="D36" i="43" s="1"/>
  <c r="D37" i="43"/>
  <c r="E36" i="43"/>
  <c r="E35" i="43"/>
  <c r="E27" i="43" s="1"/>
  <c r="D35" i="43"/>
  <c r="D31" i="43"/>
  <c r="D27" i="43"/>
  <c r="D26" i="43"/>
  <c r="E23" i="43"/>
  <c r="D23" i="43"/>
  <c r="D21" i="43"/>
  <c r="E19" i="43"/>
  <c r="D19" i="43"/>
  <c r="E18" i="43"/>
  <c r="E17" i="43" s="1"/>
  <c r="D18" i="43"/>
  <c r="D17" i="43" s="1"/>
  <c r="E16" i="43"/>
  <c r="D16" i="43"/>
  <c r="D15" i="43"/>
  <c r="D14" i="43"/>
  <c r="E13" i="43"/>
  <c r="E12" i="43" s="1"/>
  <c r="D13" i="43"/>
  <c r="D12" i="43" s="1"/>
  <c r="E9" i="43"/>
  <c r="D9" i="43"/>
  <c r="E8" i="43"/>
  <c r="D8" i="43"/>
  <c r="E7" i="43"/>
  <c r="D7" i="43"/>
  <c r="E84" i="2"/>
  <c r="D84" i="2"/>
  <c r="E80" i="2"/>
  <c r="D80" i="2"/>
  <c r="E72" i="2"/>
  <c r="D72" i="2"/>
  <c r="E64" i="2"/>
  <c r="D64" i="2"/>
  <c r="E59" i="2"/>
  <c r="D59" i="2"/>
  <c r="E54" i="2"/>
  <c r="D54" i="2"/>
  <c r="E50" i="2"/>
  <c r="D50" i="2"/>
  <c r="E46" i="2"/>
  <c r="D46" i="2"/>
  <c r="E43" i="2"/>
  <c r="D43" i="2"/>
  <c r="E36" i="2"/>
  <c r="D36" i="2"/>
  <c r="E27" i="2"/>
  <c r="D27" i="2"/>
  <c r="E23" i="2"/>
  <c r="D23" i="2"/>
  <c r="E17" i="2"/>
  <c r="D17" i="2"/>
  <c r="E12" i="2"/>
  <c r="D12" i="2"/>
  <c r="E7" i="2"/>
  <c r="D7" i="2"/>
  <c r="E137" i="1"/>
  <c r="D137" i="1"/>
  <c r="E113" i="1"/>
  <c r="D113" i="1"/>
  <c r="E105" i="1"/>
  <c r="E102" i="1" s="1"/>
  <c r="D105" i="1"/>
  <c r="D102" i="1" s="1"/>
  <c r="E98" i="1"/>
  <c r="D98" i="1"/>
  <c r="E94" i="1"/>
  <c r="D94" i="1"/>
  <c r="E93" i="1"/>
  <c r="D93" i="1"/>
  <c r="E87" i="1"/>
  <c r="D87" i="1"/>
  <c r="E78" i="1"/>
  <c r="D78" i="1"/>
  <c r="E58" i="1"/>
  <c r="D58" i="1"/>
  <c r="E48" i="1"/>
  <c r="E47" i="1" s="1"/>
  <c r="D48" i="1"/>
  <c r="D47" i="1" s="1"/>
  <c r="E35" i="1"/>
  <c r="D35" i="1"/>
  <c r="E27" i="1"/>
  <c r="D27" i="1"/>
  <c r="E16" i="1"/>
  <c r="D16" i="1"/>
  <c r="D7" i="1" s="1"/>
  <c r="D91" i="1" s="1"/>
  <c r="E8" i="1"/>
  <c r="D8" i="1"/>
  <c r="E7" i="1"/>
  <c r="D48" i="43" l="1"/>
  <c r="D48" i="2"/>
  <c r="D86" i="2"/>
  <c r="D87" i="2" s="1"/>
  <c r="E48" i="2"/>
  <c r="E86" i="2"/>
  <c r="D141" i="1"/>
  <c r="E91" i="1"/>
  <c r="E141" i="1"/>
  <c r="E48" i="43"/>
  <c r="E87" i="43" s="1"/>
  <c r="D86" i="43"/>
  <c r="D87" i="43"/>
  <c r="E87" i="2"/>
  <c r="E89" i="2" s="1"/>
  <c r="D91" i="43" l="1"/>
  <c r="D91" i="2"/>
  <c r="D89" i="2"/>
  <c r="D92" i="2" s="1"/>
  <c r="C52" i="30" l="1"/>
  <c r="C51" i="30"/>
  <c r="C42" i="30"/>
  <c r="M9" i="8"/>
  <c r="L9" i="8"/>
  <c r="G9" i="8"/>
  <c r="K15" i="5" s="1"/>
  <c r="K13" i="5" s="1"/>
  <c r="K12" i="5" s="1"/>
  <c r="K8" i="5" s="1"/>
  <c r="K7" i="5" s="1"/>
  <c r="K6" i="5" s="1"/>
  <c r="F9" i="8"/>
  <c r="J15" i="5" s="1"/>
  <c r="J13" i="5" s="1"/>
  <c r="J12" i="5" s="1"/>
  <c r="J8" i="5" s="1"/>
  <c r="J7" i="5" s="1"/>
  <c r="J6" i="5" s="1"/>
  <c r="E9" i="8"/>
  <c r="I15" i="5" s="1"/>
  <c r="D9" i="8"/>
  <c r="H15" i="5" s="1"/>
  <c r="A9" i="8"/>
  <c r="I8" i="8"/>
  <c r="N8" i="8" s="1"/>
  <c r="H8" i="8"/>
  <c r="J8" i="8" s="1"/>
  <c r="I7" i="8"/>
  <c r="N7" i="8" s="1"/>
  <c r="H7" i="8"/>
  <c r="J7" i="8" s="1"/>
  <c r="A7" i="8"/>
  <c r="I6" i="8"/>
  <c r="I9" i="8" s="1"/>
  <c r="H6" i="8"/>
  <c r="M15" i="5" l="1"/>
  <c r="M13" i="5" s="1"/>
  <c r="M12" i="5" s="1"/>
  <c r="M8" i="5" s="1"/>
  <c r="M7" i="5" s="1"/>
  <c r="M6" i="5" s="1"/>
  <c r="I13" i="5"/>
  <c r="I12" i="5" s="1"/>
  <c r="I8" i="5" s="1"/>
  <c r="I7" i="5" s="1"/>
  <c r="I6" i="5" s="1"/>
  <c r="H9" i="8"/>
  <c r="L15" i="5"/>
  <c r="L13" i="5" s="1"/>
  <c r="L12" i="5" s="1"/>
  <c r="L8" i="5" s="1"/>
  <c r="L7" i="5" s="1"/>
  <c r="L6" i="5" s="1"/>
  <c r="H13" i="5"/>
  <c r="H12" i="5" s="1"/>
  <c r="H8" i="5" s="1"/>
  <c r="H7" i="5" s="1"/>
  <c r="H6" i="5" s="1"/>
  <c r="J6" i="8"/>
  <c r="J9" i="8" s="1"/>
  <c r="N6" i="8"/>
  <c r="N9" i="8" s="1"/>
  <c r="J7" i="15" l="1"/>
  <c r="J8" i="15"/>
  <c r="J10" i="15"/>
  <c r="J15" i="15"/>
  <c r="K15" i="15"/>
  <c r="H12" i="15"/>
  <c r="H13" i="15"/>
  <c r="I12" i="15"/>
  <c r="I13" i="15"/>
  <c r="I11" i="15"/>
  <c r="K12" i="15"/>
  <c r="K11" i="15"/>
  <c r="I8" i="15"/>
  <c r="K7" i="15"/>
  <c r="A7" i="15"/>
  <c r="A8" i="15" s="1"/>
  <c r="A9" i="15" s="1"/>
  <c r="A10" i="15" s="1"/>
  <c r="A11" i="15" s="1"/>
  <c r="A14" i="15" s="1"/>
  <c r="A15" i="15" s="1"/>
  <c r="H7" i="15"/>
  <c r="I7" i="15"/>
  <c r="H8" i="15"/>
  <c r="H9" i="15"/>
  <c r="I9" i="15"/>
  <c r="L9" i="15" s="1"/>
  <c r="K9" i="15"/>
  <c r="H10" i="15"/>
  <c r="I10" i="15"/>
  <c r="K10" i="15"/>
  <c r="K13" i="15"/>
  <c r="L13" i="15" s="1"/>
  <c r="H14" i="15"/>
  <c r="I14" i="15"/>
  <c r="H15" i="15"/>
  <c r="I15" i="15"/>
  <c r="A10" i="14"/>
  <c r="A11" i="14" s="1"/>
  <c r="A12" i="14" s="1"/>
  <c r="A13" i="14" s="1"/>
  <c r="A14" i="14" s="1"/>
  <c r="I10" i="14"/>
  <c r="L10" i="14"/>
  <c r="N10" i="14" s="1"/>
  <c r="I11" i="14"/>
  <c r="M11" i="14" s="1"/>
  <c r="L11" i="14"/>
  <c r="N11" i="14" s="1"/>
  <c r="I12" i="14"/>
  <c r="M12" i="14" s="1"/>
  <c r="L12" i="14"/>
  <c r="N12" i="14" s="1"/>
  <c r="I13" i="14"/>
  <c r="M13" i="14" s="1"/>
  <c r="L13" i="14"/>
  <c r="N13" i="14" s="1"/>
  <c r="N14" i="14" s="1"/>
  <c r="C14" i="14"/>
  <c r="D14" i="14"/>
  <c r="E14" i="14"/>
  <c r="F14" i="14"/>
  <c r="G14" i="14"/>
  <c r="H14" i="14"/>
  <c r="J14" i="14"/>
  <c r="K14" i="14"/>
  <c r="A29" i="14"/>
  <c r="A30" i="14" s="1"/>
  <c r="A31" i="14" s="1"/>
  <c r="A32" i="14" s="1"/>
  <c r="A33" i="14" s="1"/>
  <c r="I29" i="14"/>
  <c r="M29" i="14" s="1"/>
  <c r="M33" i="14" s="1"/>
  <c r="L29" i="14"/>
  <c r="L33" i="14" s="1"/>
  <c r="I30" i="14"/>
  <c r="M30" i="14" s="1"/>
  <c r="L30" i="14"/>
  <c r="N30" i="14" s="1"/>
  <c r="I31" i="14"/>
  <c r="M31" i="14" s="1"/>
  <c r="L31" i="14"/>
  <c r="N31" i="14" s="1"/>
  <c r="I32" i="14"/>
  <c r="M32" i="14" s="1"/>
  <c r="L32" i="14"/>
  <c r="N32" i="14" s="1"/>
  <c r="C33" i="14"/>
  <c r="D33" i="14"/>
  <c r="E33" i="14"/>
  <c r="F33" i="14"/>
  <c r="G33" i="14"/>
  <c r="H33" i="14"/>
  <c r="J33" i="14"/>
  <c r="K33" i="14"/>
  <c r="E14" i="12"/>
  <c r="F14" i="12"/>
  <c r="G14" i="12"/>
  <c r="H14" i="12"/>
  <c r="I14" i="12"/>
  <c r="J14" i="12"/>
  <c r="K14" i="12"/>
  <c r="L14" i="12"/>
  <c r="M14" i="12"/>
  <c r="N14" i="12"/>
  <c r="O14" i="12"/>
  <c r="P14" i="12"/>
  <c r="Q14" i="12"/>
  <c r="R14" i="12"/>
  <c r="S14" i="12"/>
  <c r="T14" i="12"/>
  <c r="U14" i="12"/>
  <c r="V14" i="12"/>
  <c r="W14" i="12"/>
  <c r="X14" i="12"/>
  <c r="Y14" i="12"/>
  <c r="Z14" i="12"/>
  <c r="G7" i="5"/>
  <c r="G8" i="5" s="1"/>
  <c r="G9" i="5" s="1"/>
  <c r="G10" i="5" s="1"/>
  <c r="G11" i="5" s="1"/>
  <c r="G12" i="5" s="1"/>
  <c r="G13" i="5" s="1"/>
  <c r="G14" i="5" s="1"/>
  <c r="G15" i="5" s="1"/>
  <c r="G16" i="5" s="1"/>
  <c r="G17" i="5" s="1"/>
  <c r="G18" i="5" s="1"/>
  <c r="G19" i="5" s="1"/>
  <c r="G20" i="5" s="1"/>
  <c r="G21" i="5" s="1"/>
  <c r="G22" i="5" s="1"/>
  <c r="G23" i="5" s="1"/>
  <c r="G24" i="5" s="1"/>
  <c r="G25" i="5" s="1"/>
  <c r="G26" i="5" s="1"/>
  <c r="G27" i="5" s="1"/>
  <c r="G28" i="5" s="1"/>
  <c r="G29" i="5" s="1"/>
  <c r="G30" i="5" s="1"/>
  <c r="G31" i="5" s="1"/>
  <c r="G32" i="5" s="1"/>
  <c r="G33" i="5" s="1"/>
  <c r="G34" i="5" s="1"/>
  <c r="G36" i="5" s="1"/>
  <c r="G37" i="5" s="1"/>
  <c r="G38" i="5" s="1"/>
  <c r="G39" i="5" s="1"/>
  <c r="G40" i="5" s="1"/>
  <c r="G41" i="5" s="1"/>
  <c r="G42" i="5" s="1"/>
  <c r="G43" i="5" s="1"/>
  <c r="G44" i="5" s="1"/>
  <c r="G45" i="5" s="1"/>
  <c r="G46" i="5" s="1"/>
  <c r="G47" i="5" s="1"/>
  <c r="G48" i="5" s="1"/>
  <c r="G49" i="5" s="1"/>
  <c r="G50" i="5" s="1"/>
  <c r="G51" i="5" s="1"/>
  <c r="G52" i="5" s="1"/>
  <c r="G53" i="5" s="1"/>
  <c r="G54" i="5" s="1"/>
  <c r="G55" i="5" s="1"/>
  <c r="M43" i="5"/>
  <c r="H38" i="5"/>
  <c r="H37" i="5" s="1"/>
  <c r="L54" i="5"/>
  <c r="L39" i="5"/>
  <c r="M44" i="5"/>
  <c r="M45" i="5"/>
  <c r="L45" i="5"/>
  <c r="L51" i="5"/>
  <c r="L46" i="5"/>
  <c r="I38" i="5"/>
  <c r="J38" i="5"/>
  <c r="H39" i="5"/>
  <c r="I39" i="5"/>
  <c r="J39" i="5"/>
  <c r="K39" i="5"/>
  <c r="H40" i="5"/>
  <c r="I40" i="5"/>
  <c r="J40" i="5"/>
  <c r="K40" i="5"/>
  <c r="H41" i="5"/>
  <c r="I41" i="5"/>
  <c r="J41" i="5"/>
  <c r="K41" i="5"/>
  <c r="L41" i="5"/>
  <c r="H43" i="5"/>
  <c r="I43" i="5"/>
  <c r="I42" i="5" s="1"/>
  <c r="J43" i="5"/>
  <c r="K43" i="5"/>
  <c r="H44" i="5"/>
  <c r="I44" i="5"/>
  <c r="J44" i="5"/>
  <c r="K44" i="5"/>
  <c r="H45" i="5"/>
  <c r="I45" i="5"/>
  <c r="J45" i="5"/>
  <c r="K45" i="5"/>
  <c r="H46" i="5"/>
  <c r="I46" i="5"/>
  <c r="J46" i="5"/>
  <c r="K46" i="5"/>
  <c r="H49" i="5"/>
  <c r="I49" i="5"/>
  <c r="J49" i="5"/>
  <c r="K49" i="5"/>
  <c r="L49" i="5"/>
  <c r="I50" i="5"/>
  <c r="J50" i="5"/>
  <c r="H51" i="5"/>
  <c r="I51" i="5"/>
  <c r="J51" i="5"/>
  <c r="J48" i="5" s="1"/>
  <c r="K51" i="5"/>
  <c r="H53" i="5"/>
  <c r="I53" i="5"/>
  <c r="J53" i="5"/>
  <c r="K53" i="5"/>
  <c r="H54" i="5"/>
  <c r="I54" i="5"/>
  <c r="J54" i="5"/>
  <c r="K54" i="5"/>
  <c r="H55" i="5"/>
  <c r="I55" i="5"/>
  <c r="J55" i="5"/>
  <c r="K55" i="5"/>
  <c r="L55" i="5"/>
  <c r="D4" i="3"/>
  <c r="D12" i="3"/>
  <c r="I52" i="5"/>
  <c r="K42" i="5"/>
  <c r="H50" i="5"/>
  <c r="M39" i="5"/>
  <c r="M10" i="14"/>
  <c r="M14" i="14" s="1"/>
  <c r="I14" i="14"/>
  <c r="K14" i="15"/>
  <c r="I33" i="14"/>
  <c r="L44" i="5"/>
  <c r="L42" i="5" s="1"/>
  <c r="K50" i="5"/>
  <c r="K38" i="5"/>
  <c r="K37" i="5" s="1"/>
  <c r="M46" i="5"/>
  <c r="M55" i="5"/>
  <c r="L40" i="5"/>
  <c r="M41" i="5"/>
  <c r="M40" i="5"/>
  <c r="L43" i="5"/>
  <c r="M51" i="5"/>
  <c r="L53" i="5"/>
  <c r="M53" i="5"/>
  <c r="M54" i="5"/>
  <c r="M50" i="5"/>
  <c r="M38" i="5"/>
  <c r="H11" i="15"/>
  <c r="L11" i="15" s="1"/>
  <c r="M49" i="5"/>
  <c r="N29" i="14"/>
  <c r="K48" i="5" l="1"/>
  <c r="H48" i="5"/>
  <c r="L14" i="14"/>
  <c r="K36" i="5"/>
  <c r="N33" i="14"/>
  <c r="M48" i="5"/>
  <c r="L7" i="15"/>
  <c r="M52" i="5"/>
  <c r="M47" i="5" s="1"/>
  <c r="I37" i="5"/>
  <c r="I36" i="5" s="1"/>
  <c r="L14" i="15"/>
  <c r="L10" i="15"/>
  <c r="L15" i="15"/>
  <c r="H6" i="15"/>
  <c r="I6" i="15"/>
  <c r="J6" i="15"/>
  <c r="D13" i="3"/>
  <c r="M37" i="5"/>
  <c r="J52" i="5"/>
  <c r="J47" i="5" s="1"/>
  <c r="H52" i="5"/>
  <c r="H47" i="5" s="1"/>
  <c r="I48" i="5"/>
  <c r="I47" i="5" s="1"/>
  <c r="J37" i="5"/>
  <c r="L52" i="5"/>
  <c r="K52" i="5"/>
  <c r="K47" i="5" s="1"/>
  <c r="H42" i="5"/>
  <c r="H36" i="5" s="1"/>
  <c r="J42" i="5"/>
  <c r="J36" i="5" s="1"/>
  <c r="L12" i="15"/>
  <c r="M42" i="5"/>
  <c r="L50" i="5"/>
  <c r="L48" i="5" s="1"/>
  <c r="L38" i="5"/>
  <c r="L37" i="5" s="1"/>
  <c r="L36" i="5" s="1"/>
  <c r="K8" i="15"/>
  <c r="L47" i="5" l="1"/>
  <c r="M36" i="5"/>
  <c r="L8" i="15"/>
  <c r="L6" i="15" s="1"/>
  <c r="K6" i="15"/>
</calcChain>
</file>

<file path=xl/sharedStrings.xml><?xml version="1.0" encoding="utf-8"?>
<sst xmlns="http://schemas.openxmlformats.org/spreadsheetml/2006/main" count="2658" uniqueCount="1596">
  <si>
    <t>AKTIVA</t>
  </si>
  <si>
    <t>ř.2+10+21+29</t>
  </si>
  <si>
    <t>0001</t>
  </si>
  <si>
    <t xml:space="preserve">   I. Dlouhodobý nehmotný majetek celkem             </t>
  </si>
  <si>
    <t>ř.3 až 9</t>
  </si>
  <si>
    <t>0002</t>
  </si>
  <si>
    <t xml:space="preserve">                    1.Nehmotné výsledky výzkumu a vývoje</t>
  </si>
  <si>
    <t>012</t>
  </si>
  <si>
    <t>0003</t>
  </si>
  <si>
    <t xml:space="preserve">                    2.Software</t>
  </si>
  <si>
    <t>013</t>
  </si>
  <si>
    <t>0004</t>
  </si>
  <si>
    <t xml:space="preserve">                    3.Ocenitelná práva</t>
  </si>
  <si>
    <t>014</t>
  </si>
  <si>
    <t>0005</t>
  </si>
  <si>
    <t xml:space="preserve">                    4.Drobný dlouhodobý nehmotný majetek</t>
  </si>
  <si>
    <t>018</t>
  </si>
  <si>
    <t>0006</t>
  </si>
  <si>
    <t xml:space="preserve">                    5.Ostatní dlouhodobý nehmotný majetek</t>
  </si>
  <si>
    <t>019</t>
  </si>
  <si>
    <t>0007</t>
  </si>
  <si>
    <t xml:space="preserve">                    6.Nedokončený dlouhodobý nehmotný majetek</t>
  </si>
  <si>
    <t>041</t>
  </si>
  <si>
    <t>0008</t>
  </si>
  <si>
    <t xml:space="preserve">                    7.Poskytnuté zálohy na dlouhodobý nehmotný majetek</t>
  </si>
  <si>
    <t>051</t>
  </si>
  <si>
    <t>0009</t>
  </si>
  <si>
    <t xml:space="preserve">    II. Dlouhodobý hmotný majetek celkem            </t>
  </si>
  <si>
    <t>ř.11 až 20</t>
  </si>
  <si>
    <t>0010</t>
  </si>
  <si>
    <t xml:space="preserve">                    1.Pozemky</t>
  </si>
  <si>
    <t>031</t>
  </si>
  <si>
    <t>0011</t>
  </si>
  <si>
    <t>032</t>
  </si>
  <si>
    <t>0012</t>
  </si>
  <si>
    <t xml:space="preserve">                    3.Stavby</t>
  </si>
  <si>
    <t>021</t>
  </si>
  <si>
    <t>0013</t>
  </si>
  <si>
    <t xml:space="preserve">                    4.Samostatné movité věci a soubory movitých věcí</t>
  </si>
  <si>
    <t>022</t>
  </si>
  <si>
    <t>0014</t>
  </si>
  <si>
    <t xml:space="preserve">                    5.Pěstitelské celky trvalých porostů</t>
  </si>
  <si>
    <t>025</t>
  </si>
  <si>
    <t>0015</t>
  </si>
  <si>
    <t xml:space="preserve">                    6.Základní stádo a tažná zvířata</t>
  </si>
  <si>
    <t>026</t>
  </si>
  <si>
    <t>0016</t>
  </si>
  <si>
    <t xml:space="preserve">                    7.Drobný dlouhodobý hmotný majetek</t>
  </si>
  <si>
    <t>028</t>
  </si>
  <si>
    <t>0017</t>
  </si>
  <si>
    <t xml:space="preserve">                    8.Ostatní dlouhodobý hmotný majetek</t>
  </si>
  <si>
    <t>029</t>
  </si>
  <si>
    <t>0018</t>
  </si>
  <si>
    <t xml:space="preserve">                    9.Nedokončený dlouhodobý hmotný majetek</t>
  </si>
  <si>
    <t>042</t>
  </si>
  <si>
    <t>0019</t>
  </si>
  <si>
    <t>052</t>
  </si>
  <si>
    <t>0020</t>
  </si>
  <si>
    <t xml:space="preserve">    III. Dlouhodobý finanční majetek celkem            </t>
  </si>
  <si>
    <t>ř.22 až 28</t>
  </si>
  <si>
    <t>0021</t>
  </si>
  <si>
    <t xml:space="preserve">                    1.Podíly v ovládaných a řízených osobách</t>
  </si>
  <si>
    <t>061</t>
  </si>
  <si>
    <t>0022</t>
  </si>
  <si>
    <t xml:space="preserve">                    2.Podíly v osobách pod podstatným vlivem</t>
  </si>
  <si>
    <t>062</t>
  </si>
  <si>
    <t>0023</t>
  </si>
  <si>
    <t xml:space="preserve">                    3.Dluhové cenné papíry držené do splatnosti</t>
  </si>
  <si>
    <t>063</t>
  </si>
  <si>
    <t>0024</t>
  </si>
  <si>
    <t xml:space="preserve">                    4.Půjčky organizačním složkám</t>
  </si>
  <si>
    <t>066</t>
  </si>
  <si>
    <t>0025</t>
  </si>
  <si>
    <t xml:space="preserve">                    5.Ostatní dlouhodobé půjčky</t>
  </si>
  <si>
    <t>067</t>
  </si>
  <si>
    <t>0026</t>
  </si>
  <si>
    <t xml:space="preserve">                    6.Ostatní dlouhodobý finanční majetek</t>
  </si>
  <si>
    <t>069</t>
  </si>
  <si>
    <t>0027</t>
  </si>
  <si>
    <t>043</t>
  </si>
  <si>
    <t>0028</t>
  </si>
  <si>
    <t xml:space="preserve">    IV. Oprávky k dlouhodobému majetku celkem    </t>
  </si>
  <si>
    <t>ř.30 až 40</t>
  </si>
  <si>
    <t>0029</t>
  </si>
  <si>
    <t xml:space="preserve">                    1.Oprávky k nehmotným výsledkům výzkumu a vývoje</t>
  </si>
  <si>
    <t>072</t>
  </si>
  <si>
    <t>0030</t>
  </si>
  <si>
    <t xml:space="preserve">                    2.Oprávky k softwaru</t>
  </si>
  <si>
    <t>073</t>
  </si>
  <si>
    <t>0031</t>
  </si>
  <si>
    <t xml:space="preserve">                    3.Oprávky k ocenitelným právům</t>
  </si>
  <si>
    <t>074</t>
  </si>
  <si>
    <t>0032</t>
  </si>
  <si>
    <t>078</t>
  </si>
  <si>
    <t>0033</t>
  </si>
  <si>
    <t>079</t>
  </si>
  <si>
    <t>0034</t>
  </si>
  <si>
    <t xml:space="preserve">                    6.Oprávky ke stavbám</t>
  </si>
  <si>
    <t>081</t>
  </si>
  <si>
    <t>0035</t>
  </si>
  <si>
    <t>082</t>
  </si>
  <si>
    <t>0036</t>
  </si>
  <si>
    <t xml:space="preserve">                    8.Oprávky k pěstitelským celkům trvalých porostů</t>
  </si>
  <si>
    <t>085</t>
  </si>
  <si>
    <t>0037</t>
  </si>
  <si>
    <t xml:space="preserve">                    9.Oprávky k základnímu stádu a tažným zvířatům</t>
  </si>
  <si>
    <t>086</t>
  </si>
  <si>
    <t>0038</t>
  </si>
  <si>
    <t>088</t>
  </si>
  <si>
    <t>0039</t>
  </si>
  <si>
    <t>089</t>
  </si>
  <si>
    <t>0040</t>
  </si>
  <si>
    <t xml:space="preserve">B. Krátkodobý majetek celkem                    </t>
  </si>
  <si>
    <t>ř.42+52+72+81</t>
  </si>
  <si>
    <t>0041</t>
  </si>
  <si>
    <t xml:space="preserve">    I. Zásoby celkem                                          </t>
  </si>
  <si>
    <t>ř.43 až 51</t>
  </si>
  <si>
    <t>0042</t>
  </si>
  <si>
    <t xml:space="preserve">                    1.Materiál na skladě</t>
  </si>
  <si>
    <t>112</t>
  </si>
  <si>
    <t>0043</t>
  </si>
  <si>
    <t xml:space="preserve">                    2.Materiál na cestě</t>
  </si>
  <si>
    <t>119</t>
  </si>
  <si>
    <t>0044</t>
  </si>
  <si>
    <t xml:space="preserve">                    3.Nedokončená výroba</t>
  </si>
  <si>
    <t>121</t>
  </si>
  <si>
    <t>0045</t>
  </si>
  <si>
    <t xml:space="preserve">                    4.Polotovary vlastní výroby</t>
  </si>
  <si>
    <t>122</t>
  </si>
  <si>
    <t>0046</t>
  </si>
  <si>
    <t xml:space="preserve">                    5.Výrobky</t>
  </si>
  <si>
    <t>123</t>
  </si>
  <si>
    <t>0047</t>
  </si>
  <si>
    <t xml:space="preserve">                    6.Zvířata</t>
  </si>
  <si>
    <t>124</t>
  </si>
  <si>
    <t>0048</t>
  </si>
  <si>
    <t xml:space="preserve">                    7.Zboží na skladě a v prodejnách</t>
  </si>
  <si>
    <t>132</t>
  </si>
  <si>
    <t>0049</t>
  </si>
  <si>
    <t xml:space="preserve">                    8.Zboží na cestě</t>
  </si>
  <si>
    <t>139</t>
  </si>
  <si>
    <t>0050</t>
  </si>
  <si>
    <t xml:space="preserve">                    9.Poskytnuté zálohy na zásoby</t>
  </si>
  <si>
    <t>z 314</t>
  </si>
  <si>
    <t>0051</t>
  </si>
  <si>
    <t xml:space="preserve">   II. Pohledávky celkem                                       </t>
  </si>
  <si>
    <t>ř.53 až71</t>
  </si>
  <si>
    <t>0052</t>
  </si>
  <si>
    <t xml:space="preserve">                    1.Odběratelé</t>
  </si>
  <si>
    <t>311</t>
  </si>
  <si>
    <t>0053</t>
  </si>
  <si>
    <t xml:space="preserve">                    2.Směnky k inkasu</t>
  </si>
  <si>
    <t>312</t>
  </si>
  <si>
    <t>0054</t>
  </si>
  <si>
    <t xml:space="preserve">                    3.Pohledávky za eskontované cenné papíry</t>
  </si>
  <si>
    <t>313</t>
  </si>
  <si>
    <t>0055</t>
  </si>
  <si>
    <t xml:space="preserve">                    4.Poskytnuté provozní zálohy</t>
  </si>
  <si>
    <t>0056</t>
  </si>
  <si>
    <t xml:space="preserve">                    5.Ostatní pohledávky</t>
  </si>
  <si>
    <t>315</t>
  </si>
  <si>
    <t>0057</t>
  </si>
  <si>
    <t xml:space="preserve">                    6.Pohledávky za zaměstnanci</t>
  </si>
  <si>
    <t>335</t>
  </si>
  <si>
    <t>0058</t>
  </si>
  <si>
    <t>336</t>
  </si>
  <si>
    <t>0059</t>
  </si>
  <si>
    <t xml:space="preserve">                    8.Daň z příjmů</t>
  </si>
  <si>
    <t>341</t>
  </si>
  <si>
    <t>0060</t>
  </si>
  <si>
    <t xml:space="preserve">                    9.Ostatní přímé daně</t>
  </si>
  <si>
    <t>342</t>
  </si>
  <si>
    <t>0061</t>
  </si>
  <si>
    <t xml:space="preserve">                   10.Daň z přidané hodnoty</t>
  </si>
  <si>
    <t>343</t>
  </si>
  <si>
    <t>0062</t>
  </si>
  <si>
    <t xml:space="preserve">                   11.Ostatní daně a poplatky</t>
  </si>
  <si>
    <t>345</t>
  </si>
  <si>
    <t>0063</t>
  </si>
  <si>
    <t>346</t>
  </si>
  <si>
    <t>0064</t>
  </si>
  <si>
    <t>348</t>
  </si>
  <si>
    <t>0065</t>
  </si>
  <si>
    <t xml:space="preserve">                   14.Pohledávky za účastníky sdružení</t>
  </si>
  <si>
    <t>358</t>
  </si>
  <si>
    <t>0066</t>
  </si>
  <si>
    <t>373</t>
  </si>
  <si>
    <t>0067</t>
  </si>
  <si>
    <t>375</t>
  </si>
  <si>
    <t>0068</t>
  </si>
  <si>
    <t xml:space="preserve">                   17.Jiné pohledávky</t>
  </si>
  <si>
    <t>378</t>
  </si>
  <si>
    <t>0069</t>
  </si>
  <si>
    <t xml:space="preserve">                   18.Dohadné účty aktivní</t>
  </si>
  <si>
    <t>388</t>
  </si>
  <si>
    <t>0070</t>
  </si>
  <si>
    <t xml:space="preserve">                   19.Opravná položka k pohledávkám</t>
  </si>
  <si>
    <t>391</t>
  </si>
  <si>
    <t>0071</t>
  </si>
  <si>
    <t xml:space="preserve">   III. Krátkodobý finanční majetek celkem             </t>
  </si>
  <si>
    <t>ř.73 až 80</t>
  </si>
  <si>
    <t>0072</t>
  </si>
  <si>
    <t xml:space="preserve">                     1.Pokladna</t>
  </si>
  <si>
    <t>211</t>
  </si>
  <si>
    <t>0073</t>
  </si>
  <si>
    <t xml:space="preserve">                     2.Ceniny</t>
  </si>
  <si>
    <t>213</t>
  </si>
  <si>
    <t>0074</t>
  </si>
  <si>
    <t xml:space="preserve">                     3.Účty v bankách</t>
  </si>
  <si>
    <t>221</t>
  </si>
  <si>
    <t>0075</t>
  </si>
  <si>
    <t xml:space="preserve">                     4.Majetkové cenné papíry k obchodování</t>
  </si>
  <si>
    <t>251</t>
  </si>
  <si>
    <t>0076</t>
  </si>
  <si>
    <t xml:space="preserve">                     5.Dluhové cenné papíry k obchodování</t>
  </si>
  <si>
    <t>253</t>
  </si>
  <si>
    <t>0077</t>
  </si>
  <si>
    <t xml:space="preserve">                     6.Ostatní cenné papíry</t>
  </si>
  <si>
    <t>256</t>
  </si>
  <si>
    <t>0078</t>
  </si>
  <si>
    <t xml:space="preserve">                     7.Pořizovaný krátkodobý finanční majetek</t>
  </si>
  <si>
    <t>259</t>
  </si>
  <si>
    <t>0079</t>
  </si>
  <si>
    <t xml:space="preserve">                     8.Peníze na cestě</t>
  </si>
  <si>
    <t>261</t>
  </si>
  <si>
    <t>0080</t>
  </si>
  <si>
    <t xml:space="preserve">    IV. Jiná aktiva celkem                                    </t>
  </si>
  <si>
    <t>ř.82 až 84</t>
  </si>
  <si>
    <t>0081</t>
  </si>
  <si>
    <t xml:space="preserve">                     1.Náklady příštích období</t>
  </si>
  <si>
    <t>381</t>
  </si>
  <si>
    <t>0082</t>
  </si>
  <si>
    <t xml:space="preserve">                     2.Příjmy příštích období</t>
  </si>
  <si>
    <t>385</t>
  </si>
  <si>
    <t>0083</t>
  </si>
  <si>
    <t xml:space="preserve">                     3.Kursové rozdíly aktivní</t>
  </si>
  <si>
    <t>386</t>
  </si>
  <si>
    <t>0084</t>
  </si>
  <si>
    <t xml:space="preserve">Aktiva celkem                                                        </t>
  </si>
  <si>
    <t>ř. 1+41</t>
  </si>
  <si>
    <t>0085</t>
  </si>
  <si>
    <t xml:space="preserve">PASIVA  </t>
  </si>
  <si>
    <t xml:space="preserve"> </t>
  </si>
  <si>
    <t xml:space="preserve">A. Vlastní zdroje celkem                                       </t>
  </si>
  <si>
    <t>ř.87+91</t>
  </si>
  <si>
    <t>0086</t>
  </si>
  <si>
    <t xml:space="preserve">     I. Jmění celkem                                          </t>
  </si>
  <si>
    <t>ř.88 až 90</t>
  </si>
  <si>
    <t>0087</t>
  </si>
  <si>
    <t xml:space="preserve">                     1.Vlastní jmění</t>
  </si>
  <si>
    <t>901</t>
  </si>
  <si>
    <t>0088</t>
  </si>
  <si>
    <t xml:space="preserve">                     2.Fondy</t>
  </si>
  <si>
    <t>911</t>
  </si>
  <si>
    <t>0089</t>
  </si>
  <si>
    <t xml:space="preserve">                     3.Oceňovací rozdíly z přecenění finančního majetku a závazků</t>
  </si>
  <si>
    <t>921</t>
  </si>
  <si>
    <t>0090</t>
  </si>
  <si>
    <t>ř.92 až 94</t>
  </si>
  <si>
    <t>0091</t>
  </si>
  <si>
    <t xml:space="preserve">                     1.Účet výsledku hospodaření</t>
  </si>
  <si>
    <t>963</t>
  </si>
  <si>
    <t>0092</t>
  </si>
  <si>
    <t xml:space="preserve">                     2.Výsledek hospodaření ve schvalovacím řízení</t>
  </si>
  <si>
    <t>931</t>
  </si>
  <si>
    <t>0093</t>
  </si>
  <si>
    <t>932</t>
  </si>
  <si>
    <t>0094</t>
  </si>
  <si>
    <t xml:space="preserve">B. Cizí zdroje celkem                              </t>
  </si>
  <si>
    <t>ř.96+98+106+130</t>
  </si>
  <si>
    <t>0095</t>
  </si>
  <si>
    <t xml:space="preserve">     I. Rezervy celkem                                                </t>
  </si>
  <si>
    <t>ř.97</t>
  </si>
  <si>
    <t>0096</t>
  </si>
  <si>
    <t xml:space="preserve">                     1.Rezervy</t>
  </si>
  <si>
    <t>941</t>
  </si>
  <si>
    <t>0097</t>
  </si>
  <si>
    <t xml:space="preserve">     II. Dlouhodobé závazky celkem                   </t>
  </si>
  <si>
    <t>ř.99 až 105</t>
  </si>
  <si>
    <t>0098</t>
  </si>
  <si>
    <t xml:space="preserve">                     1.Dlouhodobé bankovní úvěry</t>
  </si>
  <si>
    <t>951</t>
  </si>
  <si>
    <t>0099</t>
  </si>
  <si>
    <t>953</t>
  </si>
  <si>
    <t>0100</t>
  </si>
  <si>
    <t xml:space="preserve">                     3.Závazky z pronájmu</t>
  </si>
  <si>
    <t>954</t>
  </si>
  <si>
    <t>0101</t>
  </si>
  <si>
    <t xml:space="preserve">                     4.Přijaté dlouhodobé zálohy</t>
  </si>
  <si>
    <t>955</t>
  </si>
  <si>
    <t>0102</t>
  </si>
  <si>
    <t xml:space="preserve">                     5.Dlouhodobé směnky k úhradě</t>
  </si>
  <si>
    <t>958</t>
  </si>
  <si>
    <t>0103</t>
  </si>
  <si>
    <t xml:space="preserve">                     6.Dohadné účty pasivní</t>
  </si>
  <si>
    <t>z389</t>
  </si>
  <si>
    <t>0104</t>
  </si>
  <si>
    <t xml:space="preserve">                     7.Ostatní dlouhodobé závazky</t>
  </si>
  <si>
    <t>959</t>
  </si>
  <si>
    <t>0105</t>
  </si>
  <si>
    <t xml:space="preserve">    III. Krátkodobé závazky celkem                   </t>
  </si>
  <si>
    <t>ř.107 až 129</t>
  </si>
  <si>
    <t>0106</t>
  </si>
  <si>
    <t xml:space="preserve">                     1.Dodavatelé</t>
  </si>
  <si>
    <t>321</t>
  </si>
  <si>
    <t>0107</t>
  </si>
  <si>
    <t xml:space="preserve">                     2.Směnky k úhradě</t>
  </si>
  <si>
    <t>322</t>
  </si>
  <si>
    <t>0108</t>
  </si>
  <si>
    <t xml:space="preserve">                     3.Přijaté zálohy</t>
  </si>
  <si>
    <t>324</t>
  </si>
  <si>
    <t>0109</t>
  </si>
  <si>
    <t xml:space="preserve">                     4.Ostatní závazky</t>
  </si>
  <si>
    <t>325</t>
  </si>
  <si>
    <t>0110</t>
  </si>
  <si>
    <t xml:space="preserve">                     5.Zaměstnanci</t>
  </si>
  <si>
    <t>331</t>
  </si>
  <si>
    <t>0111</t>
  </si>
  <si>
    <t xml:space="preserve">                     6.Ostatní závazky vůči zaměstnancům</t>
  </si>
  <si>
    <t>333</t>
  </si>
  <si>
    <t>0112</t>
  </si>
  <si>
    <t>0113</t>
  </si>
  <si>
    <t xml:space="preserve">                     8.Daň z příjmu</t>
  </si>
  <si>
    <t>0114</t>
  </si>
  <si>
    <t xml:space="preserve">                     9.Ostatní přímé daně</t>
  </si>
  <si>
    <t>0115</t>
  </si>
  <si>
    <t xml:space="preserve">                    10.Daň z přidané hodnoty</t>
  </si>
  <si>
    <t>0116</t>
  </si>
  <si>
    <t xml:space="preserve">                    11.Ostatní daně a poplatky</t>
  </si>
  <si>
    <t>0117</t>
  </si>
  <si>
    <t xml:space="preserve">                    12.Závazky ze vztahu ke státnímu rozpočtu</t>
  </si>
  <si>
    <t>0118</t>
  </si>
  <si>
    <t>0119</t>
  </si>
  <si>
    <t>367</t>
  </si>
  <si>
    <t>0120</t>
  </si>
  <si>
    <t xml:space="preserve">                    15.Závazky k účastníkům sdružení</t>
  </si>
  <si>
    <t>368</t>
  </si>
  <si>
    <t>0121</t>
  </si>
  <si>
    <t xml:space="preserve">                    16.Závazky z pevných termínovaných operací a opcí</t>
  </si>
  <si>
    <t>0122</t>
  </si>
  <si>
    <t xml:space="preserve">                    17.Jiné závazky</t>
  </si>
  <si>
    <t>379</t>
  </si>
  <si>
    <t>0123</t>
  </si>
  <si>
    <t xml:space="preserve">                    18.Krátkodobé bankovní úvěry</t>
  </si>
  <si>
    <t>231</t>
  </si>
  <si>
    <t>0124</t>
  </si>
  <si>
    <t xml:space="preserve">                    19.Eskontní úvěry</t>
  </si>
  <si>
    <t>232</t>
  </si>
  <si>
    <t>0125</t>
  </si>
  <si>
    <t>241</t>
  </si>
  <si>
    <t>0126</t>
  </si>
  <si>
    <t xml:space="preserve">                    21.Vlastní dluhopisy</t>
  </si>
  <si>
    <t>255</t>
  </si>
  <si>
    <t>0127</t>
  </si>
  <si>
    <t xml:space="preserve">                    22.Dohadné účty pasivní</t>
  </si>
  <si>
    <t>0128</t>
  </si>
  <si>
    <t xml:space="preserve">                    23.Ostatní krátkodobé finanční výpomoci</t>
  </si>
  <si>
    <t>249</t>
  </si>
  <si>
    <t>0129</t>
  </si>
  <si>
    <t xml:space="preserve">    IV. Jiná pasiva celkem                                </t>
  </si>
  <si>
    <t>ř.131 až 133</t>
  </si>
  <si>
    <t>0130</t>
  </si>
  <si>
    <t xml:space="preserve">                      1.Výdaje příštích období</t>
  </si>
  <si>
    <t>383</t>
  </si>
  <si>
    <t>0131</t>
  </si>
  <si>
    <t xml:space="preserve">                      2.Výnosy příštích období</t>
  </si>
  <si>
    <t>384</t>
  </si>
  <si>
    <t>0132</t>
  </si>
  <si>
    <t xml:space="preserve">                      3.Kursové rozdíly pasivní</t>
  </si>
  <si>
    <t>387</t>
  </si>
  <si>
    <t>0133</t>
  </si>
  <si>
    <t xml:space="preserve">Pasiva celkem                                                    </t>
  </si>
  <si>
    <t>ř.86+95</t>
  </si>
  <si>
    <t>0134</t>
  </si>
  <si>
    <t>A. Náklady</t>
  </si>
  <si>
    <t xml:space="preserve">     I. Spotřebované nákupy celkem</t>
  </si>
  <si>
    <t>ř.2 až 5</t>
  </si>
  <si>
    <t xml:space="preserve">            1.Spotřeba materiálu</t>
  </si>
  <si>
    <t xml:space="preserve">            2.Spotřeba energie</t>
  </si>
  <si>
    <t xml:space="preserve">            3.Spotřeba ostatních neskladovatelných dodávek</t>
  </si>
  <si>
    <t xml:space="preserve">            4.Prodané zboží</t>
  </si>
  <si>
    <t>ř.7 až 10</t>
  </si>
  <si>
    <t xml:space="preserve">            5.Opravy a udržování</t>
  </si>
  <si>
    <t xml:space="preserve">            6.Cestovné</t>
  </si>
  <si>
    <t xml:space="preserve">            7.Náklady na reprezentaci</t>
  </si>
  <si>
    <t xml:space="preserve">            8.Ostatní služby</t>
  </si>
  <si>
    <t>ř.12 až 16</t>
  </si>
  <si>
    <t xml:space="preserve">            9.Mzdové náklady</t>
  </si>
  <si>
    <t xml:space="preserve">            10.Zákonné sociální pojištění</t>
  </si>
  <si>
    <t xml:space="preserve">            11.Ostatní sociální pojištění</t>
  </si>
  <si>
    <t xml:space="preserve">            12.Zákonné sociální náklady</t>
  </si>
  <si>
    <t xml:space="preserve">            13.Ostatní sociální náklady</t>
  </si>
  <si>
    <t>ř.18 až 20</t>
  </si>
  <si>
    <t xml:space="preserve">            14.Daň silniční</t>
  </si>
  <si>
    <t xml:space="preserve">            15.Daň z nemovitosti</t>
  </si>
  <si>
    <t xml:space="preserve">            16.Ostatní daně a poplatky</t>
  </si>
  <si>
    <t>ř.22 až 29</t>
  </si>
  <si>
    <t xml:space="preserve">            17.Smluvní pokuty a úroky z prodlení</t>
  </si>
  <si>
    <t xml:space="preserve">            18.Ostatní pokuty a penále</t>
  </si>
  <si>
    <t xml:space="preserve">            19.Odpis nedobytné pohledávky</t>
  </si>
  <si>
    <t xml:space="preserve">            20.Úroky</t>
  </si>
  <si>
    <t xml:space="preserve">            21.Kursové ztráty</t>
  </si>
  <si>
    <t xml:space="preserve">            22.Dary</t>
  </si>
  <si>
    <t xml:space="preserve">            23.Manka a škody</t>
  </si>
  <si>
    <t xml:space="preserve">            24.Jiné ostatní náklady</t>
  </si>
  <si>
    <t>ř.31 až 36</t>
  </si>
  <si>
    <t xml:space="preserve">            27.Prodané cenné papíry a podíly</t>
  </si>
  <si>
    <t xml:space="preserve">            28.Prodaný materiál</t>
  </si>
  <si>
    <t xml:space="preserve">            29.Tvorba rezerv</t>
  </si>
  <si>
    <t xml:space="preserve">            30.Tvorba opravných položek</t>
  </si>
  <si>
    <t>ř.38 a 39</t>
  </si>
  <si>
    <t xml:space="preserve">            32.Poskytnuté členské příspěvky</t>
  </si>
  <si>
    <t>ř.41</t>
  </si>
  <si>
    <t xml:space="preserve">            33.Dodatečné odvody daně z příjmů</t>
  </si>
  <si>
    <t>Náklady celkem</t>
  </si>
  <si>
    <t xml:space="preserve">ř.1+6+11+17+21+ 30+37+40 </t>
  </si>
  <si>
    <t>B. Výnosy</t>
  </si>
  <si>
    <t>ř.44 až 46</t>
  </si>
  <si>
    <t xml:space="preserve">             1.Tržby za vlastní výrobky</t>
  </si>
  <si>
    <t xml:space="preserve">             2.Tržby z prodeje služeb</t>
  </si>
  <si>
    <t xml:space="preserve">             3.Tržby za prodané zboží</t>
  </si>
  <si>
    <t>ř.48 až 51</t>
  </si>
  <si>
    <t xml:space="preserve">             4.Změna stavu zásob nedokončené výroby</t>
  </si>
  <si>
    <t xml:space="preserve">             5.Změna stavu zásob polotovarů</t>
  </si>
  <si>
    <t xml:space="preserve">             6.Změna stavu zásob výrobků</t>
  </si>
  <si>
    <t xml:space="preserve">             7.Změna stavu zvířat</t>
  </si>
  <si>
    <t>ř.53 až 56</t>
  </si>
  <si>
    <t xml:space="preserve">             8.Aktivace materiálu a zboží</t>
  </si>
  <si>
    <t xml:space="preserve">             9.Aktivace vnitroorganizačních služeb</t>
  </si>
  <si>
    <t xml:space="preserve">             10.Aktivace dlouhodobého nehmotného majetku</t>
  </si>
  <si>
    <t xml:space="preserve">             11.Aktivace dlouhodobého hmotného majetku</t>
  </si>
  <si>
    <t>ř.58 až 64</t>
  </si>
  <si>
    <t xml:space="preserve">             12.Smluvní pokuty a úroky z prodlení</t>
  </si>
  <si>
    <t xml:space="preserve">             13.Ostatní pokuty a penále</t>
  </si>
  <si>
    <t xml:space="preserve">             14.Platby za odepsané pohledávky</t>
  </si>
  <si>
    <t xml:space="preserve">             15.Úroky</t>
  </si>
  <si>
    <t xml:space="preserve">             16.Kursové zisky</t>
  </si>
  <si>
    <t xml:space="preserve">             17.Zúčtování fondů</t>
  </si>
  <si>
    <t xml:space="preserve">             18.Jiné ostatní výnosy</t>
  </si>
  <si>
    <t>ř.66 až 72</t>
  </si>
  <si>
    <t xml:space="preserve">             20.Tržby z prodeje cenných papírů a podílů</t>
  </si>
  <si>
    <t xml:space="preserve">             21.Tržby z prodeje materiálu</t>
  </si>
  <si>
    <t xml:space="preserve">             22.Výnosy z krátkodobého finančního majetku</t>
  </si>
  <si>
    <t xml:space="preserve">             23.Zúčtování rezerv</t>
  </si>
  <si>
    <t xml:space="preserve">             24.Výnosy z dlouhodobého finančního majetku</t>
  </si>
  <si>
    <t xml:space="preserve">             25.Zúčtování opravných položek</t>
  </si>
  <si>
    <t>ř.74 až 76</t>
  </si>
  <si>
    <t xml:space="preserve">             26.Přijaté příspěvky zúčtované mezi organizačními složkami</t>
  </si>
  <si>
    <t xml:space="preserve">             27.Přijaté příspěvky (dary)</t>
  </si>
  <si>
    <t xml:space="preserve">             28.Přijaté členské příspěvky</t>
  </si>
  <si>
    <t>ř.78</t>
  </si>
  <si>
    <t xml:space="preserve">             29.Provozní dotace</t>
  </si>
  <si>
    <t>Výnosy celkem</t>
  </si>
  <si>
    <t>C. Výsledek hospodaření před zdaněním</t>
  </si>
  <si>
    <t>ř.79 - 42</t>
  </si>
  <si>
    <t xml:space="preserve">             34.Daň z příjmů</t>
  </si>
  <si>
    <t>D. Výsledek hospodaření po zdanění</t>
  </si>
  <si>
    <t>ř.80 - 81</t>
  </si>
  <si>
    <t xml:space="preserve">     Výsledek hospodaření před zdaněním</t>
  </si>
  <si>
    <t xml:space="preserve">     Výsledek hospodaření po zdanění</t>
  </si>
  <si>
    <t>č.ř.</t>
  </si>
  <si>
    <t>použito</t>
  </si>
  <si>
    <t xml:space="preserve">v tom: </t>
  </si>
  <si>
    <t xml:space="preserve">ostatní </t>
  </si>
  <si>
    <t>ostatní</t>
  </si>
  <si>
    <t xml:space="preserve">
Název údaje</t>
  </si>
  <si>
    <t>zůstatek</t>
  </si>
  <si>
    <t>tvorba</t>
  </si>
  <si>
    <t>čerpání</t>
  </si>
  <si>
    <t xml:space="preserve">  (+)</t>
  </si>
  <si>
    <t>Fond rezervní</t>
  </si>
  <si>
    <t>Fond reprodukce investičního majetku</t>
  </si>
  <si>
    <t>Stipendijní fond</t>
  </si>
  <si>
    <t>Fond odměn</t>
  </si>
  <si>
    <t>Fond účelově určených prostředků</t>
  </si>
  <si>
    <t>Fond sociální</t>
  </si>
  <si>
    <t>Fond provozních prostředků</t>
  </si>
  <si>
    <t>z toho:</t>
  </si>
  <si>
    <t>na jednotlivé projekty VaV či výzkumné záměry</t>
  </si>
  <si>
    <t>jiné podpory z veřejných prostředků</t>
  </si>
  <si>
    <t>(tis. Kč)</t>
  </si>
  <si>
    <t>HV z hlavní činnosti</t>
  </si>
  <si>
    <t>HV z doplňkové činnosti</t>
  </si>
  <si>
    <t>HV celkem</t>
  </si>
  <si>
    <t>C e l k e m</t>
  </si>
  <si>
    <t xml:space="preserve">Celkem </t>
  </si>
  <si>
    <t>Celkem</t>
  </si>
  <si>
    <t>sl.2</t>
  </si>
  <si>
    <t>(v tis. Kč)</t>
  </si>
  <si>
    <t>Doplňková činnost</t>
  </si>
  <si>
    <t>z toho</t>
  </si>
  <si>
    <t>pozemky</t>
  </si>
  <si>
    <t>budovy, stavby, haly</t>
  </si>
  <si>
    <t>Položka</t>
  </si>
  <si>
    <t>poplatky za úkony spojené s příjímacím řízením (§ 58 odst. 1)</t>
  </si>
  <si>
    <t>poplatky za studium v cizím jazyce (§58 odst. 5)</t>
  </si>
  <si>
    <t>mzdy</t>
  </si>
  <si>
    <t>Ukazatel</t>
  </si>
  <si>
    <t>KaM</t>
  </si>
  <si>
    <t>vědečtí pracovníci</t>
  </si>
  <si>
    <t>celkem</t>
  </si>
  <si>
    <t>Stav k 1.1.</t>
  </si>
  <si>
    <t>Stav k 31.12.</t>
  </si>
  <si>
    <t>Tvorba</t>
  </si>
  <si>
    <t>z fondu reprodukce inv. majetku</t>
  </si>
  <si>
    <t>z fondu odměn</t>
  </si>
  <si>
    <t>z fondu provozních prostředků</t>
  </si>
  <si>
    <t>Čerpání</t>
  </si>
  <si>
    <t>krytí ztrát minulých účetních období</t>
  </si>
  <si>
    <t>do fondu reprodukce inv. majetku</t>
  </si>
  <si>
    <t>do fondu odměn</t>
  </si>
  <si>
    <t>do fondu provozních prostředků</t>
  </si>
  <si>
    <t>z odpisů</t>
  </si>
  <si>
    <t xml:space="preserve">ze zůstatku příspěvku </t>
  </si>
  <si>
    <t xml:space="preserve">zůstat.cena nehm. a hmot.dlouhod. majektu </t>
  </si>
  <si>
    <t>Převod z fondů celkem</t>
  </si>
  <si>
    <t>v tom: z fondu odměn</t>
  </si>
  <si>
    <t xml:space="preserve">            z fondu provozních prostředků</t>
  </si>
  <si>
    <t xml:space="preserve">            z rezervního fondu</t>
  </si>
  <si>
    <t xml:space="preserve">            stroje a zařízení</t>
  </si>
  <si>
    <t xml:space="preserve">            nákupy nemovitostí</t>
  </si>
  <si>
    <t>Převod do fondů celkem</t>
  </si>
  <si>
    <t>v tom: do fondu odměn</t>
  </si>
  <si>
    <t xml:space="preserve">            do fondu provozních prostředků</t>
  </si>
  <si>
    <t xml:space="preserve">            do rezervního fondu</t>
  </si>
  <si>
    <t>daňově uznatelné výdaje podle zák. 586/1992 Sb. o daních z příjmů</t>
  </si>
  <si>
    <t xml:space="preserve">Stav k 31.12. </t>
  </si>
  <si>
    <t>z rezervního fondu</t>
  </si>
  <si>
    <t>mzdové náklady</t>
  </si>
  <si>
    <t>do rezervního fondu</t>
  </si>
  <si>
    <t>Neinvestice</t>
  </si>
  <si>
    <t>Investice</t>
  </si>
  <si>
    <t>účelově určené dary § 18 odst. 9 a) zák. č. 111/1998 Sb.</t>
  </si>
  <si>
    <t>účelově určené peněžní prostředky ze zahraničí § 18 odst. 9 b) zák. č. 111/1998 Sb.</t>
  </si>
  <si>
    <t xml:space="preserve">Tvorba </t>
  </si>
  <si>
    <t xml:space="preserve">Čerpání </t>
  </si>
  <si>
    <t>Příděl podle § 18 odst. 12 zák. č. 111/1998 Sb.</t>
  </si>
  <si>
    <t>ze zůstatku příspěvku</t>
  </si>
  <si>
    <t>na provozní náklady dle vnitřního předpisu VŠ</t>
  </si>
  <si>
    <t>a</t>
  </si>
  <si>
    <t>b</t>
  </si>
  <si>
    <t>c</t>
  </si>
  <si>
    <t>d</t>
  </si>
  <si>
    <t>e</t>
  </si>
  <si>
    <t>f</t>
  </si>
  <si>
    <t>g</t>
  </si>
  <si>
    <t>h</t>
  </si>
  <si>
    <t>i</t>
  </si>
  <si>
    <t>j</t>
  </si>
  <si>
    <t>za vynikající studijní výsledky dle § 91 odst. 2 písm. a)</t>
  </si>
  <si>
    <t>za vynikající vědecké, výzkumné, vývojové, umělecké nebo další tvůrčí výsledky přispívající k prohloubení znalostí dle § 91 odst. 2 písm. b)</t>
  </si>
  <si>
    <t>v případě tíživé sociální situace studenta dle § 91 odst. 3)</t>
  </si>
  <si>
    <t>ubytovací stipendium</t>
  </si>
  <si>
    <t>na podporu studia v zahraničí dle § 91 odst. 4 písm. a)</t>
  </si>
  <si>
    <t>CEEPUS</t>
  </si>
  <si>
    <t>na podporu studia v ČR dle § 91 odst. 4 písm. b)</t>
  </si>
  <si>
    <t>AKTION</t>
  </si>
  <si>
    <t xml:space="preserve">studentům doktorských studijních programů dle § 91 odst. 4 písm. c) </t>
  </si>
  <si>
    <t>Výnosy</t>
  </si>
  <si>
    <t>v hlavní činnosti</t>
  </si>
  <si>
    <t>v doplňkové činnosti</t>
  </si>
  <si>
    <t xml:space="preserve">od studentů </t>
  </si>
  <si>
    <t>od cizích strávníků</t>
  </si>
  <si>
    <t>od cizích ubytovaných</t>
  </si>
  <si>
    <t xml:space="preserve">z dotace MŠMT </t>
  </si>
  <si>
    <t>sl. 1</t>
  </si>
  <si>
    <t>ř.80/1+80/2</t>
  </si>
  <si>
    <t>ř.82/1+82/2</t>
  </si>
  <si>
    <t>sl. 2</t>
  </si>
  <si>
    <t>Identifikační číslo EDS (ISPROFIN)</t>
  </si>
  <si>
    <t>Hlavní   činnost</t>
  </si>
  <si>
    <t>poplatky za nadstandardní dobu studia (§58 odst. 3)</t>
  </si>
  <si>
    <t>poplatky za studium v dalším stud. programu (§58 odst. 4)</t>
  </si>
  <si>
    <t>úplata za poskytování U3V</t>
  </si>
  <si>
    <t>úplata za poskytování programů CŽV (§ 60) mimo U3V</t>
  </si>
  <si>
    <t>Investiční celkem</t>
  </si>
  <si>
    <t>účelově určené prostředky na VaV kapitoly 333-MŠMT, § 18 odst.9 c) zák. č. 111/1998 Sb.</t>
  </si>
  <si>
    <t>účelově určené prostředky z jiné podpory z veř. prostředků, § 18 odst.9 c) zák. č. 111/1998 Sb.</t>
  </si>
  <si>
    <t xml:space="preserve">Poznámky: </t>
  </si>
  <si>
    <t xml:space="preserve">                    7.Pořizovaný dlouhodobý finanční majetek</t>
  </si>
  <si>
    <t xml:space="preserve">                   15.Pohledávky z pevných termínovaných operací a opcí</t>
  </si>
  <si>
    <t xml:space="preserve">                   16.Pohledávky z vydaných dluhopisů</t>
  </si>
  <si>
    <t xml:space="preserve">                     2.Vydané dluhopisy</t>
  </si>
  <si>
    <t xml:space="preserve">                    20.Vydané krátkodobé dluhopisy</t>
  </si>
  <si>
    <r>
      <t xml:space="preserve"> Příloha č.1 k vyhlášce č. </t>
    </r>
    <r>
      <rPr>
        <b/>
        <sz val="9"/>
        <rFont val="Calibri"/>
        <family val="2"/>
        <charset val="238"/>
      </rPr>
      <t>504/2002 Sb.</t>
    </r>
    <r>
      <rPr>
        <sz val="9"/>
        <rFont val="Calibri"/>
        <family val="2"/>
        <charset val="238"/>
      </rPr>
      <t xml:space="preserve"> ve znění pozdějších předpisů</t>
    </r>
  </si>
  <si>
    <r>
      <t>Jednotlivé položky se vykazují v tis. Kč (</t>
    </r>
    <r>
      <rPr>
        <sz val="10"/>
        <rFont val="Calibri"/>
        <family val="2"/>
        <charset val="238"/>
      </rPr>
      <t>§4, odst.3</t>
    </r>
    <r>
      <rPr>
        <b/>
        <sz val="10"/>
        <rFont val="Calibri"/>
        <family val="2"/>
        <charset val="238"/>
      </rPr>
      <t>)</t>
    </r>
  </si>
  <si>
    <r>
      <t xml:space="preserve"> Příloha č.2 k vyhlášce č. </t>
    </r>
    <r>
      <rPr>
        <b/>
        <sz val="9"/>
        <rFont val="Calibri"/>
        <family val="2"/>
        <charset val="238"/>
      </rPr>
      <t>504/2002 Sb.</t>
    </r>
    <r>
      <rPr>
        <sz val="9"/>
        <rFont val="Calibri"/>
        <family val="2"/>
        <charset val="238"/>
      </rPr>
      <t xml:space="preserve"> ve znění pozdějších předpisů</t>
    </r>
  </si>
  <si>
    <r>
      <t xml:space="preserve"> Jednotlivé položky se vykazují v tis. Kč (</t>
    </r>
    <r>
      <rPr>
        <sz val="10"/>
        <rFont val="Calibri"/>
        <family val="2"/>
        <charset val="238"/>
      </rPr>
      <t>§4, odst.3</t>
    </r>
    <r>
      <rPr>
        <b/>
        <sz val="10"/>
        <rFont val="Calibri"/>
        <family val="2"/>
        <charset val="238"/>
      </rPr>
      <t>)</t>
    </r>
  </si>
  <si>
    <t>k</t>
  </si>
  <si>
    <t>profesoři</t>
  </si>
  <si>
    <t>docenti</t>
  </si>
  <si>
    <t>odborní asistenti</t>
  </si>
  <si>
    <t>asistenti</t>
  </si>
  <si>
    <t>lektoři</t>
  </si>
  <si>
    <t>akademičtí pracovníci</t>
  </si>
  <si>
    <t>CELKEM</t>
  </si>
  <si>
    <t>Fondy</t>
  </si>
  <si>
    <t>bez VaV</t>
  </si>
  <si>
    <t>Operační programy EU</t>
  </si>
  <si>
    <t>Ostatní zdroje</t>
  </si>
  <si>
    <t>Počet pracovníků</t>
  </si>
  <si>
    <t>Průměrná měsíční mzda</t>
  </si>
  <si>
    <t>Kapitola 333 - MŠMT</t>
  </si>
  <si>
    <t>VZaLS</t>
  </si>
  <si>
    <t>Vysoká škola</t>
  </si>
  <si>
    <t>VaV</t>
  </si>
  <si>
    <t>VaV z ostatních zdrojů (bez operačních progr.)</t>
  </si>
  <si>
    <t>VaV ze zahraničí</t>
  </si>
  <si>
    <t>vysoká škola</t>
  </si>
  <si>
    <t>ostatní poskytovatelé</t>
  </si>
  <si>
    <t>kapitola 333 - MŠMT</t>
  </si>
  <si>
    <t>Mzdy</t>
  </si>
  <si>
    <t>ostatní zdroje rozpočtu VŠ</t>
  </si>
  <si>
    <t>Zdroj financování</t>
  </si>
  <si>
    <t>MŠMT OP VK</t>
  </si>
  <si>
    <t>MŠMT OP VaVpI</t>
  </si>
  <si>
    <t>Poznámky</t>
  </si>
  <si>
    <t>v tom</t>
  </si>
  <si>
    <t>poskytnuté</t>
  </si>
  <si>
    <t>poskytnuto</t>
  </si>
  <si>
    <t>e=a+c</t>
  </si>
  <si>
    <t>f=b+d</t>
  </si>
  <si>
    <t>MŠMT</t>
  </si>
  <si>
    <t>použité</t>
  </si>
  <si>
    <t>další dle specifikace VŠ</t>
  </si>
  <si>
    <t>Výsledek hospodaření</t>
  </si>
  <si>
    <t>l=h-b</t>
  </si>
  <si>
    <t>m=k-c</t>
  </si>
  <si>
    <r>
      <t xml:space="preserve">Koleje a ostatní ubytovací zařízení provozované VVŠ </t>
    </r>
    <r>
      <rPr>
        <sz val="8"/>
        <rFont val="Calibri"/>
        <family val="2"/>
        <charset val="238"/>
      </rPr>
      <t>(1)</t>
    </r>
  </si>
  <si>
    <r>
      <rPr>
        <sz val="8"/>
        <rFont val="Calibri"/>
        <family val="2"/>
        <charset val="238"/>
      </rPr>
      <t>(1)</t>
    </r>
    <r>
      <rPr>
        <sz val="10"/>
        <rFont val="Calibri"/>
        <family val="2"/>
        <charset val="238"/>
      </rPr>
      <t xml:space="preserve"> V případě potřeby rozšířit počet řádků.</t>
    </r>
  </si>
  <si>
    <r>
      <t xml:space="preserve">Menzy a ostatní stravovací zařízení, pro která vydalo souhlas MŠMT </t>
    </r>
    <r>
      <rPr>
        <sz val="8"/>
        <rFont val="Calibri"/>
        <family val="2"/>
        <charset val="238"/>
      </rPr>
      <t>(1)</t>
    </r>
  </si>
  <si>
    <t>sl.  3</t>
  </si>
  <si>
    <t>sl. 4</t>
  </si>
  <si>
    <r>
      <t xml:space="preserve">Rozvaha (bilance) </t>
    </r>
    <r>
      <rPr>
        <sz val="8"/>
        <rFont val="Calibri"/>
        <family val="2"/>
        <charset val="238"/>
      </rPr>
      <t>(1)</t>
    </r>
  </si>
  <si>
    <r>
      <t xml:space="preserve">účet / součet </t>
    </r>
    <r>
      <rPr>
        <sz val="8"/>
        <rFont val="Calibri"/>
        <family val="2"/>
        <charset val="238"/>
      </rPr>
      <t>(2)</t>
    </r>
  </si>
  <si>
    <r>
      <rPr>
        <sz val="8"/>
        <rFont val="Calibri"/>
        <family val="2"/>
        <charset val="238"/>
      </rPr>
      <t>(1)</t>
    </r>
    <r>
      <rPr>
        <i/>
        <sz val="10"/>
        <rFont val="Calibri"/>
        <family val="2"/>
        <charset val="238"/>
      </rPr>
      <t xml:space="preserve"> </t>
    </r>
    <r>
      <rPr>
        <sz val="10"/>
        <rFont val="Calibri"/>
        <family val="2"/>
        <charset val="238"/>
      </rPr>
      <t>Zpracování "Rozvahy" se řídí § 5 a §§ 7 až 25  Vyhlášky 504/2002 Sb.</t>
    </r>
  </si>
  <si>
    <r>
      <rPr>
        <sz val="8"/>
        <rFont val="Calibri"/>
        <family val="2"/>
        <charset val="238"/>
      </rPr>
      <t>(3)</t>
    </r>
    <r>
      <rPr>
        <sz val="10"/>
        <rFont val="Calibri"/>
        <family val="2"/>
        <charset val="238"/>
      </rPr>
      <t xml:space="preserve"> Číslování řádků a sloupců je závazné pro datové vstupní věty formátu F-JASU pro zpracování výkazů v MÚZO Praha s.r.o.</t>
    </r>
  </si>
  <si>
    <t xml:space="preserve">                     7.Závazky k institucím sociálního zabezpečení a veřejného zdravotního pojištění</t>
  </si>
  <si>
    <t>ř.43+47+52+57+65+73+77</t>
  </si>
  <si>
    <r>
      <t xml:space="preserve">Výkaz zisku a ztráty </t>
    </r>
    <r>
      <rPr>
        <sz val="8"/>
        <rFont val="Calibri"/>
        <family val="2"/>
        <charset val="238"/>
      </rPr>
      <t>(1)</t>
    </r>
  </si>
  <si>
    <r>
      <t xml:space="preserve">řádek </t>
    </r>
    <r>
      <rPr>
        <sz val="8"/>
        <rFont val="Calibri"/>
        <family val="2"/>
        <charset val="238"/>
      </rPr>
      <t>(3)</t>
    </r>
  </si>
  <si>
    <r>
      <rPr>
        <sz val="8"/>
        <rFont val="Calibri"/>
        <family val="2"/>
        <charset val="238"/>
      </rPr>
      <t>(2)</t>
    </r>
    <r>
      <rPr>
        <sz val="10"/>
        <rFont val="Calibri"/>
        <family val="2"/>
        <charset val="238"/>
      </rPr>
      <t xml:space="preserve"> Vyhláškou</t>
    </r>
    <r>
      <rPr>
        <sz val="10"/>
        <rFont val="Calibri"/>
        <family val="2"/>
        <charset val="238"/>
      </rPr>
      <t xml:space="preserve"> je dáno pouze označení a členění textů; čísla příslušných účtů jsou doplněna pro lepší orientaci ve výkazu.</t>
    </r>
  </si>
  <si>
    <t>celkem (+)</t>
  </si>
  <si>
    <t>k 31.12.</t>
  </si>
  <si>
    <t>e=a+b-d</t>
  </si>
  <si>
    <t xml:space="preserve">Fondy celkem  </t>
  </si>
  <si>
    <t>6a</t>
  </si>
  <si>
    <t>6b</t>
  </si>
  <si>
    <r>
      <t>Počet studentů</t>
    </r>
    <r>
      <rPr>
        <sz val="8"/>
        <rFont val="Calibri"/>
        <family val="2"/>
        <charset val="238"/>
      </rPr>
      <t xml:space="preserve"> (2)</t>
    </r>
  </si>
  <si>
    <t>Poznámka</t>
  </si>
  <si>
    <t>(1)</t>
  </si>
  <si>
    <t>STIPENDIA přiznána a vyplacena</t>
  </si>
  <si>
    <t>na výzkumnou, vývojovou a inovační činnost podle zvláštního právního předpisu, § 91 odst.2 písm. c)</t>
  </si>
  <si>
    <t>v případech zvláštního zřetele hodných dle § 91 odst. 2 písm. e)</t>
  </si>
  <si>
    <t>v případě tíživé sociální situace studenta dle § 91 odst. 2 písm. d)</t>
  </si>
  <si>
    <t>Příspěvek / dotace MŠMT</t>
  </si>
  <si>
    <t>Stipendijní fond VŠ</t>
  </si>
  <si>
    <r>
      <t xml:space="preserve">Celkem vyplaceno </t>
    </r>
    <r>
      <rPr>
        <sz val="8"/>
        <rFont val="Calibri"/>
        <family val="2"/>
        <charset val="238"/>
      </rPr>
      <t>(2)</t>
    </r>
  </si>
  <si>
    <t>Studenti</t>
  </si>
  <si>
    <t>Ostatní</t>
  </si>
  <si>
    <t>jiná stipendia</t>
  </si>
  <si>
    <t>Kontrolní vazba</t>
  </si>
  <si>
    <t>Kontrolní vazby</t>
  </si>
  <si>
    <t xml:space="preserve">                    13.Závazky ze vztahu k rozpočtu orgánů územních samosprávných celků</t>
  </si>
  <si>
    <t xml:space="preserve">                   10.Oprávky k drobnému dlouhodobému hmotnému majetku</t>
  </si>
  <si>
    <t xml:space="preserve">                   11.Oprávky k ostatnímu dlouhodobému hmotnému majetku</t>
  </si>
  <si>
    <t xml:space="preserve">     II. Výsledek hospodaření celkem</t>
  </si>
  <si>
    <t xml:space="preserve">                    14.Závazky z upsaných nesplacených cenných papírů a podílů</t>
  </si>
  <si>
    <t xml:space="preserve">                     3.Nerozdělený zisk, neuhrazená ztráta minulých let</t>
  </si>
  <si>
    <t xml:space="preserve">                    7.Pohledávky za institucemi sociálního zabezpečení a veřejného zdrav. pojištění</t>
  </si>
  <si>
    <t>v tom: stavby</t>
  </si>
  <si>
    <t>Druh stipendia</t>
  </si>
  <si>
    <t xml:space="preserve">            25.Odpisy dlouhodobého nehmotného a hmotného majetku</t>
  </si>
  <si>
    <t xml:space="preserve">            31.Poskytnuté příspěvky zúčtované mezi organizačními složkami</t>
  </si>
  <si>
    <t>Poplatky stanovené dle § 58 zákona 111/1998 Sb.</t>
  </si>
  <si>
    <t>Pronájem</t>
  </si>
  <si>
    <t>Tržby z prodeje majetku</t>
  </si>
  <si>
    <t>Dary</t>
  </si>
  <si>
    <t>Dědictví</t>
  </si>
  <si>
    <t>Vybrané činnosti</t>
  </si>
  <si>
    <t>Zdroje</t>
  </si>
  <si>
    <r>
      <t xml:space="preserve">Součásti VVŠ </t>
    </r>
    <r>
      <rPr>
        <sz val="8"/>
        <rFont val="Calibri"/>
        <family val="2"/>
        <charset val="238"/>
      </rPr>
      <t>(1)</t>
    </r>
  </si>
  <si>
    <t>(1) Členění se uvádí podle § 22 odst.1 a) zákona č.111/1998 Sb. Počet řádků rozšířit dle potřeby.</t>
  </si>
  <si>
    <t>Koleje a menzy - celkem</t>
  </si>
  <si>
    <t>hlavní + doplňková (hospodářská) činnost</t>
  </si>
  <si>
    <t>Ostatní součásti vysoké školy (výše neuvedené) - celkem</t>
  </si>
  <si>
    <r>
      <t xml:space="preserve">ostatní příjmy </t>
    </r>
    <r>
      <rPr>
        <sz val="10"/>
        <rFont val="Calibri"/>
        <family val="2"/>
        <charset val="238"/>
      </rPr>
      <t>(1)</t>
    </r>
  </si>
  <si>
    <r>
      <t xml:space="preserve">ostatní užití </t>
    </r>
    <r>
      <rPr>
        <sz val="10"/>
        <rFont val="Calibri"/>
        <family val="2"/>
        <charset val="238"/>
      </rPr>
      <t>(1)</t>
    </r>
  </si>
  <si>
    <r>
      <t xml:space="preserve">užití  </t>
    </r>
    <r>
      <rPr>
        <sz val="10"/>
        <rFont val="Calibri"/>
        <family val="2"/>
        <charset val="238"/>
      </rPr>
      <t>(1)</t>
    </r>
  </si>
  <si>
    <r>
      <t xml:space="preserve">poplatky za studium dle § 58 zákona 111/81998 Sb. </t>
    </r>
    <r>
      <rPr>
        <sz val="10"/>
        <color indexed="8"/>
        <rFont val="Calibri"/>
        <family val="2"/>
        <charset val="238"/>
      </rPr>
      <t>(1)</t>
    </r>
  </si>
  <si>
    <r>
      <t xml:space="preserve">ostatní příjmy </t>
    </r>
    <r>
      <rPr>
        <sz val="10"/>
        <color indexed="8"/>
        <rFont val="Calibri"/>
        <family val="2"/>
        <charset val="238"/>
      </rPr>
      <t>(2)</t>
    </r>
  </si>
  <si>
    <r>
      <t xml:space="preserve">Prostředky z veřejných zdrojů </t>
    </r>
    <r>
      <rPr>
        <b/>
        <sz val="10"/>
        <color indexed="8"/>
        <rFont val="Calibri"/>
        <family val="2"/>
        <charset val="238"/>
      </rPr>
      <t>běžné</t>
    </r>
  </si>
  <si>
    <r>
      <t xml:space="preserve">Prostředky z veřejných zdrojů </t>
    </r>
    <r>
      <rPr>
        <b/>
        <sz val="10"/>
        <color indexed="8"/>
        <rFont val="Calibri"/>
        <family val="2"/>
        <charset val="238"/>
      </rPr>
      <t>kapitálové</t>
    </r>
  </si>
  <si>
    <r>
      <t xml:space="preserve">Prostředky z veřejných zdrojů </t>
    </r>
    <r>
      <rPr>
        <b/>
        <sz val="10"/>
        <color indexed="8"/>
        <rFont val="Calibri"/>
        <family val="2"/>
        <charset val="238"/>
      </rPr>
      <t>celkem</t>
    </r>
  </si>
  <si>
    <t>Použité zdroje celkem</t>
  </si>
  <si>
    <t>g=e-f</t>
  </si>
  <si>
    <t>h=e-f</t>
  </si>
  <si>
    <t>PO 2 - Terciární vzdělávání, výzkum a vývoj</t>
  </si>
  <si>
    <t>2.2 Vysokoškolské vzdělávání</t>
  </si>
  <si>
    <t>2.3 Lidské zdroje ve VaV</t>
  </si>
  <si>
    <t>2.4 Partnerství a sítě</t>
  </si>
  <si>
    <t>PO 1 - Evropská centra excelence</t>
  </si>
  <si>
    <t>1.1 Evropská centra excelence</t>
  </si>
  <si>
    <t>PO 2 - Regionální VaV centra</t>
  </si>
  <si>
    <t>2.1 Regionální VaV centra</t>
  </si>
  <si>
    <t>PO 3 - Komercializace a popularizace VaV</t>
  </si>
  <si>
    <t>PO 4 – Infrastruktura pro výuku na VŠ spojenou s výzkumem</t>
  </si>
  <si>
    <t>4.1 Infrastruktura pro výuku na VŠ spojenou s výzkumem</t>
  </si>
  <si>
    <t>C  e  l  k  e  m</t>
  </si>
  <si>
    <t>Vratka nevyčerpaných prostředků</t>
  </si>
  <si>
    <t>Název údaje</t>
  </si>
  <si>
    <t>I. Běžné prostředky</t>
  </si>
  <si>
    <t>II. Kapitálové prostředky</t>
  </si>
  <si>
    <t>III. Celkem</t>
  </si>
  <si>
    <r>
      <t xml:space="preserve">poskytnuto </t>
    </r>
    <r>
      <rPr>
        <sz val="8"/>
        <rFont val="Calibri"/>
        <family val="2"/>
        <charset val="238"/>
      </rPr>
      <t>(2)</t>
    </r>
  </si>
  <si>
    <t>v tom:</t>
  </si>
  <si>
    <t>získané přes kapitolu MŠMT</t>
  </si>
  <si>
    <t>dotace spojené se vzdělávací činností</t>
  </si>
  <si>
    <t>dotace na VaV</t>
  </si>
  <si>
    <t xml:space="preserve">Název akce </t>
  </si>
  <si>
    <r>
      <t xml:space="preserve">Prostředky z veřejných zdrojů </t>
    </r>
    <r>
      <rPr>
        <b/>
        <sz val="10"/>
        <color indexed="8"/>
        <rFont val="Calibri"/>
        <family val="2"/>
        <charset val="238"/>
      </rPr>
      <t>celkem</t>
    </r>
    <r>
      <rPr>
        <sz val="10"/>
        <color indexed="8"/>
        <rFont val="Calibri"/>
        <family val="2"/>
        <charset val="238"/>
      </rPr>
      <t xml:space="preserve"> </t>
    </r>
  </si>
  <si>
    <t xml:space="preserve">poskytnuté </t>
  </si>
  <si>
    <t>j=f+h+i</t>
  </si>
  <si>
    <t>FRIM</t>
  </si>
  <si>
    <t>FPP</t>
  </si>
  <si>
    <t>FÚUP</t>
  </si>
  <si>
    <t>l= f+k</t>
  </si>
  <si>
    <t>C</t>
  </si>
  <si>
    <t>Stipendia pro studenty doktorských studijních programů</t>
  </si>
  <si>
    <t>D</t>
  </si>
  <si>
    <t>Zahraniční studenti a mezinárodní spolupráce</t>
  </si>
  <si>
    <t>F</t>
  </si>
  <si>
    <t>Fond vzdělávací politiky</t>
  </si>
  <si>
    <t>M</t>
  </si>
  <si>
    <t>Mimořádné aktivity</t>
  </si>
  <si>
    <t>S</t>
  </si>
  <si>
    <t>Sociální stipendia</t>
  </si>
  <si>
    <t>U</t>
  </si>
  <si>
    <t>Ubytovací stipendia</t>
  </si>
  <si>
    <t>G</t>
  </si>
  <si>
    <t>Fond rozvoje vysokých škol</t>
  </si>
  <si>
    <t>I</t>
  </si>
  <si>
    <t>Rozvojové programy</t>
  </si>
  <si>
    <t>J</t>
  </si>
  <si>
    <t>Dotace na ubytování a stravování</t>
  </si>
  <si>
    <t>A+B</t>
  </si>
  <si>
    <r>
      <t xml:space="preserve">Druh podpory (dotační položky a ukazatele) </t>
    </r>
    <r>
      <rPr>
        <sz val="8"/>
        <color indexed="8"/>
        <rFont val="Calibri"/>
        <family val="2"/>
        <charset val="238"/>
      </rPr>
      <t>(1)</t>
    </r>
  </si>
  <si>
    <r>
      <t>poskytnuté</t>
    </r>
    <r>
      <rPr>
        <sz val="8"/>
        <color indexed="8"/>
        <rFont val="Calibri"/>
        <family val="2"/>
        <charset val="238"/>
      </rPr>
      <t xml:space="preserve"> (2)</t>
    </r>
  </si>
  <si>
    <r>
      <t>použité</t>
    </r>
    <r>
      <rPr>
        <sz val="8"/>
        <color indexed="8"/>
        <rFont val="Calibri"/>
        <family val="2"/>
        <charset val="238"/>
      </rPr>
      <t xml:space="preserve"> (3)</t>
    </r>
  </si>
  <si>
    <t>další dle specifikace VVŠ</t>
  </si>
  <si>
    <t>Vratka nevyčerp. prostředků</t>
  </si>
  <si>
    <t>OON</t>
  </si>
  <si>
    <r>
      <t xml:space="preserve">Prostředky z veřejných zdrojů </t>
    </r>
    <r>
      <rPr>
        <b/>
        <sz val="10"/>
        <color indexed="8"/>
        <rFont val="Calibri"/>
        <family val="2"/>
        <charset val="238"/>
      </rPr>
      <t xml:space="preserve">běžné </t>
    </r>
    <r>
      <rPr>
        <sz val="8"/>
        <color indexed="8"/>
        <rFont val="Calibri"/>
        <family val="2"/>
        <charset val="238"/>
      </rPr>
      <t>(1)</t>
    </r>
  </si>
  <si>
    <r>
      <t xml:space="preserve">poskytnuté </t>
    </r>
    <r>
      <rPr>
        <sz val="8"/>
        <color indexed="8"/>
        <rFont val="Calibri"/>
        <family val="2"/>
        <charset val="238"/>
      </rPr>
      <t>(2)</t>
    </r>
  </si>
  <si>
    <r>
      <rPr>
        <sz val="8"/>
        <rFont val="Calibri"/>
        <family val="2"/>
        <charset val="238"/>
      </rPr>
      <t>(3)</t>
    </r>
    <r>
      <rPr>
        <sz val="10"/>
        <rFont val="Calibri"/>
        <family val="2"/>
        <charset val="238"/>
      </rPr>
      <t xml:space="preserve"> Uvedou se prostředky fondu reprodukce majetku VVŠ, případně investičního příspěvku daného roku.  Pokud v hodnotě bude investiční příspěvek obsažen, je třeba tuto skutečnost specifikovat v komentáři.</t>
    </r>
  </si>
  <si>
    <r>
      <t>Studijní programy a s nimi spojená tvůrčí činnost</t>
    </r>
    <r>
      <rPr>
        <sz val="8"/>
        <color indexed="8"/>
        <rFont val="Calibri"/>
        <family val="2"/>
        <charset val="238"/>
      </rPr>
      <t xml:space="preserve"> (6)</t>
    </r>
  </si>
  <si>
    <t>Územní rozpočty</t>
  </si>
  <si>
    <t>f*</t>
  </si>
  <si>
    <t>Ostatní kapitoly státního rozpočtu</t>
  </si>
  <si>
    <r>
      <t xml:space="preserve">Prostředky ze zahraničí </t>
    </r>
    <r>
      <rPr>
        <sz val="10"/>
        <color indexed="8"/>
        <rFont val="Calibri"/>
        <family val="2"/>
        <charset val="238"/>
      </rPr>
      <t>(získané přímo VVŠ)</t>
    </r>
  </si>
  <si>
    <r>
      <t xml:space="preserve">Druh podpory/název programu </t>
    </r>
    <r>
      <rPr>
        <sz val="8"/>
        <color indexed="8"/>
        <rFont val="Calibri"/>
        <family val="2"/>
        <charset val="238"/>
      </rPr>
      <t>(1)</t>
    </r>
  </si>
  <si>
    <r>
      <t xml:space="preserve">použité </t>
    </r>
    <r>
      <rPr>
        <sz val="8"/>
        <color indexed="8"/>
        <rFont val="Calibri"/>
        <family val="2"/>
        <charset val="238"/>
      </rPr>
      <t>(3)</t>
    </r>
  </si>
  <si>
    <r>
      <rPr>
        <sz val="8"/>
        <color indexed="8"/>
        <rFont val="Calibri"/>
        <family val="2"/>
        <charset val="238"/>
      </rPr>
      <t>(2)</t>
    </r>
    <r>
      <rPr>
        <sz val="10"/>
        <color indexed="8"/>
        <rFont val="Calibri"/>
        <family val="2"/>
        <charset val="238"/>
      </rPr>
      <t xml:space="preserve"> Poskytnuto: jedná se o finanční prostředky, které byly vysoké škole poskytnuty v daném kalendářním roce jako podpora VaV podle zákona 130/2002 Sb. Uvádí se ve shodě s objemem finančních prostředků uvedených v rozhodnutí (sl. a, c, e).</t>
    </r>
  </si>
  <si>
    <t>j=f+i</t>
  </si>
  <si>
    <r>
      <t>Vlastní použité</t>
    </r>
    <r>
      <rPr>
        <sz val="8"/>
        <color indexed="8"/>
        <rFont val="Calibri"/>
        <family val="2"/>
        <charset val="238"/>
      </rPr>
      <t xml:space="preserve"> (3)</t>
    </r>
  </si>
  <si>
    <r>
      <rPr>
        <sz val="8"/>
        <rFont val="Calibri"/>
        <family val="2"/>
        <charset val="238"/>
      </rPr>
      <t>(4)</t>
    </r>
    <r>
      <rPr>
        <sz val="9"/>
        <rFont val="Calibri"/>
        <family val="2"/>
        <charset val="238"/>
      </rPr>
      <t xml:space="preserve"> Uvedou se </t>
    </r>
    <r>
      <rPr>
        <sz val="10"/>
        <rFont val="Calibri"/>
        <family val="2"/>
        <charset val="238"/>
      </rPr>
      <t>prostředky nezařazené v předchozích sloupcích.</t>
    </r>
  </si>
  <si>
    <t>f**</t>
  </si>
  <si>
    <r>
      <t xml:space="preserve">Operační program/prioritní osa/oblast podpory  </t>
    </r>
    <r>
      <rPr>
        <sz val="8"/>
        <color indexed="8"/>
        <rFont val="Calibri"/>
        <family val="2"/>
        <charset val="238"/>
      </rPr>
      <t>(1)</t>
    </r>
  </si>
  <si>
    <r>
      <t xml:space="preserve">poskytnuté </t>
    </r>
    <r>
      <rPr>
        <sz val="8"/>
        <color indexed="8"/>
        <rFont val="Calibri"/>
        <family val="2"/>
        <charset val="238"/>
      </rPr>
      <t>(3)</t>
    </r>
  </si>
  <si>
    <r>
      <t xml:space="preserve">použité </t>
    </r>
    <r>
      <rPr>
        <sz val="8"/>
        <color indexed="8"/>
        <rFont val="Calibri"/>
        <family val="2"/>
        <charset val="238"/>
      </rPr>
      <t>(4)</t>
    </r>
  </si>
  <si>
    <r>
      <t>z toho zdroje EU v</t>
    </r>
    <r>
      <rPr>
        <sz val="10"/>
        <color indexed="8"/>
        <rFont val="Calibri"/>
        <family val="2"/>
        <charset val="238"/>
      </rPr>
      <t xml:space="preserve"> %</t>
    </r>
    <r>
      <rPr>
        <sz val="8"/>
        <color indexed="8"/>
        <rFont val="Calibri"/>
        <family val="2"/>
        <charset val="238"/>
      </rPr>
      <t xml:space="preserve"> (5)</t>
    </r>
  </si>
  <si>
    <r>
      <t xml:space="preserve">VaV </t>
    </r>
    <r>
      <rPr>
        <sz val="8"/>
        <color indexed="8"/>
        <rFont val="Calibri"/>
        <family val="2"/>
        <charset val="238"/>
      </rPr>
      <t>(2)</t>
    </r>
  </si>
  <si>
    <r>
      <rPr>
        <sz val="8"/>
        <color indexed="8"/>
        <rFont val="Calibri"/>
        <family val="2"/>
        <charset val="238"/>
      </rPr>
      <t>(5)</t>
    </r>
    <r>
      <rPr>
        <sz val="10"/>
        <color indexed="8"/>
        <rFont val="Calibri"/>
        <family val="2"/>
        <charset val="238"/>
      </rPr>
      <t xml:space="preserve"> Z celkových prostředků poskytnutých i použitých k financování projektů v dané kategorii se uvede procentuální podíl zdrojů pocházejících mimo veřejné rozpočty ČR - z EU; např. v případě OP VK zde bude uvedeno 85%.</t>
    </r>
  </si>
  <si>
    <r>
      <rPr>
        <sz val="8"/>
        <color indexed="8"/>
        <rFont val="Calibri"/>
        <family val="2"/>
        <charset val="238"/>
      </rPr>
      <t>(9)</t>
    </r>
    <r>
      <rPr>
        <sz val="10"/>
        <color indexed="8"/>
        <rFont val="Calibri"/>
        <family val="2"/>
        <charset val="238"/>
      </rPr>
      <t xml:space="preserve"> Uvedou se prostředky nezařazené  v předchozích sloupcích. Pokud jsou v uvedené hodnotě obsaženy i veřejné zdroje, poskytnuté škole ve sledovaném roce prostřednictvím jiného dotačního titulu,  je nutné tuto skutečnost specifikovat v komentáři.</t>
    </r>
  </si>
  <si>
    <r>
      <t>Prostředky ze zahraničí</t>
    </r>
    <r>
      <rPr>
        <b/>
        <sz val="10"/>
        <color indexed="8"/>
        <rFont val="Calibri"/>
        <family val="2"/>
        <charset val="238"/>
      </rPr>
      <t xml:space="preserve"> (získané přímo VVŠ)</t>
    </r>
  </si>
  <si>
    <t>Tabulka 1   Rozvaha (bilance)</t>
  </si>
  <si>
    <t>Tabulka 2   Výkaz zisku a ztráty</t>
  </si>
  <si>
    <t>Tabulka 4   Přehled o peněžních tocích (výkaz cash flow)</t>
  </si>
  <si>
    <t>Tabulka 7   Příjmy z poplatků a úhrad za další činnosti poskytované veřejnou vysokou školou</t>
  </si>
  <si>
    <r>
      <t xml:space="preserve">Tabulka 10   Neinvestiční náklady a výnosy - Koleje a menzy </t>
    </r>
    <r>
      <rPr>
        <sz val="12"/>
        <rFont val="Calibri"/>
        <family val="2"/>
        <charset val="238"/>
      </rPr>
      <t>(KaM)</t>
    </r>
  </si>
  <si>
    <t>Tabulka 10.a   Neinvestiční náklady a výnosy - oblast stravování</t>
  </si>
  <si>
    <t>Tabulka 10.b   Neinvestiční náklady a výnosy - oblast ubytování</t>
  </si>
  <si>
    <r>
      <rPr>
        <sz val="8"/>
        <color indexed="8"/>
        <rFont val="Calibri"/>
        <family val="2"/>
        <charset val="238"/>
      </rPr>
      <t>(1)</t>
    </r>
    <r>
      <rPr>
        <sz val="10"/>
        <color indexed="8"/>
        <rFont val="Calibri"/>
        <family val="2"/>
        <charset val="238"/>
      </rPr>
      <t xml:space="preserve"> Součtové údaje řádků označených tmavě šedou barvou  se musí shodovat s údaji uvedenými v tabulce 5. Součtový údaj za MŠMT = Tab. 5, ř.9+ř.11; za dotace ostatních kapitol státního rozpočtu = Tab. 5, ř.18; za územní rozpočty = Tab. 5, ř.25; za prostředky ze zahraničí = Tab. 5, ř.28. Tabulka je tříděna podle poskytovatele, za každého poskytovatele VŠ vždy uvede součtový údaj (předpokládá se, že příspěvek poskytuje vysoké škole pouze MŠMT, v ostatních případech se bude jednat o dotaci). U každého poskytovatele pak budou uvedeny v řádcích zdroje z jednotlivých programů, které VŠ získala (nejpodrobnější údaj bude na úrovni programu, není třeba vyplňovat tabulku na úroveň projektů). </t>
    </r>
    <r>
      <rPr>
        <sz val="10"/>
        <color indexed="8"/>
        <rFont val="Calibri"/>
        <family val="2"/>
        <charset val="238"/>
      </rPr>
      <t>Pokud škola realizuje vzdělávací projekt/program financovaný pouze z neveřejných zdrojů, realizuje aktivity v rámci doplňkové činnosti za úplatu, apod., do této tabulky je uvádět v řádcích nebude.</t>
    </r>
  </si>
  <si>
    <r>
      <rPr>
        <sz val="8"/>
        <color indexed="8"/>
        <rFont val="Calibri"/>
        <family val="2"/>
        <charset val="238"/>
      </rPr>
      <t>(4)</t>
    </r>
    <r>
      <rPr>
        <sz val="10"/>
        <color indexed="8"/>
        <rFont val="Calibri"/>
        <family val="2"/>
        <charset val="238"/>
      </rPr>
      <t xml:space="preserve"> Z celkových veřejných prostředků poskytnutých i použitých k financování projektů v dané kategorii se uvede procentuální podíl zdrojů pocházejících mimo veřejné rozpočty ČR - z veřejných rozpočtu EU nebo jiných zahraničních veřejných zdrojů.</t>
    </r>
  </si>
  <si>
    <r>
      <t>z toho zdroje zahr. v</t>
    </r>
    <r>
      <rPr>
        <sz val="10"/>
        <color indexed="8"/>
        <rFont val="Calibri"/>
        <family val="2"/>
        <charset val="238"/>
      </rPr>
      <t xml:space="preserve"> %</t>
    </r>
    <r>
      <rPr>
        <sz val="8"/>
        <color indexed="8"/>
        <rFont val="Calibri"/>
        <family val="2"/>
        <charset val="238"/>
      </rPr>
      <t xml:space="preserve"> (4)</t>
    </r>
  </si>
  <si>
    <r>
      <rPr>
        <sz val="8"/>
        <rFont val="Calibri"/>
        <family val="2"/>
        <charset val="238"/>
      </rPr>
      <t xml:space="preserve">(5)  </t>
    </r>
    <r>
      <rPr>
        <sz val="10"/>
        <rFont val="Calibri"/>
        <family val="2"/>
        <charset val="238"/>
      </rPr>
      <t>Součtová hodnota této tabulky se musí rovnat údaji uvedeném v tabulce 5, ř.10.</t>
    </r>
  </si>
  <si>
    <r>
      <rPr>
        <sz val="8"/>
        <color indexed="8"/>
        <rFont val="Calibri"/>
        <family val="2"/>
        <charset val="238"/>
      </rPr>
      <t>(1)</t>
    </r>
    <r>
      <rPr>
        <sz val="10"/>
        <color indexed="8"/>
        <rFont val="Calibri"/>
        <family val="2"/>
        <charset val="238"/>
      </rPr>
      <t xml:space="preserve"> Součtové údaje řádků označených tmavě šedou barvou  se musí shodovat s údaji uvedenými v tabulce 5. Součtový údaj za MŠMT </t>
    </r>
    <r>
      <rPr>
        <u/>
        <sz val="10"/>
        <color indexed="8"/>
        <rFont val="Calibri"/>
        <family val="2"/>
        <charset val="238"/>
      </rPr>
      <t>v částech označených VaV</t>
    </r>
    <r>
      <rPr>
        <sz val="10"/>
        <color indexed="8"/>
        <rFont val="Calibri"/>
        <family val="2"/>
        <charset val="238"/>
      </rPr>
      <t xml:space="preserve"> = Tab. 5, ř.6; za dotace ostatních kapitol státního rozpočtu = Tab. 5, ř.16; za územní rozpočty = Tab. 5, ř.23. Součtový údaj za MŠMT</t>
    </r>
    <r>
      <rPr>
        <u/>
        <sz val="10"/>
        <color indexed="8"/>
        <rFont val="Calibri"/>
        <family val="2"/>
        <charset val="238"/>
      </rPr>
      <t xml:space="preserve"> v částech neoznačených VaV</t>
    </r>
    <r>
      <rPr>
        <sz val="10"/>
        <color indexed="8"/>
        <rFont val="Calibri"/>
        <family val="2"/>
        <charset val="238"/>
      </rPr>
      <t xml:space="preserve"> = Tab. 5, ř.5; za dotace ostatních kapitol státního rozpočtu = Tab. 5, ř.15; za územní rozpočty = Tab. 5, ř.22.
Tabulka je tříděna podle poskytovatele, dále podle operačního programu, prioritní osy, oblasti podpory (nejpodrobnější údaj bude na úrovni oblasti podpory, není třeba vyplňovat tabulku na úroveň projektů). VŠ uvede ty programy, ve kterých získává finanční prostředky (tzn. včetně IPN). Za každého poskytovatele VŠ vždy uvede součtový údaj. </t>
    </r>
  </si>
  <si>
    <r>
      <t>řádek</t>
    </r>
    <r>
      <rPr>
        <sz val="9"/>
        <rFont val="Calibri"/>
        <family val="2"/>
        <charset val="238"/>
      </rPr>
      <t xml:space="preserve"> </t>
    </r>
    <r>
      <rPr>
        <sz val="8"/>
        <rFont val="Calibri"/>
        <family val="2"/>
        <charset val="238"/>
      </rPr>
      <t>(3)</t>
    </r>
  </si>
  <si>
    <r>
      <t>stav k 1.1.</t>
    </r>
    <r>
      <rPr>
        <b/>
        <sz val="8"/>
        <rFont val="Calibri"/>
        <family val="2"/>
        <charset val="238"/>
      </rPr>
      <t xml:space="preserve"> </t>
    </r>
    <r>
      <rPr>
        <sz val="8"/>
        <rFont val="Calibri"/>
        <family val="2"/>
        <charset val="238"/>
      </rPr>
      <t>(4)</t>
    </r>
  </si>
  <si>
    <r>
      <t>stav k 31.12.</t>
    </r>
    <r>
      <rPr>
        <sz val="8"/>
        <rFont val="Calibri"/>
        <family val="2"/>
        <charset val="238"/>
      </rPr>
      <t>(4)</t>
    </r>
  </si>
  <si>
    <r>
      <t xml:space="preserve">hlavní činnost </t>
    </r>
    <r>
      <rPr>
        <sz val="8"/>
        <rFont val="Calibri"/>
        <family val="2"/>
        <charset val="238"/>
      </rPr>
      <t>(4)</t>
    </r>
  </si>
  <si>
    <r>
      <t xml:space="preserve">doplňková (hospodářská) činnost </t>
    </r>
    <r>
      <rPr>
        <sz val="8"/>
        <rFont val="Calibri"/>
        <family val="2"/>
        <charset val="238"/>
      </rPr>
      <t>(4)</t>
    </r>
  </si>
  <si>
    <t xml:space="preserve">       dotace spojené s programy reprodukce majetku</t>
  </si>
  <si>
    <t xml:space="preserve">       příspěvek</t>
  </si>
  <si>
    <t xml:space="preserve">       ostatní dotace</t>
  </si>
  <si>
    <r>
      <t xml:space="preserve">Prostředky z veřejných zdrojů (dotace a příspěvky) národní i zahraniční  </t>
    </r>
    <r>
      <rPr>
        <b/>
        <sz val="8"/>
        <rFont val="Calibri"/>
        <family val="2"/>
        <charset val="238"/>
      </rPr>
      <t>(ř.2+ř.27)</t>
    </r>
  </si>
  <si>
    <r>
      <t xml:space="preserve"> v tom: </t>
    </r>
    <r>
      <rPr>
        <b/>
        <sz val="10"/>
        <rFont val="Calibri"/>
        <family val="2"/>
        <charset val="238"/>
      </rPr>
      <t xml:space="preserve">1. prostředky plynoucí přes (z) veřejné rozpočty ČR   </t>
    </r>
    <r>
      <rPr>
        <b/>
        <sz val="8"/>
        <rFont val="Calibri"/>
        <family val="2"/>
        <charset val="238"/>
      </rPr>
      <t>(ř.3+ř.13+ř.20)</t>
    </r>
  </si>
  <si>
    <r>
      <t xml:space="preserve">získané přes kapitolu MŠMT  </t>
    </r>
    <r>
      <rPr>
        <sz val="8"/>
        <rFont val="Calibri"/>
        <family val="2"/>
        <charset val="238"/>
      </rPr>
      <t>(ř.4+ř.7)</t>
    </r>
  </si>
  <si>
    <r>
      <t xml:space="preserve">dotace ostatní  </t>
    </r>
    <r>
      <rPr>
        <sz val="8"/>
        <rFont val="Calibri"/>
        <family val="2"/>
        <charset val="238"/>
      </rPr>
      <t>(ř.8+ř.12)</t>
    </r>
  </si>
  <si>
    <r>
      <t xml:space="preserve">dotace spojené se vzdělávací činností  </t>
    </r>
    <r>
      <rPr>
        <sz val="8"/>
        <rFont val="Calibri"/>
        <family val="2"/>
        <charset val="238"/>
      </rPr>
      <t>(ř.9+ř.10+ř.11)</t>
    </r>
  </si>
  <si>
    <r>
      <t xml:space="preserve">získané přes ostatní kapitoly státního rozpočtu  </t>
    </r>
    <r>
      <rPr>
        <sz val="8"/>
        <rFont val="Calibri"/>
        <family val="2"/>
        <charset val="238"/>
      </rPr>
      <t>(ř.14+ř.17)</t>
    </r>
  </si>
  <si>
    <r>
      <t xml:space="preserve">dotace na operační programy EU  </t>
    </r>
    <r>
      <rPr>
        <sz val="8"/>
        <rFont val="Calibri"/>
        <family val="2"/>
        <charset val="238"/>
      </rPr>
      <t>(ř.15+ř.16)</t>
    </r>
  </si>
  <si>
    <r>
      <t xml:space="preserve">dotace ostatní  </t>
    </r>
    <r>
      <rPr>
        <sz val="8"/>
        <rFont val="Calibri"/>
        <family val="2"/>
        <charset val="238"/>
      </rPr>
      <t>(ř.18+ř.19)</t>
    </r>
  </si>
  <si>
    <r>
      <t xml:space="preserve">získané přes územní rozpočty  </t>
    </r>
    <r>
      <rPr>
        <sz val="8"/>
        <rFont val="Calibri"/>
        <family val="2"/>
        <charset val="238"/>
      </rPr>
      <t>(ř.21+ř.24)</t>
    </r>
  </si>
  <si>
    <r>
      <t xml:space="preserve">dotace na operační programy EU  </t>
    </r>
    <r>
      <rPr>
        <sz val="8"/>
        <rFont val="Calibri"/>
        <family val="2"/>
        <charset val="238"/>
      </rPr>
      <t>(ř.22+ř.23)</t>
    </r>
  </si>
  <si>
    <r>
      <t xml:space="preserve">v tom: </t>
    </r>
    <r>
      <rPr>
        <b/>
        <sz val="10"/>
        <rFont val="Calibri"/>
        <family val="2"/>
        <charset val="238"/>
      </rPr>
      <t xml:space="preserve">2. veřejné prostředky ze zahraničí </t>
    </r>
    <r>
      <rPr>
        <sz val="10"/>
        <rFont val="Calibri"/>
        <family val="2"/>
        <charset val="238"/>
      </rPr>
      <t xml:space="preserve">(získané přímo VVŠ)  </t>
    </r>
    <r>
      <rPr>
        <sz val="8"/>
        <rFont val="Calibri"/>
        <family val="2"/>
        <charset val="238"/>
      </rPr>
      <t>(ř.28+ř.29)</t>
    </r>
  </si>
  <si>
    <r>
      <t xml:space="preserve">SOUHRN 1 </t>
    </r>
    <r>
      <rPr>
        <sz val="8"/>
        <rFont val="Calibri"/>
        <family val="2"/>
        <charset val="238"/>
      </rPr>
      <t>(4)  (ř.31+ř.36)</t>
    </r>
  </si>
  <si>
    <r>
      <t xml:space="preserve">dotace spojené se vzdělávací činností  </t>
    </r>
    <r>
      <rPr>
        <sz val="8"/>
        <rFont val="Calibri"/>
        <family val="2"/>
        <charset val="238"/>
      </rPr>
      <t>(ř.32+ř.33+ř.34+ř.35)</t>
    </r>
  </si>
  <si>
    <r>
      <t xml:space="preserve">získané přes kapitolu MŠMT  </t>
    </r>
    <r>
      <rPr>
        <sz val="8"/>
        <rFont val="Calibri"/>
        <family val="2"/>
        <charset val="238"/>
      </rPr>
      <t>(ř.5+ř.8)</t>
    </r>
  </si>
  <si>
    <r>
      <t xml:space="preserve">získané přes ostatní kapitoly státního rozpočtu </t>
    </r>
    <r>
      <rPr>
        <sz val="8"/>
        <rFont val="Calibri"/>
        <family val="2"/>
        <charset val="238"/>
      </rPr>
      <t xml:space="preserve"> (ř.15+ř.18)</t>
    </r>
  </si>
  <si>
    <r>
      <t xml:space="preserve">získané přes územní rozpočty  </t>
    </r>
    <r>
      <rPr>
        <sz val="8"/>
        <rFont val="Calibri"/>
        <family val="2"/>
        <charset val="238"/>
      </rPr>
      <t xml:space="preserve"> (ř.22+ř.25)</t>
    </r>
  </si>
  <si>
    <r>
      <t xml:space="preserve">veřejné prostředky ze zahraničí (získané přímo VVŠ) </t>
    </r>
    <r>
      <rPr>
        <sz val="8"/>
        <rFont val="Calibri"/>
        <family val="2"/>
        <charset val="238"/>
      </rPr>
      <t xml:space="preserve"> (ř.28)</t>
    </r>
  </si>
  <si>
    <r>
      <t xml:space="preserve">dotace na VaV  </t>
    </r>
    <r>
      <rPr>
        <sz val="8"/>
        <rFont val="Calibri"/>
        <family val="2"/>
        <charset val="238"/>
      </rPr>
      <t>(ř.37+ř.38+ř.39+ř.40)</t>
    </r>
  </si>
  <si>
    <r>
      <t xml:space="preserve">získané přes kapitolu MŠMT  </t>
    </r>
    <r>
      <rPr>
        <sz val="8"/>
        <rFont val="Calibri"/>
        <family val="2"/>
        <charset val="238"/>
      </rPr>
      <t>(ř.6+ř.12)</t>
    </r>
  </si>
  <si>
    <r>
      <t xml:space="preserve">získané přes ostatní kapitoly státního rozpočtu  </t>
    </r>
    <r>
      <rPr>
        <sz val="8"/>
        <rFont val="Calibri"/>
        <family val="2"/>
        <charset val="238"/>
      </rPr>
      <t>(ř.16+ř.19)</t>
    </r>
  </si>
  <si>
    <r>
      <t xml:space="preserve">získané přes územní rozpočty </t>
    </r>
    <r>
      <rPr>
        <sz val="8"/>
        <rFont val="Calibri"/>
        <family val="2"/>
        <charset val="238"/>
      </rPr>
      <t>(ř.23+ř.26)</t>
    </r>
  </si>
  <si>
    <r>
      <t xml:space="preserve">veřejné prostředky ze zahraničí (získané přímo VVŠ) </t>
    </r>
    <r>
      <rPr>
        <sz val="8"/>
        <rFont val="Calibri"/>
        <family val="2"/>
        <charset val="238"/>
      </rPr>
      <t>(ř.29)</t>
    </r>
  </si>
  <si>
    <r>
      <t xml:space="preserve">SOUHRN 2  </t>
    </r>
    <r>
      <rPr>
        <b/>
        <sz val="8"/>
        <rFont val="Calibri"/>
        <family val="2"/>
        <charset val="238"/>
      </rPr>
      <t>(ř.42+ř.46)</t>
    </r>
  </si>
  <si>
    <r>
      <t xml:space="preserve">dotace spojené se vzdělávací činností  </t>
    </r>
    <r>
      <rPr>
        <sz val="8"/>
        <rFont val="Calibri"/>
        <family val="2"/>
        <charset val="238"/>
      </rPr>
      <t>(ř.43+ř.44+ř.45)</t>
    </r>
  </si>
  <si>
    <r>
      <t xml:space="preserve">dotace ostatní  </t>
    </r>
    <r>
      <rPr>
        <sz val="8"/>
        <rFont val="Calibri"/>
        <family val="2"/>
        <charset val="238"/>
      </rPr>
      <t>(ř.8+ř.18+ř.25)</t>
    </r>
  </si>
  <si>
    <r>
      <t xml:space="preserve">veřejné prostředky ze zahraničí (získané přímo VVŠ)  </t>
    </r>
    <r>
      <rPr>
        <sz val="8"/>
        <rFont val="Calibri"/>
        <family val="2"/>
        <charset val="238"/>
      </rPr>
      <t>(ř.28)</t>
    </r>
  </si>
  <si>
    <r>
      <t xml:space="preserve">dotace na VaV </t>
    </r>
    <r>
      <rPr>
        <sz val="8"/>
        <rFont val="Calibri"/>
        <family val="2"/>
        <charset val="238"/>
      </rPr>
      <t xml:space="preserve"> (ř.47+ř.48+ř.49)</t>
    </r>
  </si>
  <si>
    <r>
      <t xml:space="preserve">dotace ostatní </t>
    </r>
    <r>
      <rPr>
        <sz val="8"/>
        <rFont val="Calibri"/>
        <family val="2"/>
        <charset val="238"/>
      </rPr>
      <t xml:space="preserve"> (ř.12+ř.19+ř.26)</t>
    </r>
  </si>
  <si>
    <r>
      <t xml:space="preserve">veřejné prostředky ze zahraničí (získané přímo VVŠ)   </t>
    </r>
    <r>
      <rPr>
        <sz val="8"/>
        <rFont val="Calibri"/>
        <family val="2"/>
        <charset val="238"/>
      </rPr>
      <t>(ř.29)</t>
    </r>
  </si>
  <si>
    <t>j=e-f</t>
  </si>
  <si>
    <r>
      <t>Ostatní použité neveřejné zdroje celkem</t>
    </r>
    <r>
      <rPr>
        <sz val="8"/>
        <color indexed="8"/>
        <rFont val="Calibri"/>
        <family val="2"/>
        <charset val="238"/>
      </rPr>
      <t xml:space="preserve"> (4)</t>
    </r>
  </si>
  <si>
    <r>
      <rPr>
        <sz val="8"/>
        <color indexed="8"/>
        <rFont val="Calibri"/>
        <family val="2"/>
        <charset val="238"/>
      </rPr>
      <t>(3)</t>
    </r>
    <r>
      <rPr>
        <sz val="10"/>
        <color indexed="8"/>
        <rFont val="Calibri"/>
        <family val="2"/>
        <charset val="238"/>
      </rPr>
      <t xml:space="preserve"> Použito: jedná se o finanční prostředky, které VŠ v daném kalendářním roce použila na účel v souladu s rozhodnutím (sloupec b, d, f). Pokud by škola používala veřejné prostředky institucionálního charakteru (např. příspěvek) k dofinancování programů/aktivit uvedených v dalších řádcích této tabulky nebo projektů zde neuvedených, takové použití pro jiný účel financovaný z veřejných zdrojů je nutné specifikovat v komentáři.</t>
    </r>
  </si>
  <si>
    <r>
      <rPr>
        <sz val="8"/>
        <color indexed="8"/>
        <rFont val="Calibri"/>
        <family val="2"/>
        <charset val="238"/>
      </rPr>
      <t>(3)</t>
    </r>
    <r>
      <rPr>
        <sz val="10"/>
        <color indexed="8"/>
        <rFont val="Calibri"/>
        <family val="2"/>
        <charset val="238"/>
      </rPr>
      <t xml:space="preserve"> Použito: jedná se o finanční prostředky, které VŠ v daném kalendářním roce použila na účel v souladu s rozhodnutím (sloupec b, d, f). Pokud by škola používala veřejné prostředky institucionálního charakteru (např. IP na rozvoj VO) k dofinancování programů/aktivit uvedených v dalších řádcích této tabulky nebo projektů zde neuvedených, takové použití pro jiný účel financovaný z veřejných zdrojů je nutné specifikovat v komentáři.</t>
    </r>
  </si>
  <si>
    <r>
      <t xml:space="preserve">Ostatní použ. neveřejné zdroje celkem </t>
    </r>
    <r>
      <rPr>
        <sz val="8"/>
        <color indexed="8"/>
        <rFont val="Calibri"/>
        <family val="2"/>
        <charset val="238"/>
      </rPr>
      <t>(9)</t>
    </r>
  </si>
  <si>
    <r>
      <t xml:space="preserve">od zaměst-  nanců </t>
    </r>
    <r>
      <rPr>
        <sz val="8"/>
        <rFont val="Calibri"/>
        <family val="2"/>
        <charset val="238"/>
      </rPr>
      <t>(2)</t>
    </r>
  </si>
  <si>
    <r>
      <t xml:space="preserve">ostatní </t>
    </r>
    <r>
      <rPr>
        <sz val="8"/>
        <rFont val="Calibri"/>
        <family val="2"/>
        <charset val="238"/>
      </rPr>
      <t>(3)</t>
    </r>
  </si>
  <si>
    <r>
      <rPr>
        <sz val="8"/>
        <rFont val="Calibri"/>
        <family val="2"/>
        <charset val="238"/>
      </rPr>
      <t>(1)</t>
    </r>
    <r>
      <rPr>
        <sz val="10"/>
        <rFont val="Calibri"/>
        <family val="2"/>
        <charset val="238"/>
      </rPr>
      <t xml:space="preserve"> Jedná se o poplatky definované v odst. 3 a 4 - § 58 zákona č. 111/1998 Sb.</t>
    </r>
  </si>
  <si>
    <r>
      <t xml:space="preserve">Úhrada za další činnosti poskytované vysokou školou </t>
    </r>
    <r>
      <rPr>
        <sz val="8"/>
        <rFont val="Calibri"/>
        <family val="2"/>
        <charset val="238"/>
      </rPr>
      <t>(4) (5)</t>
    </r>
  </si>
  <si>
    <t xml:space="preserve">     součtový řádek pro poskytovatele</t>
  </si>
  <si>
    <t xml:space="preserve">          Příspěvek</t>
  </si>
  <si>
    <t xml:space="preserve">          Dotace</t>
  </si>
  <si>
    <t xml:space="preserve">          součtový řádek pro poskytovatele</t>
  </si>
  <si>
    <t xml:space="preserve">     Institucionální podpora (IP)</t>
  </si>
  <si>
    <t xml:space="preserve">     IP na mezinárodní spolupráci ČR ve VaV</t>
  </si>
  <si>
    <t xml:space="preserve">     Aplikovaný výzkum</t>
  </si>
  <si>
    <t xml:space="preserve">     NPV</t>
  </si>
  <si>
    <t xml:space="preserve">     Specifický vysokoškolský výzkum</t>
  </si>
  <si>
    <t xml:space="preserve">     Velké infrastruktury</t>
  </si>
  <si>
    <t xml:space="preserve">     GAČR</t>
  </si>
  <si>
    <t xml:space="preserve">     TAČR</t>
  </si>
  <si>
    <t xml:space="preserve">     IP na dlouh. koncepční rozvoj výzk. organizací</t>
  </si>
  <si>
    <t xml:space="preserve">     OP VK -Vzdělávání pro konkurenceschopnost</t>
  </si>
  <si>
    <t xml:space="preserve">     OP VaVpI - Výzkum a vývoj pro inovace</t>
  </si>
  <si>
    <t>3=sl.2/12/sl.1</t>
  </si>
  <si>
    <t>6=sl.5/12     /sl.4</t>
  </si>
  <si>
    <t>9=sl.8/12   /sl.7</t>
  </si>
  <si>
    <r>
      <rPr>
        <sz val="8"/>
        <rFont val="Calibri"/>
        <family val="2"/>
        <charset val="238"/>
      </rPr>
      <t>(1)</t>
    </r>
    <r>
      <rPr>
        <sz val="10"/>
        <rFont val="Calibri"/>
        <family val="2"/>
        <charset val="238"/>
      </rPr>
      <t xml:space="preserve"> Tato tabulka zahrnuje všechny veřejné zdroje vysoké školy, tedy včetně finančních prostředků souvisejících s hospodařením Kolejí a menz (KaM) a Vysokoškolských zemědělských a lesních statků (VZaLS).</t>
    </r>
  </si>
  <si>
    <t>j= f+i</t>
  </si>
  <si>
    <r>
      <rPr>
        <sz val="8"/>
        <rFont val="Calibri"/>
        <family val="2"/>
        <charset val="238"/>
      </rPr>
      <t>(2)</t>
    </r>
    <r>
      <rPr>
        <sz val="10"/>
        <rFont val="Calibri"/>
        <family val="2"/>
        <charset val="238"/>
      </rPr>
      <t xml:space="preserve"> Jedná se o finanční prostředky poskytnuté  vysoké škole rozhodnutím (sloupec 1, 3, 5) a použité na určitý účel v souladu s rozhodnutím (sloupec 2, 4, 6). 
</t>
    </r>
    <r>
      <rPr>
        <u/>
        <sz val="10"/>
        <rFont val="Calibri"/>
        <family val="2"/>
        <charset val="238"/>
      </rPr>
      <t>Poskytnuto</t>
    </r>
    <r>
      <rPr>
        <sz val="10"/>
        <rFont val="Calibri"/>
        <family val="2"/>
        <charset val="238"/>
      </rPr>
      <t xml:space="preserve">: jedná se o finanční prostředky, které vysoká škola v daném kalendářním roce získala na základě rozhodnutí. </t>
    </r>
    <r>
      <rPr>
        <u/>
        <sz val="10"/>
        <rFont val="Calibri"/>
        <family val="2"/>
        <charset val="238"/>
      </rPr>
      <t>Použito</t>
    </r>
    <r>
      <rPr>
        <sz val="10"/>
        <rFont val="Calibri"/>
        <family val="2"/>
        <charset val="238"/>
      </rPr>
      <t>: jedná se o finanční prostředky, které VŠ v daném kalendářním roce použila na účel v souladu s rozhodnutím.</t>
    </r>
  </si>
  <si>
    <r>
      <t xml:space="preserve">dotace na programy strukturálních fondů </t>
    </r>
    <r>
      <rPr>
        <sz val="8"/>
        <rFont val="Calibri"/>
        <family val="2"/>
        <charset val="238"/>
      </rPr>
      <t xml:space="preserve">(3) </t>
    </r>
    <r>
      <rPr>
        <sz val="8"/>
        <rFont val="Calibri"/>
        <family val="2"/>
        <charset val="238"/>
      </rPr>
      <t xml:space="preserve"> (ř.5+ř.6)</t>
    </r>
  </si>
  <si>
    <r>
      <t xml:space="preserve">dotace na programy strukturálních fondů </t>
    </r>
    <r>
      <rPr>
        <sz val="8"/>
        <rFont val="Calibri"/>
        <family val="2"/>
        <charset val="238"/>
      </rPr>
      <t>(ř.5+ř.15+ř.22)</t>
    </r>
  </si>
  <si>
    <r>
      <t>dotace na programy strukturálních fondů</t>
    </r>
    <r>
      <rPr>
        <sz val="8"/>
        <rFont val="Calibri"/>
        <family val="2"/>
        <charset val="238"/>
      </rPr>
      <t xml:space="preserve">  (ř.6+ř.16+ř.23)</t>
    </r>
  </si>
  <si>
    <r>
      <rPr>
        <sz val="8"/>
        <rFont val="Calibri"/>
        <family val="2"/>
        <charset val="238"/>
      </rPr>
      <t>(2)</t>
    </r>
    <r>
      <rPr>
        <sz val="10"/>
        <rFont val="Calibri"/>
        <family val="2"/>
        <charset val="238"/>
      </rPr>
      <t xml:space="preserve"> VŠ uvede počet studentů (resp. studií) nebo dalších účastníků vzdělávání, kteří poplatek/úhradu za další činosti zaplatili.</t>
    </r>
  </si>
  <si>
    <r>
      <rPr>
        <sz val="8"/>
        <rFont val="Calibri"/>
        <family val="2"/>
        <charset val="238"/>
      </rPr>
      <t>(1)</t>
    </r>
    <r>
      <rPr>
        <sz val="10"/>
        <rFont val="Calibri"/>
        <family val="2"/>
        <charset val="238"/>
      </rPr>
      <t xml:space="preserve"> VŠ uvede celkovou částku v tis. Kč, kterou na daném typu poplatku / úhradou za další činnosti poskytované veřejnou vysokou školou přijala od studentů/dalších účastníků vzdělávání v daném kalendářním roce.  </t>
    </r>
  </si>
  <si>
    <r>
      <t>z toho převody do FÚUP</t>
    </r>
    <r>
      <rPr>
        <sz val="8"/>
        <color indexed="8"/>
        <rFont val="Calibri"/>
        <family val="2"/>
        <charset val="238"/>
      </rPr>
      <t xml:space="preserve"> (6)</t>
    </r>
  </si>
  <si>
    <t xml:space="preserve">     Základní výzkum</t>
  </si>
  <si>
    <t xml:space="preserve">     IP na uskutečňování výzkumných záměrů</t>
  </si>
  <si>
    <r>
      <rPr>
        <sz val="8"/>
        <color indexed="8"/>
        <rFont val="Calibri"/>
        <family val="2"/>
        <charset val="238"/>
      </rPr>
      <t>(1)</t>
    </r>
    <r>
      <rPr>
        <sz val="10"/>
        <color indexed="8"/>
        <rFont val="Calibri"/>
        <family val="2"/>
        <charset val="238"/>
      </rPr>
      <t xml:space="preserve"> Součtové údaje řádků označených tmavě šedou barvou  se musí shodovat s údaji uvedenými v tabulce 5. Součtový údaj za MŠMT = Tab. 5, ř.12; za dotace ostatních kapitol státního rozpočtu = Tab. 5, ř.19; za územní rozpočty = Tab. 5, ř.26; za prostředky ze zahraničí = Tab. 5, ř.29. Tabulka je tříděna podle poskytovatele, dále podle institucionální a účelové podpory a dále podle jednotlivých programů (nejpodrobnější údaj bude na úrovni programu, není třeba vyplňovat tabulku na úroveň projektů). VŠ uvede pouze ty programy, ve kterých získává finanční prostředky. Za každého poskytovatele VŠ vždy uvede součtový údaj. Pokud škola realizuje výzkumný projekt/program financovaný pouze z neveřejných zdrojů, realizuje aktivity v rámci doplňkové činnosti za úplatu, spoluřeší projekty, apod., do této tabulky je uvádět v řádcích nebude.</t>
    </r>
  </si>
  <si>
    <r>
      <rPr>
        <sz val="8"/>
        <color indexed="8"/>
        <rFont val="Calibri"/>
        <family val="2"/>
        <charset val="238"/>
      </rPr>
      <t>(5)</t>
    </r>
    <r>
      <rPr>
        <sz val="10"/>
        <color indexed="8"/>
        <rFont val="Calibri"/>
        <family val="2"/>
        <charset val="238"/>
      </rPr>
      <t xml:space="preserve"> Uvedou se prostředky, které byly převedeny k řešení projektů/aktivit ostatním spoluřešitelům.</t>
    </r>
  </si>
  <si>
    <r>
      <rPr>
        <sz val="8"/>
        <color indexed="8"/>
        <rFont val="Calibri"/>
        <family val="2"/>
        <charset val="238"/>
      </rPr>
      <t>(6)</t>
    </r>
    <r>
      <rPr>
        <sz val="10"/>
        <color indexed="8"/>
        <rFont val="Calibri"/>
        <family val="2"/>
        <charset val="238"/>
      </rPr>
      <t xml:space="preserve"> Fond účelově určených prostředků (§ 18, odst. 6 zákona o VŠ). Jedná se o finanční prostředky, které nebyly v daném kalendářním roce použity, ale byly převedeny do FÚUP. Jsou součástí "použitých" prostředků uvedených v této tabulce.</t>
    </r>
  </si>
  <si>
    <r>
      <rPr>
        <sz val="8"/>
        <color indexed="8"/>
        <rFont val="Calibri"/>
        <family val="2"/>
        <charset val="238"/>
      </rPr>
      <t>(8)</t>
    </r>
    <r>
      <rPr>
        <sz val="10"/>
        <color indexed="8"/>
        <rFont val="Calibri"/>
        <family val="2"/>
        <charset val="238"/>
      </rPr>
      <t xml:space="preserve"> VŠ uvede v členění dle povahy poskytovaných prostředků.</t>
    </r>
  </si>
  <si>
    <t xml:space="preserve">     Účelová podpora </t>
  </si>
  <si>
    <t xml:space="preserve">  (bez prostředků poskytovaných na programové financování, na operační programy a VaV)</t>
  </si>
  <si>
    <t xml:space="preserve">               (bez prostředků poskytovaných na operační programy EU) </t>
  </si>
  <si>
    <r>
      <t xml:space="preserve">dotace ostatní  </t>
    </r>
    <r>
      <rPr>
        <sz val="8"/>
        <rFont val="Calibri"/>
        <family val="2"/>
        <charset val="238"/>
      </rPr>
      <t>(ř.25+ř.26)</t>
    </r>
  </si>
  <si>
    <r>
      <t xml:space="preserve">Ostatní použité neveřejné zdroje </t>
    </r>
    <r>
      <rPr>
        <sz val="8"/>
        <color indexed="8"/>
        <rFont val="Calibri"/>
        <family val="2"/>
        <charset val="238"/>
      </rPr>
      <t>(7)</t>
    </r>
  </si>
  <si>
    <r>
      <rPr>
        <sz val="8"/>
        <color indexed="8"/>
        <rFont val="Calibri"/>
        <family val="2"/>
        <charset val="238"/>
      </rPr>
      <t>(2)</t>
    </r>
    <r>
      <rPr>
        <sz val="10"/>
        <color indexed="8"/>
        <rFont val="Calibri"/>
        <family val="2"/>
        <charset val="238"/>
      </rPr>
      <t xml:space="preserve"> Poskytnuto: jedná se o finanční prostředky, které byly vysoké škole poskytnuty v daném kalendářním roce na základě rozhodnutí (sloupec a, c, e). </t>
    </r>
  </si>
  <si>
    <r>
      <rPr>
        <sz val="8"/>
        <color indexed="8"/>
        <rFont val="Calibri"/>
        <family val="2"/>
        <charset val="238"/>
      </rPr>
      <t>(7)</t>
    </r>
    <r>
      <rPr>
        <sz val="10"/>
        <color indexed="8"/>
        <rFont val="Calibri"/>
        <family val="2"/>
        <charset val="238"/>
      </rPr>
      <t xml:space="preserve"> Sloupec "i" uvádí "ostatní použité neveřejné zdroje celkem" a obsahuje prostředky na dofinancování programů/aktivit uvedených v jednotlivých řádcích (a to z neveřejných zdrojů). </t>
    </r>
  </si>
  <si>
    <r>
      <t xml:space="preserve">Nevyčerp. z poskyt. veřejných prostředků v roce </t>
    </r>
    <r>
      <rPr>
        <sz val="8"/>
        <color indexed="8"/>
        <rFont val="Calibri"/>
        <family val="2"/>
        <charset val="238"/>
      </rPr>
      <t>(7)</t>
    </r>
  </si>
  <si>
    <r>
      <t xml:space="preserve">Vratka nevyčerp. prostředků  </t>
    </r>
    <r>
      <rPr>
        <sz val="8"/>
        <color indexed="8"/>
        <rFont val="Calibri"/>
        <family val="2"/>
        <charset val="238"/>
      </rPr>
      <t>(8)</t>
    </r>
  </si>
  <si>
    <r>
      <rPr>
        <sz val="8"/>
        <color indexed="8"/>
        <rFont val="Calibri"/>
        <family val="2"/>
        <charset val="238"/>
      </rPr>
      <t>(7)</t>
    </r>
    <r>
      <rPr>
        <sz val="10"/>
        <color indexed="8"/>
        <rFont val="Calibri"/>
        <family val="2"/>
        <charset val="238"/>
      </rPr>
      <t xml:space="preserve"> Lze vyplnit, pokud se nejedná o poslední rok projektu.</t>
    </r>
  </si>
  <si>
    <r>
      <rPr>
        <sz val="8"/>
        <rFont val="Calibri"/>
        <family val="2"/>
        <charset val="238"/>
      </rPr>
      <t>(8)</t>
    </r>
    <r>
      <rPr>
        <sz val="10"/>
        <rFont val="Calibri"/>
        <family val="2"/>
        <charset val="238"/>
      </rPr>
      <t xml:space="preserve"> Lze vyplnit pouze v posledním roce projektu nebo při předčasném ukončení projektu. Jedná se o souhrnný údaj za všechny roky trvání projektu.</t>
    </r>
  </si>
  <si>
    <r>
      <rPr>
        <sz val="8"/>
        <color indexed="8"/>
        <rFont val="Calibri"/>
        <family val="2"/>
        <charset val="238"/>
      </rPr>
      <t>(6)</t>
    </r>
    <r>
      <rPr>
        <sz val="10"/>
        <color indexed="8"/>
        <rFont val="Calibri"/>
        <family val="2"/>
        <charset val="238"/>
      </rPr>
      <t xml:space="preserve"> Uvedou se prostředky, které byly převedeny k řešení projektů/aktivit ostatním spoluřešitelům.</t>
    </r>
  </si>
  <si>
    <t xml:space="preserve">Struktura celkového CASH FLOW                      </t>
  </si>
  <si>
    <t>Minulé období</t>
  </si>
  <si>
    <t>Běžné období</t>
  </si>
  <si>
    <t>Rozdíl</t>
  </si>
  <si>
    <t>Vliv na CF</t>
  </si>
  <si>
    <t>001</t>
  </si>
  <si>
    <t>002</t>
  </si>
  <si>
    <t xml:space="preserve">Rezervy řízené předpisy                            </t>
  </si>
  <si>
    <t>003</t>
  </si>
  <si>
    <t xml:space="preserve">Přechodné účty pasivní                             </t>
  </si>
  <si>
    <t>004</t>
  </si>
  <si>
    <t xml:space="preserve">     Výdaje příštích období                        </t>
  </si>
  <si>
    <t>005</t>
  </si>
  <si>
    <t xml:space="preserve">     Výnosy příštích období                        </t>
  </si>
  <si>
    <t>006</t>
  </si>
  <si>
    <t xml:space="preserve">     Kursové rozdíly pasivní                       </t>
  </si>
  <si>
    <t>007</t>
  </si>
  <si>
    <t xml:space="preserve">     Dohadné účty pasivní                          </t>
  </si>
  <si>
    <t>008</t>
  </si>
  <si>
    <t xml:space="preserve">Přechodné účty aktivní                             </t>
  </si>
  <si>
    <t>009</t>
  </si>
  <si>
    <t xml:space="preserve">     Náklady příštích období                       </t>
  </si>
  <si>
    <t>010</t>
  </si>
  <si>
    <t xml:space="preserve">     Příjmy příštích období                        </t>
  </si>
  <si>
    <t>011</t>
  </si>
  <si>
    <t xml:space="preserve">     Kursové rozdíly aktivní                       </t>
  </si>
  <si>
    <t xml:space="preserve">     Dohadné účty aktivní                          </t>
  </si>
  <si>
    <t xml:space="preserve">Pohledávky celkem                                  </t>
  </si>
  <si>
    <t xml:space="preserve">     Z obchodního styku                            </t>
  </si>
  <si>
    <t>015</t>
  </si>
  <si>
    <t xml:space="preserve">     K účastníkům sdružení                         </t>
  </si>
  <si>
    <t>016</t>
  </si>
  <si>
    <t xml:space="preserve">     Za institucemi soc. zabezp. a zdravot. pojištění </t>
  </si>
  <si>
    <t>017</t>
  </si>
  <si>
    <t xml:space="preserve">     Daň z příjmu                                  </t>
  </si>
  <si>
    <t xml:space="preserve">     Ostatní přímé daně                            </t>
  </si>
  <si>
    <t xml:space="preserve">     Daň z přidané hodnoty                         </t>
  </si>
  <si>
    <t>020</t>
  </si>
  <si>
    <t xml:space="preserve">     Ostatní daně a poplatky                       </t>
  </si>
  <si>
    <t>023</t>
  </si>
  <si>
    <t xml:space="preserve">     Za zaměstnanci                                </t>
  </si>
  <si>
    <t>024</t>
  </si>
  <si>
    <t xml:space="preserve">     Z emitovaných dluhopisů a jiné pohledávky    </t>
  </si>
  <si>
    <t xml:space="preserve">     Opravná položka k pohledávkám                 </t>
  </si>
  <si>
    <t xml:space="preserve">Ceniny                                            </t>
  </si>
  <si>
    <t>027</t>
  </si>
  <si>
    <t xml:space="preserve">Majetkové cenné papíry                             </t>
  </si>
  <si>
    <t>Ostatní cenné papíry a pořízení krátkodob. finan. majetku</t>
  </si>
  <si>
    <t>030</t>
  </si>
  <si>
    <t xml:space="preserve">Zásoby celkem                                      </t>
  </si>
  <si>
    <t xml:space="preserve">     Materiál na skladě a na cestě                 </t>
  </si>
  <si>
    <t xml:space="preserve">     Nedokončená výroba a polotovary vlastní výroby     </t>
  </si>
  <si>
    <t>033</t>
  </si>
  <si>
    <t xml:space="preserve">     Výrobky                                       </t>
  </si>
  <si>
    <t>034</t>
  </si>
  <si>
    <t xml:space="preserve">     Zvířata                                       </t>
  </si>
  <si>
    <t>035</t>
  </si>
  <si>
    <t xml:space="preserve">     Zboží na skladě a na cestě                    </t>
  </si>
  <si>
    <t>036</t>
  </si>
  <si>
    <t xml:space="preserve">     Poskytnuté zálohy na zásoby                   </t>
  </si>
  <si>
    <t>037</t>
  </si>
  <si>
    <t xml:space="preserve">Krátkodobé závazky                                 </t>
  </si>
  <si>
    <t>038</t>
  </si>
  <si>
    <t xml:space="preserve">     Dodavatelé                                    </t>
  </si>
  <si>
    <t>039</t>
  </si>
  <si>
    <t xml:space="preserve">     Směnky k úhradě                               </t>
  </si>
  <si>
    <t>040</t>
  </si>
  <si>
    <t xml:space="preserve">     Přijaté zálohy                                </t>
  </si>
  <si>
    <t xml:space="preserve">     Ostatní závazky                               </t>
  </si>
  <si>
    <t xml:space="preserve">     Zaměstnanci                                   </t>
  </si>
  <si>
    <t xml:space="preserve">     Ostatní závazky vůči zaměstnancům             </t>
  </si>
  <si>
    <t>044</t>
  </si>
  <si>
    <t xml:space="preserve">     K institucím soc. zabezp. a zdravot. Pojištění</t>
  </si>
  <si>
    <t>045</t>
  </si>
  <si>
    <t>046</t>
  </si>
  <si>
    <t xml:space="preserve">     Ostatní přímé daně                       </t>
  </si>
  <si>
    <t>047</t>
  </si>
  <si>
    <t>048</t>
  </si>
  <si>
    <t>049</t>
  </si>
  <si>
    <t xml:space="preserve">     Ze vztahu ke státnímu rozpočtu                </t>
  </si>
  <si>
    <t>050</t>
  </si>
  <si>
    <t xml:space="preserve">     Ze vztahu k rozpočtu ÚSC                      </t>
  </si>
  <si>
    <t xml:space="preserve">     Jiné závazky                                  </t>
  </si>
  <si>
    <t>053</t>
  </si>
  <si>
    <t xml:space="preserve">Krátkodobé bankovní úvěry                          </t>
  </si>
  <si>
    <t>054</t>
  </si>
  <si>
    <t xml:space="preserve">Přijaté finanční výpomoci                          </t>
  </si>
  <si>
    <t>055</t>
  </si>
  <si>
    <t xml:space="preserve">Cash flow provozní                                 </t>
  </si>
  <si>
    <t>056</t>
  </si>
  <si>
    <t xml:space="preserve">Nehmotný dlouhodobý majetek                        </t>
  </si>
  <si>
    <t>057</t>
  </si>
  <si>
    <t xml:space="preserve">     Nehmotné výsledky výzkumu a vývoje            </t>
  </si>
  <si>
    <t>058</t>
  </si>
  <si>
    <t xml:space="preserve">     Software                                      </t>
  </si>
  <si>
    <t>059</t>
  </si>
  <si>
    <t xml:space="preserve">     Předměty ocenitelných práv                    </t>
  </si>
  <si>
    <t>060</t>
  </si>
  <si>
    <t xml:space="preserve">     Drobný  dlouhodobý nehmotný majetek           </t>
  </si>
  <si>
    <t xml:space="preserve">     Ostatní  dlouhodobý nehmotný majetek          </t>
  </si>
  <si>
    <t xml:space="preserve">     Nedokončené nehmotné investice                </t>
  </si>
  <si>
    <t xml:space="preserve">     Poskytnuté zálohy na nehmot. dlouhod. majetek      </t>
  </si>
  <si>
    <t>064</t>
  </si>
  <si>
    <t xml:space="preserve">Oprávky celkem                                     </t>
  </si>
  <si>
    <t>065</t>
  </si>
  <si>
    <t xml:space="preserve">     K nehmotným výsledkům výzkumné činnosti         </t>
  </si>
  <si>
    <t xml:space="preserve">     K softwaru                                    </t>
  </si>
  <si>
    <t xml:space="preserve">     K předmětům ocenitelných práv                 </t>
  </si>
  <si>
    <t>068</t>
  </si>
  <si>
    <t xml:space="preserve">     K drobnému nehmot. dlouhodobému majetku   </t>
  </si>
  <si>
    <t xml:space="preserve">     K ostatnímu nehmot. dlouhodobému majetku</t>
  </si>
  <si>
    <t>070</t>
  </si>
  <si>
    <t xml:space="preserve">Hmotný dlouhodobý majetek                          </t>
  </si>
  <si>
    <t>071</t>
  </si>
  <si>
    <t xml:space="preserve">     Pozemky                                       </t>
  </si>
  <si>
    <t xml:space="preserve">     Umělecká díla a sbírky                        </t>
  </si>
  <si>
    <t xml:space="preserve">     Stavby                                        </t>
  </si>
  <si>
    <t xml:space="preserve">     Samostatné movité věci a soubory movité věcí     </t>
  </si>
  <si>
    <t>075</t>
  </si>
  <si>
    <t xml:space="preserve">     Pěstitelské celky trvalých porostů            </t>
  </si>
  <si>
    <t>076</t>
  </si>
  <si>
    <t xml:space="preserve">     Základní stádo a tažná zvířata                </t>
  </si>
  <si>
    <t>077</t>
  </si>
  <si>
    <t xml:space="preserve">     Drobný hmotný dlouhodobý majetek              </t>
  </si>
  <si>
    <t xml:space="preserve">     Ostatní hmotný dlouhodobý majetek</t>
  </si>
  <si>
    <t xml:space="preserve">     Nedokončené hmotné investice                  </t>
  </si>
  <si>
    <t>080</t>
  </si>
  <si>
    <t xml:space="preserve">     Poskytnuté zálohy na hmotný dlouhodobý majetek</t>
  </si>
  <si>
    <t xml:space="preserve">     Ke stavbám                                    </t>
  </si>
  <si>
    <t>083</t>
  </si>
  <si>
    <t xml:space="preserve">     K movitým věcem a souborům movitých věcí           </t>
  </si>
  <si>
    <t>084</t>
  </si>
  <si>
    <t xml:space="preserve">     K pěstitelským celkům trvalých porostů        </t>
  </si>
  <si>
    <t xml:space="preserve">     K drobnému hmotnému dlouhodobému majetku      </t>
  </si>
  <si>
    <t>087</t>
  </si>
  <si>
    <t xml:space="preserve">     K ostatnímu hmotnému dlouhodobému majetku     </t>
  </si>
  <si>
    <t xml:space="preserve">Korekce vyloučením odpisů                          </t>
  </si>
  <si>
    <t xml:space="preserve">Dlouhodobý finanční majetek                        </t>
  </si>
  <si>
    <t>090</t>
  </si>
  <si>
    <t>091</t>
  </si>
  <si>
    <t xml:space="preserve">     Podíl. cenné papíry a vklady - podstatný vliv      </t>
  </si>
  <si>
    <t>092</t>
  </si>
  <si>
    <t xml:space="preserve">     Ostatní dlouhodobé cenné papíry a vklady      </t>
  </si>
  <si>
    <t>093</t>
  </si>
  <si>
    <t xml:space="preserve">     Půjčky podnikům ve skupině                    </t>
  </si>
  <si>
    <t>094</t>
  </si>
  <si>
    <t xml:space="preserve">     Ostatní dlouhodobý finanční majetek           </t>
  </si>
  <si>
    <t>095</t>
  </si>
  <si>
    <t xml:space="preserve">Cash flow z investiční činnosti                    </t>
  </si>
  <si>
    <t>096</t>
  </si>
  <si>
    <t xml:space="preserve">Dlouhodobé závazky celkem                          </t>
  </si>
  <si>
    <t>097</t>
  </si>
  <si>
    <t xml:space="preserve">     Emitované dluhopisy                           </t>
  </si>
  <si>
    <t>098</t>
  </si>
  <si>
    <t xml:space="preserve">     Závazky z pronájmu                            </t>
  </si>
  <si>
    <t>099</t>
  </si>
  <si>
    <t xml:space="preserve">     Dlouhodobě přijaté zálohy                     </t>
  </si>
  <si>
    <t xml:space="preserve">     Dlouhodobě směnky k úhradě                    </t>
  </si>
  <si>
    <t xml:space="preserve">     Ostatní dlouhodobé závazky                    </t>
  </si>
  <si>
    <t xml:space="preserve">Dlouhodobé bankovní úvěry                          </t>
  </si>
  <si>
    <t xml:space="preserve">Vlastní jmění                                      </t>
  </si>
  <si>
    <t xml:space="preserve">Fondy                                              </t>
  </si>
  <si>
    <t xml:space="preserve">Oceňovací rozdíly z přecenění majetku a závazků    </t>
  </si>
  <si>
    <t xml:space="preserve">Hospodářský výsledek ve schvalovacím řízení        </t>
  </si>
  <si>
    <t xml:space="preserve">Korekce snížením disponibilního zisku běžného roku </t>
  </si>
  <si>
    <t xml:space="preserve">Cash flow z finanční činnosti                      </t>
  </si>
  <si>
    <t xml:space="preserve">Cash flow celkové                                  </t>
  </si>
  <si>
    <t xml:space="preserve">Stav peněžních prostředků                          </t>
  </si>
  <si>
    <r>
      <rPr>
        <sz val="8"/>
        <color indexed="8"/>
        <rFont val="Calibri"/>
        <family val="2"/>
        <charset val="238"/>
      </rPr>
      <t>(4)</t>
    </r>
    <r>
      <rPr>
        <sz val="10"/>
        <color indexed="8"/>
        <rFont val="Calibri"/>
        <family val="2"/>
        <charset val="238"/>
      </rPr>
      <t xml:space="preserve"> Fond reprodukce investičního majetku (FRIM), fond provozních prostředků (FPP), fond účelově určených prostředků(FÚUP), § 18, odst. 6 zákona o VŠ. Jedná se o finanční prostředky, které nebyly v daném kalendářním roce použity, ale byly převedeny do fondů - jsou součástí "použitých" prostředků uvedených v této tabulce (sl. b, d, f).</t>
    </r>
  </si>
  <si>
    <r>
      <t xml:space="preserve">Ostatní použité neveřej. zdroje </t>
    </r>
    <r>
      <rPr>
        <sz val="8"/>
        <color indexed="8"/>
        <rFont val="Calibri"/>
        <family val="2"/>
        <charset val="238"/>
      </rPr>
      <t>(5)</t>
    </r>
  </si>
  <si>
    <r>
      <rPr>
        <sz val="8"/>
        <color indexed="8"/>
        <rFont val="Calibri"/>
        <family val="2"/>
        <charset val="238"/>
      </rPr>
      <t xml:space="preserve">(5) </t>
    </r>
    <r>
      <rPr>
        <sz val="10"/>
        <color indexed="8"/>
        <rFont val="Calibri"/>
        <family val="2"/>
        <charset val="238"/>
      </rPr>
      <t xml:space="preserve">Sloupec "k" uvádí "ostatní použité neveřejné zdroje celkem" a obsahuje prostředky na dofinancování programů/aktivit uvedených v jednotlivých řádcích (a to pouze z neveřejných zdrojů). </t>
    </r>
  </si>
  <si>
    <r>
      <t xml:space="preserve">Převody do fondů </t>
    </r>
    <r>
      <rPr>
        <sz val="8"/>
        <color indexed="8"/>
        <rFont val="Calibri"/>
        <family val="2"/>
        <charset val="238"/>
      </rPr>
      <t>(4)</t>
    </r>
  </si>
  <si>
    <r>
      <t>z toho zajištěno spoluřešit.</t>
    </r>
    <r>
      <rPr>
        <sz val="8"/>
        <color indexed="8"/>
        <rFont val="Calibri"/>
        <family val="2"/>
        <charset val="238"/>
      </rPr>
      <t xml:space="preserve"> (5)</t>
    </r>
  </si>
  <si>
    <r>
      <t>z toho zajištěno spoluřešit.</t>
    </r>
    <r>
      <rPr>
        <sz val="8"/>
        <color indexed="8"/>
        <rFont val="Calibri"/>
        <family val="2"/>
        <charset val="238"/>
      </rPr>
      <t xml:space="preserve"> (6)</t>
    </r>
  </si>
  <si>
    <t>příjmy z prodeje nehm. a hmot.dlouhod.majetku</t>
  </si>
  <si>
    <r>
      <t>Neinvestiční celkem</t>
    </r>
    <r>
      <rPr>
        <sz val="8"/>
        <rFont val="Calibri"/>
        <family val="2"/>
        <charset val="238"/>
      </rPr>
      <t xml:space="preserve"> (1)</t>
    </r>
  </si>
  <si>
    <r>
      <t xml:space="preserve">Transfer znalostí </t>
    </r>
    <r>
      <rPr>
        <sz val="8"/>
        <rFont val="Calibri"/>
        <family val="2"/>
        <charset val="238"/>
      </rPr>
      <t>(1)</t>
    </r>
  </si>
  <si>
    <r>
      <t xml:space="preserve">Příjmy z licenčních smluv </t>
    </r>
    <r>
      <rPr>
        <sz val="8"/>
        <rFont val="Calibri"/>
        <family val="2"/>
        <charset val="238"/>
      </rPr>
      <t>(2)</t>
    </r>
  </si>
  <si>
    <r>
      <t xml:space="preserve">Příjmy ze smluvního výzkumu </t>
    </r>
    <r>
      <rPr>
        <sz val="8"/>
        <rFont val="Calibri"/>
        <family val="2"/>
        <charset val="238"/>
      </rPr>
      <t>(3)</t>
    </r>
  </si>
  <si>
    <r>
      <t xml:space="preserve">Placené vzdělávací kurzy pro zaměstnance subjektů aplikační sféry </t>
    </r>
    <r>
      <rPr>
        <sz val="8"/>
        <rFont val="Calibri"/>
        <family val="2"/>
        <charset val="238"/>
      </rPr>
      <t>(4)</t>
    </r>
  </si>
  <si>
    <r>
      <t xml:space="preserve">Konzultace a poradenství </t>
    </r>
    <r>
      <rPr>
        <sz val="8"/>
        <rFont val="Calibri"/>
        <family val="2"/>
        <charset val="238"/>
      </rPr>
      <t>(5)</t>
    </r>
  </si>
  <si>
    <r>
      <rPr>
        <sz val="8"/>
        <color indexed="8"/>
        <rFont val="Calibri"/>
        <family val="2"/>
        <charset val="238"/>
      </rPr>
      <t>(2)</t>
    </r>
    <r>
      <rPr>
        <sz val="10"/>
        <color indexed="8"/>
        <rFont val="Calibri"/>
        <family val="2"/>
        <charset val="238"/>
      </rPr>
      <t xml:space="preserve"> </t>
    </r>
    <r>
      <rPr>
        <b/>
        <sz val="10"/>
        <color indexed="8"/>
        <rFont val="Calibri"/>
        <family val="2"/>
        <charset val="238"/>
      </rPr>
      <t>Licenční smlouva</t>
    </r>
    <r>
      <rPr>
        <sz val="10"/>
        <color indexed="8"/>
        <rFont val="Calibri"/>
        <family val="2"/>
        <charset val="238"/>
      </rPr>
      <t xml:space="preserve"> je</t>
    </r>
    <r>
      <rPr>
        <sz val="10"/>
        <color indexed="8"/>
        <rFont val="Calibri"/>
        <family val="2"/>
        <charset val="238"/>
      </rPr>
      <t xml:space="preserve"> definována jako poskytnutí práva ve sjednaném rozsahu a na sjednaném území na nabytí či poskytnutí licence na některou z ochran duševního a průmyslového vlastnictví. Licenční smlouvy se uzavírají k patentovaným vynálezům, resp. zapsaným užitným vzorům, průmyslovým vzorům, topografii polovodičových výrobků, novým odrůdám rostlin a plemenům zvířat či k ochranným známkám písemnou smlouvou. Poskytovatel opravňuje nabyvatele ve sjednaném rozsahu a na sjednaném území k výkonu práv z duševního a průmyslového vlastnictví a nabyvatel se zavazuje k poskytování určité úplaty (licenční poplatky) nebo jiné majetkové hodnoty. Nabyvateli přitom nehrozí obvinění z narušení duševního vlastnictví či autorského práva ze strany poskytovatele.</t>
    </r>
  </si>
  <si>
    <r>
      <rPr>
        <sz val="8"/>
        <rFont val="Calibri"/>
        <family val="2"/>
        <charset val="238"/>
      </rPr>
      <t>(4)</t>
    </r>
    <r>
      <rPr>
        <sz val="10"/>
        <rFont val="Calibri"/>
        <family val="2"/>
        <charset val="238"/>
      </rPr>
      <t xml:space="preserve"> Údaje se vyplňují  zaokrouhlené na celé tisíce bez desetinných míst.</t>
    </r>
  </si>
  <si>
    <r>
      <rPr>
        <sz val="8"/>
        <color indexed="8"/>
        <rFont val="Calibri"/>
        <family val="2"/>
        <charset val="238"/>
      </rPr>
      <t>(5)</t>
    </r>
    <r>
      <rPr>
        <b/>
        <sz val="10"/>
        <color indexed="8"/>
        <rFont val="Calibri"/>
        <family val="2"/>
        <charset val="238"/>
      </rPr>
      <t xml:space="preserve"> Konzultace a poradenství </t>
    </r>
    <r>
      <rPr>
        <sz val="10"/>
        <color indexed="8"/>
        <rFont val="Calibri"/>
        <family val="2"/>
        <charset val="238"/>
      </rPr>
      <t>je založeno na poskytnutí expertní rady, názoru či činnosti, jenž závisí na vysoké míře intelektuálních vstupních zdrojů od vysokoškolské instituce ke klientovi. Vysoká škola za úplatu a v souladu s tržními podmínkami poskytuje konzultační a poradenské služby subjektům aplikační sféry. Hlavním požadovaným výstupem konzultace není vytvoření nové znalosti (vědomosti), ale porozumění nebo pochopení určitého stavu.</t>
    </r>
  </si>
  <si>
    <r>
      <t xml:space="preserve">prostory </t>
    </r>
    <r>
      <rPr>
        <sz val="8"/>
        <rFont val="Calibri"/>
        <family val="2"/>
        <charset val="238"/>
      </rPr>
      <t>(7)</t>
    </r>
  </si>
  <si>
    <r>
      <rPr>
        <sz val="8"/>
        <color indexed="8"/>
        <rFont val="Calibri"/>
        <family val="2"/>
        <charset val="238"/>
      </rPr>
      <t>(7)</t>
    </r>
    <r>
      <rPr>
        <sz val="10"/>
        <color indexed="8"/>
        <rFont val="Calibri"/>
        <family val="2"/>
        <charset val="238"/>
      </rPr>
      <t xml:space="preserve"> Do řádku</t>
    </r>
    <r>
      <rPr>
        <b/>
        <sz val="10"/>
        <color indexed="8"/>
        <rFont val="Calibri"/>
        <family val="2"/>
        <charset val="238"/>
      </rPr>
      <t xml:space="preserve"> "Prostory" </t>
    </r>
    <r>
      <rPr>
        <sz val="10"/>
        <color indexed="8"/>
        <rFont val="Calibri"/>
        <family val="2"/>
        <charset val="238"/>
      </rPr>
      <t>se doplní výnosy z nájmů, pokud se nejedná o celé budovy, stavby nebo haly.</t>
    </r>
  </si>
  <si>
    <t>A</t>
  </si>
  <si>
    <t>A.1</t>
  </si>
  <si>
    <t>A.2</t>
  </si>
  <si>
    <t>A.3</t>
  </si>
  <si>
    <t>A.4</t>
  </si>
  <si>
    <t>B</t>
  </si>
  <si>
    <t>C.1</t>
  </si>
  <si>
    <t>C.2</t>
  </si>
  <si>
    <t>C.3</t>
  </si>
  <si>
    <t>C.4</t>
  </si>
  <si>
    <t>D.3</t>
  </si>
  <si>
    <t>D.1</t>
  </si>
  <si>
    <t>D.2</t>
  </si>
  <si>
    <t>E</t>
  </si>
  <si>
    <r>
      <t xml:space="preserve">Tržby  za vlastní služby </t>
    </r>
    <r>
      <rPr>
        <sz val="8"/>
        <rFont val="Calibri"/>
        <family val="2"/>
        <charset val="238"/>
      </rPr>
      <t>(6)</t>
    </r>
  </si>
  <si>
    <r>
      <rPr>
        <sz val="8"/>
        <color indexed="8"/>
        <rFont val="Calibri"/>
        <family val="2"/>
        <charset val="238"/>
      </rPr>
      <t>(6)</t>
    </r>
    <r>
      <rPr>
        <sz val="10"/>
        <color indexed="8"/>
        <rFont val="Calibri"/>
        <family val="2"/>
        <charset val="238"/>
      </rPr>
      <t xml:space="preserve"> Do řádku "</t>
    </r>
    <r>
      <rPr>
        <b/>
        <sz val="10"/>
        <color indexed="8"/>
        <rFont val="Calibri"/>
        <family val="2"/>
        <charset val="238"/>
      </rPr>
      <t>Tržby za vlastní služby</t>
    </r>
    <r>
      <rPr>
        <sz val="10"/>
        <color indexed="8"/>
        <rFont val="Calibri"/>
        <family val="2"/>
        <charset val="238"/>
      </rPr>
      <t>" se doplní výnosy z hlavní a doplňkové činnosti uvedené ve výkazu zisku a ztráty na syntetickém účtu 602 "Tržby z prodeje služeb" bez zahrnutí výnosů z pronájmu. Současně v případě, že vysoká škola účtuje výnosy z pronájmu i na jiných syntetických účtech než na účtu 602 Tržby z prodeje služeb uvede tuto informaci do komentáře v textu výroční zprávy VŠ k tabulce č. 6.</t>
    </r>
  </si>
  <si>
    <t xml:space="preserve">Tabulka 8   Pracovníci a mzdové prostředky </t>
  </si>
  <si>
    <t xml:space="preserve">Tabulka 3   Hospodářský výsledek </t>
  </si>
  <si>
    <r>
      <t xml:space="preserve">Tabulka 5   Veřejné zdroje financování VVŠ: prostředky poskytnuté a prostředky použité </t>
    </r>
    <r>
      <rPr>
        <sz val="8"/>
        <rFont val="Calibri"/>
        <family val="2"/>
        <charset val="238"/>
      </rPr>
      <t>(1)</t>
    </r>
  </si>
  <si>
    <t>Tabulka 5.a   Financování vzdělávací a vědecké, výzkumné, vývojové a inovační, umělecké a další tvůrčí činnosti</t>
  </si>
  <si>
    <t xml:space="preserve">Tabulka 5.b   Financování výzkumu a vývoje  </t>
  </si>
  <si>
    <t>Tabulka 5.c  Financování programů reprodukce majetku</t>
  </si>
  <si>
    <r>
      <rPr>
        <sz val="8"/>
        <rFont val="Calibri"/>
        <family val="2"/>
        <charset val="238"/>
      </rPr>
      <t>(1)</t>
    </r>
    <r>
      <rPr>
        <sz val="10"/>
        <rFont val="Calibri"/>
        <family val="2"/>
        <charset val="238"/>
      </rPr>
      <t xml:space="preserve"> Uvedou se prostředky, které škola v roce </t>
    </r>
    <r>
      <rPr>
        <sz val="10"/>
        <rFont val="Calibri"/>
        <family val="2"/>
        <charset val="238"/>
      </rPr>
      <t>přijala/použila v souladu s Rozhodnutím o poskytnutí dotace na přípravu a realizaci akcí programů reprodukce majetku. V případě, že uvedená hodnota zahrnuje i jiné veřejné prostředky než prostředky MŠMT, uvede se tato skutečnost spolu s výší této částky v připojeném komentáři.</t>
    </r>
  </si>
  <si>
    <r>
      <rPr>
        <sz val="8"/>
        <rFont val="Calibri"/>
        <family val="2"/>
        <charset val="238"/>
      </rPr>
      <t>(2)</t>
    </r>
    <r>
      <rPr>
        <sz val="10"/>
        <rFont val="Calibri"/>
        <family val="2"/>
        <charset val="238"/>
      </rPr>
      <t xml:space="preserve"> Uvedou se finanční prostředky ve výši dle vystavených limitek k 31. 12. </t>
    </r>
  </si>
  <si>
    <t>Tabulka 5.d   Financování programů strukturálních fondů</t>
  </si>
  <si>
    <t xml:space="preserve">Tabulka 6  Přehled vybraných výnosů </t>
  </si>
  <si>
    <t>Tabulka 9  Stipendia</t>
  </si>
  <si>
    <t xml:space="preserve">Tabulka 11.a   Rezervní fond </t>
  </si>
  <si>
    <t xml:space="preserve">Tabulka 11.b   Fond reprodukce investičního majetku </t>
  </si>
  <si>
    <t xml:space="preserve">Tabulka 11.c   Stipendijní fond </t>
  </si>
  <si>
    <t xml:space="preserve">Tabulka 11.d   Fond odměn </t>
  </si>
  <si>
    <t xml:space="preserve">Tabulka 11.e   Fond účelově určených prostředků </t>
  </si>
  <si>
    <t xml:space="preserve">Tabulka 11.f   Fond sociální </t>
  </si>
  <si>
    <t xml:space="preserve">Tabulka 11.g   Fond provozních prostředků </t>
  </si>
  <si>
    <t>počáteční stav k 1. 1.</t>
  </si>
  <si>
    <r>
      <rPr>
        <sz val="8"/>
        <rFont val="Calibri"/>
        <family val="2"/>
        <charset val="238"/>
      </rPr>
      <t>(1)</t>
    </r>
    <r>
      <rPr>
        <sz val="10"/>
        <rFont val="Calibri"/>
        <family val="2"/>
        <charset val="238"/>
      </rPr>
      <t xml:space="preserve"> V případě použití tohoto řádku VVŠ blíže specifikuje.</t>
    </r>
  </si>
  <si>
    <t>ze zisku za předchozí rok</t>
  </si>
  <si>
    <t>ze  zisku za předchozí rok</t>
  </si>
  <si>
    <t xml:space="preserve">Tabulka 11   Fondy a návrh na příděly do fondů v následujícím roce </t>
  </si>
  <si>
    <t xml:space="preserve">z toho příděl ze zisku za předchozí r. </t>
  </si>
  <si>
    <r>
      <t xml:space="preserve">Návrh na příděl ze zisku do fondů v násled. roce </t>
    </r>
    <r>
      <rPr>
        <sz val="9"/>
        <rFont val="Calibri"/>
        <family val="2"/>
        <charset val="238"/>
      </rPr>
      <t>(1)</t>
    </r>
  </si>
  <si>
    <r>
      <t xml:space="preserve">Výnosy za rok </t>
    </r>
    <r>
      <rPr>
        <sz val="8"/>
        <rFont val="Calibri"/>
        <family val="2"/>
        <charset val="238"/>
      </rPr>
      <t xml:space="preserve"> (1)</t>
    </r>
  </si>
  <si>
    <r>
      <rPr>
        <sz val="8"/>
        <color indexed="8"/>
        <rFont val="Calibri"/>
        <family val="2"/>
        <charset val="238"/>
      </rPr>
      <t>(3)</t>
    </r>
    <r>
      <rPr>
        <sz val="10"/>
        <color indexed="8"/>
        <rFont val="Calibri"/>
        <family val="2"/>
        <charset val="238"/>
      </rPr>
      <t xml:space="preserve"> Uvedou se prostředky, které byly vysoké škole poskytnuty v daném roce na základě Rozhodnutí o poskytnutí dotace na přípravu a realizaci všech projektů uvedeného operačního programu a prioritní osy. </t>
    </r>
  </si>
  <si>
    <r>
      <rPr>
        <sz val="8"/>
        <rFont val="Calibri"/>
        <family val="2"/>
        <charset val="238"/>
      </rPr>
      <t>(4)</t>
    </r>
    <r>
      <rPr>
        <sz val="10"/>
        <rFont val="Calibri"/>
        <family val="2"/>
        <charset val="238"/>
      </rPr>
      <t xml:space="preserve"> Jedná se o činnosti související se studiem jiné než podle § 58 zák.111/1998 Sb.</t>
    </r>
  </si>
  <si>
    <r>
      <rPr>
        <sz val="8"/>
        <rFont val="Calibri"/>
        <family val="2"/>
        <charset val="238"/>
      </rPr>
      <t>(1)</t>
    </r>
    <r>
      <rPr>
        <sz val="10"/>
        <rFont val="Calibri"/>
        <family val="2"/>
        <charset val="238"/>
      </rPr>
      <t xml:space="preserve"> Zpracování "Výkazu zisku a ztráty" se řídí § 6 a §§ 26 až 28  Vyhlášky 504/2002 Sb.</t>
    </r>
  </si>
  <si>
    <r>
      <rPr>
        <sz val="8"/>
        <rFont val="Calibri"/>
        <family val="2"/>
        <charset val="238"/>
      </rPr>
      <t>(1)</t>
    </r>
    <r>
      <rPr>
        <sz val="10"/>
        <rFont val="Calibri"/>
        <family val="2"/>
        <charset val="238"/>
      </rPr>
      <t xml:space="preserve"> Údaje budou vyplněny v souladu s účetní evidencí vysoké školy.</t>
    </r>
  </si>
  <si>
    <r>
      <rPr>
        <sz val="8"/>
        <rFont val="Calibri"/>
        <family val="2"/>
        <charset val="238"/>
      </rPr>
      <t>(1)</t>
    </r>
    <r>
      <rPr>
        <sz val="10"/>
        <rFont val="Calibri"/>
        <family val="2"/>
        <charset val="238"/>
      </rPr>
      <t xml:space="preserve"> VVŠ uvede, jaké další zdroje použila k financování stipendií.</t>
    </r>
  </si>
  <si>
    <r>
      <rPr>
        <sz val="8"/>
        <rFont val="Calibri"/>
        <family val="2"/>
        <charset val="238"/>
      </rPr>
      <t>(2)</t>
    </r>
    <r>
      <rPr>
        <sz val="10"/>
        <rFont val="Calibri"/>
        <family val="2"/>
        <charset val="238"/>
      </rPr>
      <t xml:space="preserve"> VVŠ uvede celkovou částku, kterou vyplatila na stipendiích - odděleně pro studenty a pro ostatní účastníky vzdělávání.</t>
    </r>
  </si>
  <si>
    <r>
      <rPr>
        <sz val="8"/>
        <rFont val="Calibri"/>
        <family val="2"/>
        <charset val="238"/>
      </rPr>
      <t>(1)</t>
    </r>
    <r>
      <rPr>
        <sz val="10"/>
        <rFont val="Calibri"/>
        <family val="2"/>
        <charset val="238"/>
      </rPr>
      <t xml:space="preserve"> Do projednání výroční zprávy o hospodaření s MŠMT se jedná o návrh.</t>
    </r>
  </si>
  <si>
    <r>
      <rPr>
        <sz val="8"/>
        <rFont val="Calibri"/>
        <family val="2"/>
        <charset val="238"/>
      </rPr>
      <t>(2)</t>
    </r>
    <r>
      <rPr>
        <sz val="10"/>
        <rFont val="Calibri"/>
        <family val="2"/>
        <charset val="238"/>
      </rPr>
      <t xml:space="preserve"> Údaje v podbarvených polích se načtou automaticky z vyplněných tabulek 11.a až 11.g.</t>
    </r>
  </si>
  <si>
    <t>Součet počátečních stavů fondů k 1. 1. roku (pole a1) se rovná  údaji z řádku 0089 sl. 1 tab. 1 - Rozvaha.</t>
  </si>
  <si>
    <t>Součet koncových stavů fondů k 31. 12. roku (pole e1) se rovná  údaji z řádku 0089 sl. 2 tab. 1 - Rozvaha.</t>
  </si>
  <si>
    <r>
      <rPr>
        <sz val="8"/>
        <rFont val="Calibri"/>
        <family val="2"/>
        <charset val="238"/>
      </rPr>
      <t>(1)</t>
    </r>
    <r>
      <rPr>
        <sz val="10"/>
        <rFont val="Calibri"/>
        <family val="2"/>
        <charset val="238"/>
      </rPr>
      <t xml:space="preserve"> V případě použití tohoto řádku, VVŠ blíže specifikuje.</t>
    </r>
  </si>
  <si>
    <r>
      <rPr>
        <sz val="8"/>
        <rFont val="Calibri"/>
        <family val="2"/>
        <charset val="238"/>
      </rPr>
      <t>(2)</t>
    </r>
    <r>
      <rPr>
        <sz val="10"/>
        <rFont val="Calibri"/>
        <family val="2"/>
        <charset val="238"/>
      </rPr>
      <t xml:space="preserve"> V případě použití tohoto řádku VVŠ blíže specifikuje.</t>
    </r>
  </si>
  <si>
    <r>
      <rPr>
        <sz val="8"/>
        <rFont val="Calibri"/>
        <family val="2"/>
        <charset val="238"/>
      </rPr>
      <t>(1)</t>
    </r>
    <r>
      <rPr>
        <sz val="10"/>
        <rFont val="Calibri"/>
        <family val="2"/>
        <charset val="238"/>
      </rPr>
      <t xml:space="preserve"> Uvést čerpání ve struktuře podle vnitřních předpisů VVŠ.</t>
    </r>
  </si>
  <si>
    <t>Součet hodnot sloupku "b", resp. "c"  za oblast stravování a sloupku "b", resp. "c" za oblast ubytování se rovná součtu hodnot z řádku 0042 sl. 1, resp. sl. 2 dílčího výkazu zisku a ztrát (Tab. 2) za součást školy KaM.</t>
  </si>
  <si>
    <t>Součet hodnot sloupků "h", resp. "k"  za oblast stravování a sloupků "h", resp. "k" za oblast ubytování se rovná součtu hodnot z řádku 0079 sl. 1, resp. sl. 2 dílčího výkazu zisku a ztrát (Tab. 2) za součást školy KaM.</t>
  </si>
  <si>
    <t>Podle potřeby vložit další řádky.</t>
  </si>
  <si>
    <r>
      <rPr>
        <sz val="8"/>
        <rFont val="Calibri"/>
        <family val="2"/>
        <charset val="238"/>
      </rPr>
      <t>(3)</t>
    </r>
    <r>
      <rPr>
        <sz val="10"/>
        <rFont val="Calibri"/>
        <family val="2"/>
        <charset val="238"/>
      </rPr>
      <t xml:space="preserve"> Jedná se o veřejné prostředky na financování projektů strukturálních fondů, zahrnuje všechny veřejné prostředky (jak evropskou, tak českou část spolufinancování).</t>
    </r>
  </si>
  <si>
    <r>
      <rPr>
        <sz val="8"/>
        <rFont val="Calibri"/>
        <family val="2"/>
        <charset val="238"/>
      </rPr>
      <t xml:space="preserve">(4) </t>
    </r>
    <r>
      <rPr>
        <sz val="10"/>
        <rFont val="Calibri"/>
        <family val="2"/>
        <charset val="238"/>
      </rPr>
      <t>Část tabulky Souhrn 1 a Souhrn 2 slouží k třídění údajů uvedených v předchozích řádcích tabulky 5.</t>
    </r>
  </si>
  <si>
    <r>
      <rPr>
        <sz val="8"/>
        <rFont val="Calibri"/>
        <family val="2"/>
        <charset val="238"/>
      </rPr>
      <t>(2)</t>
    </r>
    <r>
      <rPr>
        <sz val="10"/>
        <rFont val="Calibri"/>
        <family val="2"/>
        <charset val="238"/>
      </rPr>
      <t xml:space="preserve"> Vyhláškou je dáno pouze označení a členění textů; čísla příslušných účtů jsou doplněna pro lepší orientaci ve výkazu.</t>
    </r>
  </si>
  <si>
    <r>
      <rPr>
        <sz val="8"/>
        <color indexed="8"/>
        <rFont val="Calibri"/>
        <family val="2"/>
        <charset val="238"/>
      </rPr>
      <t>(4)</t>
    </r>
    <r>
      <rPr>
        <sz val="10"/>
        <color indexed="8"/>
        <rFont val="Calibri"/>
        <family val="2"/>
        <charset val="238"/>
      </rPr>
      <t xml:space="preserve"> </t>
    </r>
    <r>
      <rPr>
        <b/>
        <sz val="10"/>
        <color indexed="8"/>
        <rFont val="Calibri"/>
        <family val="2"/>
        <charset val="238"/>
      </rPr>
      <t>Placené vzdělávací kurzy</t>
    </r>
    <r>
      <rPr>
        <sz val="10"/>
        <color indexed="8"/>
        <rFont val="Calibri"/>
        <family val="2"/>
        <charset val="238"/>
      </rPr>
      <t xml:space="preserve"> prohlubující kvalifikaci zaměstnanců subjektů aplikační sféry (např. podnikové vzdělávací kurzy). Subjektem aplikační sféry se zde rozumí právnická osoba, jejíž hlavní činností není výzkum a vývoj. Může se jednat o podnikatelský subjekt, orgán veřejné správy, neziskovou organizaci, apod. - vždy s podmínkou, že hlavní činnost není výzkumná. Výnosy budou zahrnuty z těch vzdělávacích kurzů, které jsou "na zakázku", tzn. po dohodě s danou organizací pro její zaměstnance. Nejedná se zde o vyčíslení nákladů účastníků vzdělávacích kurzů, kteří jsou zaměstnaní ve společnosti, která splňuje výše uvedenou definici. Naopak, jedná se o kurzy, jež vznikly po dohodě s vybranou společností, neboť tato chtěla školit své zaměstnance.</t>
    </r>
  </si>
  <si>
    <r>
      <rPr>
        <sz val="8"/>
        <color indexed="8"/>
        <rFont val="Calibri"/>
        <family val="2"/>
        <charset val="238"/>
      </rPr>
      <t>(3)</t>
    </r>
    <r>
      <rPr>
        <sz val="10"/>
        <color indexed="8"/>
        <rFont val="Calibri"/>
        <family val="2"/>
        <charset val="238"/>
      </rPr>
      <t xml:space="preserve"> </t>
    </r>
    <r>
      <rPr>
        <b/>
        <sz val="10"/>
        <color indexed="8"/>
        <rFont val="Calibri"/>
        <family val="2"/>
        <charset val="238"/>
      </rPr>
      <t>Smluvní výzkum</t>
    </r>
    <r>
      <rPr>
        <sz val="10"/>
        <color indexed="8"/>
        <rFont val="Calibri"/>
        <family val="2"/>
        <charset val="238"/>
      </rPr>
      <t xml:space="preserve"> je výzkum na zakázku, který vychází ze spolupráce (interakce) specificky plnící především výzkumné potřeby subjektů aplikační sféry a vysokoškolská instituce je pro subjekt aplikační sféry realizuje dle jeho požadavků a potřeb. Za tento výzkum jsou jí tímto subjektem poskytovány finanční prostředky. Typicky zahrnuje rozsáhlejší projekty, originální výzkum a psaný report. Obvykle bývá výzkum na zakázku zadán jednou konkrétní externí organizací (pro její potřebu). Není rozhodující, zda finanční prostředky, které subjekt aplikační sféry na takový smluvní výzkum vynaložil, pochází z veřejných či soukromých zdrojů. Za smluvní výzkum nelze považovat případ, kdy je vysoká škola příjemcem účelové podpory na aplikovaný výzkum.</t>
    </r>
  </si>
  <si>
    <t>tis. Kč</t>
  </si>
  <si>
    <t>Výnosy (1)</t>
  </si>
  <si>
    <r>
      <rPr>
        <sz val="8"/>
        <rFont val="Calibri"/>
        <family val="2"/>
        <charset val="238"/>
      </rPr>
      <t>(3)</t>
    </r>
    <r>
      <rPr>
        <sz val="10"/>
        <rFont val="Calibri"/>
        <family val="2"/>
        <charset val="238"/>
      </rPr>
      <t xml:space="preserve"> Položku v každém řádku sloupce "a" vydělí VŠ počtem studentů /účastníků vzdělávání ve sloupci "c". Pokud existuje jednotková sazba, stačí zde uvést tuto. </t>
    </r>
  </si>
  <si>
    <t>sl. b" Celkem = vazba na stipendijní fond (Tab. 11.c)</t>
  </si>
  <si>
    <r>
      <rPr>
        <sz val="8"/>
        <rFont val="Calibri"/>
        <family val="2"/>
        <charset val="238"/>
      </rPr>
      <t xml:space="preserve">(5) </t>
    </r>
    <r>
      <rPr>
        <sz val="10"/>
        <rFont val="Calibri"/>
        <family val="2"/>
        <charset val="238"/>
      </rPr>
      <t>VŠ vloží řádky dle potřeby. Může se jednat např. o úhradu nákladů spojených se zakončením studia, cizojazyčné potvrzení o studiu, duplikát výkazu o studiu, dodatečný zápis, atp.</t>
    </r>
  </si>
  <si>
    <r>
      <rPr>
        <sz val="8"/>
        <color indexed="8"/>
        <rFont val="Calibri"/>
        <family val="2"/>
        <charset val="238"/>
      </rPr>
      <t xml:space="preserve">(2) </t>
    </r>
    <r>
      <rPr>
        <sz val="10"/>
        <color indexed="8"/>
        <rFont val="Calibri"/>
        <family val="2"/>
        <charset val="238"/>
      </rPr>
      <t xml:space="preserve">Vysoká škola uvede pro oblast podpory financovanou z prostředků VaV dle zákona č. 130/2002 Sb. o podpoře výzkumu a vývoje zkratku: VaV. </t>
    </r>
  </si>
  <si>
    <r>
      <rPr>
        <sz val="8"/>
        <color indexed="8"/>
        <rFont val="Calibri"/>
        <family val="2"/>
        <charset val="238"/>
      </rPr>
      <t>(4)</t>
    </r>
    <r>
      <rPr>
        <sz val="10"/>
        <color indexed="8"/>
        <rFont val="Calibri"/>
        <family val="2"/>
        <charset val="238"/>
      </rPr>
      <t xml:space="preserve"> Uvedou se prostředky použité daném roce na přípravu a realizaci projektů v souladu s Rozhodnutím.</t>
    </r>
  </si>
  <si>
    <t>Tabulka 5.e Finanční prostředky na spoluřešení projektů</t>
  </si>
  <si>
    <r>
      <t xml:space="preserve">Druh podpory VaV/název programu </t>
    </r>
    <r>
      <rPr>
        <sz val="8"/>
        <color indexed="8"/>
        <rFont val="Calibri"/>
        <family val="2"/>
        <charset val="238"/>
      </rPr>
      <t>(1)</t>
    </r>
  </si>
  <si>
    <t>Převody do fondů</t>
  </si>
  <si>
    <t>l</t>
  </si>
  <si>
    <t>m= f+l</t>
  </si>
  <si>
    <t>Vzdělávání</t>
  </si>
  <si>
    <t>Výzkum a vývoj</t>
  </si>
  <si>
    <t xml:space="preserve">     MŠMT - Účelová podpora</t>
  </si>
  <si>
    <t xml:space="preserve">     Ostatní kapitoly státního rozpočtu</t>
  </si>
  <si>
    <t xml:space="preserve">         GAČR</t>
  </si>
  <si>
    <t xml:space="preserve">standardní projekty </t>
  </si>
  <si>
    <t>projekty na podporu excelence v základním výzkumu</t>
  </si>
  <si>
    <t xml:space="preserve">         TAČR</t>
  </si>
  <si>
    <t>program ALFA</t>
  </si>
  <si>
    <t>program Centra kompetence</t>
  </si>
  <si>
    <t xml:space="preserve">         Ministerstvo kultury ČR</t>
  </si>
  <si>
    <t xml:space="preserve">program NAKI </t>
  </si>
  <si>
    <t xml:space="preserve">         Ministerstvo průmyslu a obchodu ČR</t>
  </si>
  <si>
    <t xml:space="preserve">program TIP </t>
  </si>
  <si>
    <t xml:space="preserve">         Ministerstvo vnitra ČR</t>
  </si>
  <si>
    <t xml:space="preserve">program bezpečnostního výzkumu ČR </t>
  </si>
  <si>
    <t xml:space="preserve">         Ministerstvo zdravotnictví ČR</t>
  </si>
  <si>
    <t xml:space="preserve">resortní program výzkumu a vývoje MZ II </t>
  </si>
  <si>
    <t xml:space="preserve">     Územní rozpočty</t>
  </si>
  <si>
    <t xml:space="preserve">     Prostředky ze zahraničí</t>
  </si>
  <si>
    <t>Operační programy</t>
  </si>
  <si>
    <t xml:space="preserve">     MŠMT</t>
  </si>
  <si>
    <t xml:space="preserve">         OP VK -Vzdělávání pro konkurenceschopnost</t>
  </si>
  <si>
    <t xml:space="preserve">            PO 2 - Terciární vzdělávání, výzkum a vývoj</t>
  </si>
  <si>
    <t xml:space="preserve">               2.2 Vysokoškolské vzdělávání</t>
  </si>
  <si>
    <t xml:space="preserve">               2.3 Lidské zdroje ve VaV</t>
  </si>
  <si>
    <t xml:space="preserve">               2.4 Partnerství a sítě</t>
  </si>
  <si>
    <t xml:space="preserve">         OP VaVpI -Výzkum a vývoj pro inovace</t>
  </si>
  <si>
    <t xml:space="preserve">            PO 3 - Komercializace a popularizace VaV</t>
  </si>
  <si>
    <t xml:space="preserve">         Pardubický kraj</t>
  </si>
  <si>
    <t xml:space="preserve">            OP VK -Vzdělávání pro konkurenceschopnost</t>
  </si>
  <si>
    <t xml:space="preserve">               PO 7.1 - Počáteční vzdělávání</t>
  </si>
  <si>
    <t xml:space="preserve">                  7.3.2 Podpora nabídky dalšího vzdělávání</t>
  </si>
  <si>
    <t xml:space="preserve">         Iniciativy Společenství </t>
  </si>
  <si>
    <t xml:space="preserve">            EÚS - Evropská územní spolupráce Rakousko - ČR</t>
  </si>
  <si>
    <t>Grafy 10c</t>
  </si>
  <si>
    <t>Grafy 10d</t>
  </si>
  <si>
    <t>Grafy 10e</t>
  </si>
  <si>
    <t>Graf 10f</t>
  </si>
  <si>
    <t>Grafy 10g</t>
  </si>
  <si>
    <t>Tabulka č. 12.a</t>
  </si>
  <si>
    <t>Přehled budov Univerzity Pardubice v r. 2015</t>
  </si>
  <si>
    <t>Město</t>
  </si>
  <si>
    <t>Areál</t>
  </si>
  <si>
    <t>Označení</t>
  </si>
  <si>
    <t>Název</t>
  </si>
  <si>
    <t>Vlastnictví
UPa</t>
  </si>
  <si>
    <t>Nájem /Pronájem</t>
  </si>
  <si>
    <t>Od koho 
/Komu</t>
  </si>
  <si>
    <t>v tis. Kč</t>
  </si>
  <si>
    <t>Kategorie majetku</t>
  </si>
  <si>
    <t>Název majetku</t>
  </si>
  <si>
    <t>Pořizovací cena</t>
  </si>
  <si>
    <t>Tabulka č. 12.b Majetek zařazený do používání v r. 2015 v pořizovací ceně nad 700 tis. Kč</t>
  </si>
  <si>
    <t>Tabulka č. 12.c  Přehled o majetku a jeho vývoj</t>
  </si>
  <si>
    <t>Druhy majetku</t>
  </si>
  <si>
    <t>Stav k 31.12.2014</t>
  </si>
  <si>
    <t>pořizovací cena</t>
  </si>
  <si>
    <t>oprávky (-)</t>
  </si>
  <si>
    <t xml:space="preserve">    zůstatková cena</t>
  </si>
  <si>
    <t>Rozdíl PC 2011-2010</t>
  </si>
  <si>
    <t>3</t>
  </si>
  <si>
    <t>Dlouhodobý nehmotný majetek</t>
  </si>
  <si>
    <t>software</t>
  </si>
  <si>
    <t>drobný dlouhodobý nehmotný majetek</t>
  </si>
  <si>
    <t>ocenitelná práva</t>
  </si>
  <si>
    <t>ostatní dlouhodobý  nehmotný majetek</t>
  </si>
  <si>
    <t>nedokončený dlouhodobý nehm. majetek</t>
  </si>
  <si>
    <t>Dlouhodobý hmotný majetek</t>
  </si>
  <si>
    <t>umělecká díla</t>
  </si>
  <si>
    <t>budovy, haly, stavby</t>
  </si>
  <si>
    <t>samostatné movité věci a soubory movitých věcí</t>
  </si>
  <si>
    <t>pěstitelské celky trvalých porostů</t>
  </si>
  <si>
    <t>základní stádo a  tažná  zvířata</t>
  </si>
  <si>
    <t>drobný dlouhodobý hmotný majetek</t>
  </si>
  <si>
    <t>ostatní dlouhodobý  hmotný majetek.</t>
  </si>
  <si>
    <t>nedokončený dlouhodobý hmotný majetek</t>
  </si>
  <si>
    <t>poskytnuté zálohy na dlouhodobý hmotný majetek</t>
  </si>
  <si>
    <t xml:space="preserve">Tabulka č. 12.d Finanční majetek                                                                                                                                        </t>
  </si>
  <si>
    <t>Dlouhodobý</t>
  </si>
  <si>
    <t>ostatní dlouhodobý finanční majetek</t>
  </si>
  <si>
    <t>Krátkodobý</t>
  </si>
  <si>
    <t>pokladna</t>
  </si>
  <si>
    <t>ceniny</t>
  </si>
  <si>
    <t>účty v bankách</t>
  </si>
  <si>
    <t xml:space="preserve">Tabulka č. 12.e Zásoby                                      </t>
  </si>
  <si>
    <t>Zásoby celkem</t>
  </si>
  <si>
    <t>materiál</t>
  </si>
  <si>
    <t>nedokončená výroba</t>
  </si>
  <si>
    <t>výrobky</t>
  </si>
  <si>
    <t>zvířata</t>
  </si>
  <si>
    <t>zboží</t>
  </si>
  <si>
    <t xml:space="preserve">Tabulka č. 12.f Pohledávky, závazky, bankovní výpomoci a půjčky, rezervy         </t>
  </si>
  <si>
    <t>Pohledávky celkem</t>
  </si>
  <si>
    <t>odběratelé</t>
  </si>
  <si>
    <t>zálohy</t>
  </si>
  <si>
    <t>pohledávky za institucemi sociálního a veřejného zdravotního pojištění</t>
  </si>
  <si>
    <t>za zaměstnanci</t>
  </si>
  <si>
    <t>Závazky celkem</t>
  </si>
  <si>
    <t>dodavatelé</t>
  </si>
  <si>
    <t>přijaté zálohy</t>
  </si>
  <si>
    <t>k zaměstnancům</t>
  </si>
  <si>
    <t>k institucím sociálního a zdravotního pojištění</t>
  </si>
  <si>
    <t>daňové závazky</t>
  </si>
  <si>
    <t>krátkodobé bankovní úvěry</t>
  </si>
  <si>
    <t>Rezervy celkem</t>
  </si>
  <si>
    <t>Graf 13a</t>
  </si>
  <si>
    <t>Graf 13c</t>
  </si>
  <si>
    <t>Graf 13d</t>
  </si>
  <si>
    <t>Graf 13b</t>
  </si>
  <si>
    <t>Graf 13e</t>
  </si>
  <si>
    <t>Graf 13f</t>
  </si>
  <si>
    <t>Graf 13g</t>
  </si>
  <si>
    <t>Graf 13h</t>
  </si>
  <si>
    <t>Graf 13i</t>
  </si>
  <si>
    <t>Graf 13j</t>
  </si>
  <si>
    <t>Graf 13k</t>
  </si>
  <si>
    <t>*celkové roční náklady UPa jsou očištěné o daňově neuznatelné odpisy a vztaženy k celkovému počtu studentů v jednotlivých letech</t>
  </si>
  <si>
    <t>Stav 
k 31.12.2014 pořizovací cena</t>
  </si>
  <si>
    <t>Stav k 31.12.2015</t>
  </si>
  <si>
    <t>Rozdíl PC 2015-2014</t>
  </si>
  <si>
    <t>Rozdíl oproti roku 2014</t>
  </si>
  <si>
    <t>Tabulka 2a   Výkaz zisku a ztráty - jen VŠ</t>
  </si>
  <si>
    <t>Tabulka 2b   Výkaz zisku a ztráty KaM</t>
  </si>
  <si>
    <t xml:space="preserve">     II. Služby celkem</t>
  </si>
  <si>
    <t xml:space="preserve">     III. Osobní náklady celkem</t>
  </si>
  <si>
    <t xml:space="preserve">    IV. Daně a poplatky celkem</t>
  </si>
  <si>
    <t xml:space="preserve">    V. Ostatní náklady celkem</t>
  </si>
  <si>
    <t xml:space="preserve">     VI. Odpisy, prodaný majetek, tvorba rezerv a opravných položek celkem</t>
  </si>
  <si>
    <t xml:space="preserve">     VII. Poskytnuté příspěvky celkem</t>
  </si>
  <si>
    <t xml:space="preserve">     VIII. Daň z příjmů celkem</t>
  </si>
  <si>
    <t xml:space="preserve">        I. Tržby za vlastní výkony a za zboží celkem</t>
  </si>
  <si>
    <t xml:space="preserve">       II. Změny stavu vnitroorganizačních zásob celkem</t>
  </si>
  <si>
    <t xml:space="preserve">       III. Aktivace celkem</t>
  </si>
  <si>
    <t xml:space="preserve">       IV. Ostatní výnosy celkem</t>
  </si>
  <si>
    <t xml:space="preserve">       V. Tržby z prodeje majetku, zúčtování rezerv a opravných položek celkem</t>
  </si>
  <si>
    <t xml:space="preserve">      VI. Přijaté příspěvky celkem</t>
  </si>
  <si>
    <t xml:space="preserve">      VII. Provozní dotace celkem</t>
  </si>
  <si>
    <t xml:space="preserve">            26.Zůstat. cena prodaného dlouhodobého nehmotného a hmotného majetku</t>
  </si>
  <si>
    <t xml:space="preserve">             19.Tržby z prodeje dlouhodobého nehmotného a hmotného majetku</t>
  </si>
  <si>
    <t xml:space="preserve">A. Dlouhodobý majetek celkem            </t>
  </si>
  <si>
    <t xml:space="preserve">                    2.Umělecká díla, předměty a sbírky</t>
  </si>
  <si>
    <t xml:space="preserve">                  10.Poskytnuté zálohy na dlouhodobý hmotný majetek</t>
  </si>
  <si>
    <t xml:space="preserve">                    4.Oprávky k drobnému dlouhodobému nehmotnému majetku</t>
  </si>
  <si>
    <t xml:space="preserve">                    5.Oprávky k ostatnímu dlouhodobému nehmotnému majetku</t>
  </si>
  <si>
    <t xml:space="preserve">                    7.Oprávky k samostatným movitým věcem a souborům movitých věcí</t>
  </si>
  <si>
    <t xml:space="preserve">                   12.Nároky na dotace a ostatní zúčtování se státním rozpočtem</t>
  </si>
  <si>
    <t xml:space="preserve">                   13.Nároky na dotace a ostatní zúčtování s rozpočtem orgánů územních samosprávných celků</t>
  </si>
  <si>
    <t>133D21U004902</t>
  </si>
  <si>
    <t>UPAR Dostavba a rekonstrukce ateliérové budovy FR Litomyšl</t>
  </si>
  <si>
    <t>133D21U004903</t>
  </si>
  <si>
    <t>UPAR - Rekonstrukce a zateplení výukového objektu EA</t>
  </si>
  <si>
    <t>133D21U004904</t>
  </si>
  <si>
    <t>UPAR - Rekonstrukce propojovacího mostu</t>
  </si>
  <si>
    <t xml:space="preserve">            nehmotný majetek</t>
  </si>
  <si>
    <t xml:space="preserve">            umělecká díla</t>
  </si>
  <si>
    <t xml:space="preserve">            pozemky</t>
  </si>
  <si>
    <t>Software IBM SPSS Statistics Premium v.23 Edupack</t>
  </si>
  <si>
    <t>Software iFIS ekonomický</t>
  </si>
  <si>
    <t>Systém duální SEM/FIB Lyra 3 GMH</t>
  </si>
  <si>
    <t>Systém vakuový depoziční MPE 600 S</t>
  </si>
  <si>
    <t>Spektrometr mikro-XRF Bruker M4 Tornado rentgenový</t>
  </si>
  <si>
    <t>Sestava TG-GC-MS zařízení modulární</t>
  </si>
  <si>
    <t>Reaktor Microactivity-Effi průtočný</t>
  </si>
  <si>
    <t>Spektrometr hmotnostní LCQ Fleet</t>
  </si>
  <si>
    <t>Chromatograf Acquity UltraPerformance C2 Systems</t>
  </si>
  <si>
    <t>Systém EZS a EKV Výukový areál Polabiny EB</t>
  </si>
  <si>
    <t>Soubor audiovizuální techniky pro posluchárnu H1 náměstí Čs. legií</t>
  </si>
  <si>
    <t>Detektor GCMS-QP2010 Ultra EI hmotnostní</t>
  </si>
  <si>
    <t>Kalorimetr DSC Q2000 diferenční skenovací Waters</t>
  </si>
  <si>
    <t>Soubor měření a regulace Výukový areál Polabiny EB</t>
  </si>
  <si>
    <t>Systém Biolog GEN III Microstation identifikační</t>
  </si>
  <si>
    <t>Prvek aktivní Cisco 4506-E Chassis TWo budova HBC</t>
  </si>
  <si>
    <t>Chromatograf kapalinový s detektorem diodového pole</t>
  </si>
  <si>
    <t>Měřič kontaktního úhlu Theta ZNC automatický s 3D jednotkou</t>
  </si>
  <si>
    <t>Pole diskové Dell PowerVault MD346012G SAS 4U-60</t>
  </si>
  <si>
    <t>Technologie gastro pro bufet VAP Stavařov</t>
  </si>
  <si>
    <t>Model PH-2B Phantom celého těla PBU-60</t>
  </si>
  <si>
    <t>Soubor audiovizuální techniky posluchárna E2 Výukový areál Polabiny</t>
  </si>
  <si>
    <t>Soubor audiovizuální techniky posluchárna E1 Výukový areál Polabiny</t>
  </si>
  <si>
    <t>Mlýn Labomill tryskový laboratorní</t>
  </si>
  <si>
    <t>Systém Elektrické požární signalizace Výukový areál Polabiny EB</t>
  </si>
  <si>
    <t>Reaktor pro kapalnou fázi 300 ml</t>
  </si>
  <si>
    <t>Glove box GP (Campus) T2+T2 rukavicový</t>
  </si>
  <si>
    <t>Systém kamerový CCTV Výukový areál Polabiny EB</t>
  </si>
  <si>
    <t>Spektrofotometr Shimadzu UV-3600 Plus UV-VIS-NIR</t>
  </si>
  <si>
    <t>Rheometer Haake Mars I</t>
  </si>
  <si>
    <t>Spektrometr FTIR Nicolet iS50 spektroskop IČ</t>
  </si>
  <si>
    <t>Budova Víceúčelové zařízení Stavařov č.p. 83</t>
  </si>
  <si>
    <t>Plochy pro pěší před budovami DA, DC, DB a EA</t>
  </si>
  <si>
    <t>Parkoviště u budovy rektorátu</t>
  </si>
  <si>
    <t>Atrium mezi budovami EB, DB, DC a rektorátem</t>
  </si>
  <si>
    <t>Most ocelový mezi budovami EA a EB Výukový areál Polabiny</t>
  </si>
  <si>
    <t>Parkoviště u budovy EA 901A</t>
  </si>
  <si>
    <t>Komunikace mezi budovami EA a EB</t>
  </si>
  <si>
    <t>Osvětlení veřejné u rektorátu a před budovami DA, DC, DB a EA</t>
  </si>
  <si>
    <t>Přípojka kanalizace pro Výukový areál Polabiny EB</t>
  </si>
  <si>
    <t>Cyklostezka a chodník okolo tělocvičen a multifunkčního venkovního sportoviště</t>
  </si>
  <si>
    <t>Technické zhodnocení budovy náměstí Čs. legií nová budova CA</t>
  </si>
  <si>
    <t>Technické zhodnocení budovy Výukový areál Polabiny Studentská 95 EB</t>
  </si>
  <si>
    <t>Technické zhodnocení budovy Technologický pavilon Doubravice 41 CC</t>
  </si>
  <si>
    <t>Technické zhodnocení budovy Studentská 84 - EA 901A</t>
  </si>
  <si>
    <t>Technické zhodnocení budovy Rektorát Studentská 95 R</t>
  </si>
  <si>
    <t>Technické zhodnocení budovy Patrový přístavek Studentská 95 DB</t>
  </si>
  <si>
    <t>Technické zhodnocení budovy Tělocvičny Univerzity Pardubice TA</t>
  </si>
  <si>
    <t>Nehmotný majetek - zařazení</t>
  </si>
  <si>
    <t>Nehmotný majetek - technické zhodnocení</t>
  </si>
  <si>
    <t>Stroje, přístroje, zařízení - zařazení</t>
  </si>
  <si>
    <t>Stroje, přístroje, zařízení - technické zhodnocení</t>
  </si>
  <si>
    <t>Budovy a stavby - zařazení</t>
  </si>
  <si>
    <t>Budovy a stavby - technické zhodnocení</t>
  </si>
  <si>
    <t>(celkem za objekt)</t>
  </si>
  <si>
    <t>MENZA UPA</t>
  </si>
  <si>
    <t>KOLEJE UPA</t>
  </si>
  <si>
    <t>Dlouhodobý úvěr</t>
  </si>
  <si>
    <t>program EPSILON</t>
  </si>
  <si>
    <t>dofinancování 7.RP</t>
  </si>
  <si>
    <t>program Kontakt - Mobility</t>
  </si>
  <si>
    <t>program COST</t>
  </si>
  <si>
    <t>program INGO</t>
  </si>
  <si>
    <t>program KONTAKT II</t>
  </si>
  <si>
    <t>program ERC CZ</t>
  </si>
  <si>
    <t>standardní projekty</t>
  </si>
  <si>
    <t>postdoktorské projekty</t>
  </si>
  <si>
    <t>program GAMA</t>
  </si>
  <si>
    <t xml:space="preserve">     Ministerstvo kultury ČR</t>
  </si>
  <si>
    <t>program NAKI</t>
  </si>
  <si>
    <t xml:space="preserve">     Ministerstvo vnitra ČR</t>
  </si>
  <si>
    <t>program bezpečnostního výzkumu ČR</t>
  </si>
  <si>
    <t xml:space="preserve">     Ministerstvo zdravotnictví ČR</t>
  </si>
  <si>
    <t>rezortní program výzkumu a vývoje - MZ III</t>
  </si>
  <si>
    <t xml:space="preserve">    Evropská komise</t>
  </si>
  <si>
    <t>7. rámcový program EU</t>
  </si>
  <si>
    <t>program HORIZON 2020</t>
  </si>
  <si>
    <t xml:space="preserve">    Ostatní zahraniční poskytovatelé</t>
  </si>
  <si>
    <t>NATO</t>
  </si>
  <si>
    <t>ONRG - Office of Naval Research Global</t>
  </si>
  <si>
    <t>University of Sheffield</t>
  </si>
  <si>
    <t>Zahraniční studenti (64-Odbor mezinárodních vztahů)</t>
  </si>
  <si>
    <t>Pardubický kraj</t>
  </si>
  <si>
    <t>Statutární město Pardubice</t>
  </si>
  <si>
    <t xml:space="preserve">          Lifelong Learning Programme</t>
  </si>
  <si>
    <t>ERASMUS</t>
  </si>
  <si>
    <t>Leonardo da Vinci</t>
  </si>
  <si>
    <t xml:space="preserve">          Norské fondy</t>
  </si>
  <si>
    <t>Projekty institucionální spolupráce</t>
  </si>
  <si>
    <t>PO 3 - Další vzdělávání</t>
  </si>
  <si>
    <t>3.1 Individuální další vzdělávání</t>
  </si>
  <si>
    <t>Prostředky ze zahraničí</t>
  </si>
  <si>
    <t>Fakulta filozofická</t>
  </si>
  <si>
    <t>Fakulta restaurování</t>
  </si>
  <si>
    <t>Fakulta chemicko-technologická</t>
  </si>
  <si>
    <t>Fakulta ekonomicko-správní</t>
  </si>
  <si>
    <t>Dopravní fakulta Jana Pernera</t>
  </si>
  <si>
    <t>Fakulta elektrotechniky a informatiky</t>
  </si>
  <si>
    <t>Fakulta zdravotnických studií</t>
  </si>
  <si>
    <t>ostatní (movitý majetek)</t>
  </si>
  <si>
    <r>
      <t xml:space="preserve">Průměrná částka na 1 studenta </t>
    </r>
    <r>
      <rPr>
        <sz val="8"/>
        <rFont val="Calibri"/>
        <family val="2"/>
        <charset val="238"/>
      </rPr>
      <t>(3) v Kč</t>
    </r>
  </si>
  <si>
    <t>poplatek za - duplikát diplomu</t>
  </si>
  <si>
    <t xml:space="preserve">                        duplikát indexu</t>
  </si>
  <si>
    <t xml:space="preserve">                        doklad o vykonaných zkouškách</t>
  </si>
  <si>
    <t xml:space="preserve">                        dodatečný zápis</t>
  </si>
  <si>
    <t xml:space="preserve">                        změnu rozvrhu</t>
  </si>
  <si>
    <t xml:space="preserve">                        potvrzení o studiu</t>
  </si>
  <si>
    <r>
      <t xml:space="preserve">Stipendijní fond - tvorba </t>
    </r>
    <r>
      <rPr>
        <sz val="8"/>
        <rFont val="Calibri"/>
        <family val="2"/>
        <charset val="238"/>
      </rPr>
      <t>(1)</t>
    </r>
  </si>
  <si>
    <t>Granty</t>
  </si>
  <si>
    <t>Zahraniční granty</t>
  </si>
  <si>
    <t>Ostatní vlastní zdroje</t>
  </si>
  <si>
    <t>OSTATNÍ</t>
  </si>
  <si>
    <t>ERASMUS MUNDUS</t>
  </si>
  <si>
    <t>ZAHRANIČNÍ STUDENTI</t>
  </si>
  <si>
    <t>g=a+b+c+d+e+f</t>
  </si>
  <si>
    <r>
      <t>ostatní příjmy celkem</t>
    </r>
    <r>
      <rPr>
        <sz val="10"/>
        <rFont val="Calibri"/>
        <family val="2"/>
        <charset val="238"/>
      </rPr>
      <t xml:space="preserve"> </t>
    </r>
    <r>
      <rPr>
        <sz val="8"/>
        <rFont val="Calibri"/>
        <family val="2"/>
        <charset val="238"/>
      </rPr>
      <t>(dary)</t>
    </r>
  </si>
  <si>
    <t>Pardubice</t>
  </si>
  <si>
    <t>03 Stavařov</t>
  </si>
  <si>
    <t>01 KA</t>
  </si>
  <si>
    <t>Koleje - Pavilon A</t>
  </si>
  <si>
    <t>02 KB</t>
  </si>
  <si>
    <t>Koleje - Pavilon B</t>
  </si>
  <si>
    <t>03 KC</t>
  </si>
  <si>
    <t>Koleje - Pavilon C</t>
  </si>
  <si>
    <t>04 KD</t>
  </si>
  <si>
    <t>Koleje - Pavilon D</t>
  </si>
  <si>
    <t>05 M</t>
  </si>
  <si>
    <t>Menza</t>
  </si>
  <si>
    <t>06 TA</t>
  </si>
  <si>
    <t>Tělocvična</t>
  </si>
  <si>
    <t>07</t>
  </si>
  <si>
    <t>Výměníková stanice</t>
  </si>
  <si>
    <t>08</t>
  </si>
  <si>
    <t>VŠ Klub</t>
  </si>
  <si>
    <t>09 EA</t>
  </si>
  <si>
    <t>Výukový objekt</t>
  </si>
  <si>
    <r>
      <t>78,4m</t>
    </r>
    <r>
      <rPr>
        <vertAlign val="superscript"/>
        <sz val="11"/>
        <color theme="1"/>
        <rFont val="Calibri"/>
        <family val="2"/>
        <charset val="238"/>
        <scheme val="minor"/>
      </rPr>
      <t>2</t>
    </r>
  </si>
  <si>
    <t>Různí nájemci</t>
  </si>
  <si>
    <t>10 R</t>
  </si>
  <si>
    <t>Rektorát</t>
  </si>
  <si>
    <t>11 KE</t>
  </si>
  <si>
    <t>Koleje - Pavilon E</t>
  </si>
  <si>
    <t>13 KF</t>
  </si>
  <si>
    <t>Koleje - Pavilon F</t>
  </si>
  <si>
    <t>14 G</t>
  </si>
  <si>
    <t>Administrativní objekt G</t>
  </si>
  <si>
    <t>16</t>
  </si>
  <si>
    <t>Garáže a sklady</t>
  </si>
  <si>
    <t>17 EC</t>
  </si>
  <si>
    <t>Energocentrum</t>
  </si>
  <si>
    <t>18</t>
  </si>
  <si>
    <t>Trafostanice</t>
  </si>
  <si>
    <t>19 DA</t>
  </si>
  <si>
    <t>Výšková budova DFJP</t>
  </si>
  <si>
    <t>20 DC</t>
  </si>
  <si>
    <t>Administrativní objekt DFJP</t>
  </si>
  <si>
    <t>21 DA</t>
  </si>
  <si>
    <t>Vstupní hala DFJP</t>
  </si>
  <si>
    <t>22 DB</t>
  </si>
  <si>
    <t>Posluchárny DFJP</t>
  </si>
  <si>
    <t>23 DB</t>
  </si>
  <si>
    <t>Patrový přístavek DFJP</t>
  </si>
  <si>
    <t>24 EB</t>
  </si>
  <si>
    <t>VAP</t>
  </si>
  <si>
    <t>25</t>
  </si>
  <si>
    <t>Víceúčelové zařízení</t>
  </si>
  <si>
    <t>28 UK</t>
  </si>
  <si>
    <t>Univerzitní knihovna</t>
  </si>
  <si>
    <r>
      <t>62,62m</t>
    </r>
    <r>
      <rPr>
        <vertAlign val="superscript"/>
        <sz val="11"/>
        <color theme="1"/>
        <rFont val="Calibri"/>
        <family val="2"/>
        <charset val="238"/>
        <scheme val="minor"/>
      </rPr>
      <t>2</t>
    </r>
  </si>
  <si>
    <t>Koh-I-Noor</t>
  </si>
  <si>
    <t>29 UA</t>
  </si>
  <si>
    <t>Univerzitní aula</t>
  </si>
  <si>
    <t>30 HB</t>
  </si>
  <si>
    <t>FChT 2</t>
  </si>
  <si>
    <t>31 HC</t>
  </si>
  <si>
    <t>FChT 3</t>
  </si>
  <si>
    <t>32 HA</t>
  </si>
  <si>
    <t>FChT 1</t>
  </si>
  <si>
    <r>
      <t>259,66m</t>
    </r>
    <r>
      <rPr>
        <vertAlign val="superscript"/>
        <sz val="11"/>
        <color theme="1"/>
        <rFont val="Calibri"/>
        <family val="2"/>
        <charset val="238"/>
        <scheme val="minor"/>
      </rPr>
      <t>2</t>
    </r>
  </si>
  <si>
    <t>Slámová-Bufet</t>
  </si>
  <si>
    <t>01 ČS legií</t>
  </si>
  <si>
    <t>01 CB</t>
  </si>
  <si>
    <t>Náměstí ČS legií - UNIT</t>
  </si>
  <si>
    <t>02 CA</t>
  </si>
  <si>
    <t>Náměstí ČS legií - FEI</t>
  </si>
  <si>
    <t>03 CA</t>
  </si>
  <si>
    <t>Náměstí ČS legií - CEMNAT</t>
  </si>
  <si>
    <t>05 Doubravice</t>
  </si>
  <si>
    <t>01 CC</t>
  </si>
  <si>
    <t>Technologický pavilon</t>
  </si>
  <si>
    <r>
      <t>35,1m</t>
    </r>
    <r>
      <rPr>
        <vertAlign val="superscript"/>
        <sz val="11"/>
        <color theme="1"/>
        <rFont val="Calibri"/>
        <family val="2"/>
        <charset val="238"/>
        <scheme val="minor"/>
      </rPr>
      <t>2</t>
    </r>
  </si>
  <si>
    <t>OZM</t>
  </si>
  <si>
    <t>02 CF</t>
  </si>
  <si>
    <t>Montovaný pavilon</t>
  </si>
  <si>
    <r>
      <t>123m</t>
    </r>
    <r>
      <rPr>
        <vertAlign val="superscript"/>
        <sz val="11"/>
        <color theme="1"/>
        <rFont val="Calibri"/>
        <family val="2"/>
        <charset val="238"/>
        <scheme val="minor"/>
      </rPr>
      <t>2</t>
    </r>
  </si>
  <si>
    <t>Zentiva</t>
  </si>
  <si>
    <t>03</t>
  </si>
  <si>
    <t>ÚEnM - Sklad trhavin</t>
  </si>
  <si>
    <t>04</t>
  </si>
  <si>
    <t>ÚEnM - Stará lisovna trhavin</t>
  </si>
  <si>
    <t>05</t>
  </si>
  <si>
    <t>ÚEnM - Laboratoř trhavin</t>
  </si>
  <si>
    <t>Sklad hořlavin</t>
  </si>
  <si>
    <t>09</t>
  </si>
  <si>
    <t>Ředící jímky, Sklad RA odpadu</t>
  </si>
  <si>
    <t>10</t>
  </si>
  <si>
    <t>Mimoglobál. Sklady SB-TP</t>
  </si>
  <si>
    <t>11 CG</t>
  </si>
  <si>
    <t>Vrátnice</t>
  </si>
  <si>
    <t>12</t>
  </si>
  <si>
    <t>Garáže</t>
  </si>
  <si>
    <t>13</t>
  </si>
  <si>
    <t>Sklad SB</t>
  </si>
  <si>
    <t>14</t>
  </si>
  <si>
    <t>ÚEnM - Výbuchová komora</t>
  </si>
  <si>
    <t>15 CD</t>
  </si>
  <si>
    <t>UNIMO buňka</t>
  </si>
  <si>
    <t>ÚEnM - Nová lisovna trhavin</t>
  </si>
  <si>
    <t>18 DD</t>
  </si>
  <si>
    <t>VVCD</t>
  </si>
  <si>
    <t>02 Průmyslová</t>
  </si>
  <si>
    <t>01 ZA</t>
  </si>
  <si>
    <t>02 ZB</t>
  </si>
  <si>
    <t>Vestibul, šatny</t>
  </si>
  <si>
    <t>03 ZC</t>
  </si>
  <si>
    <t>Objekt stravování, Tělocvična</t>
  </si>
  <si>
    <t>04 ZD</t>
  </si>
  <si>
    <t>Kanceláře FZS</t>
  </si>
  <si>
    <t>05 ZE</t>
  </si>
  <si>
    <t>Posluchárny</t>
  </si>
  <si>
    <t>04 Loděnice</t>
  </si>
  <si>
    <t>01 TC</t>
  </si>
  <si>
    <t>Loděnice I (Hala)</t>
  </si>
  <si>
    <t>02 TC</t>
  </si>
  <si>
    <t>Loděnice II (společný objekt)</t>
  </si>
  <si>
    <t>Litomyšl</t>
  </si>
  <si>
    <t>07 Litomyšl</t>
  </si>
  <si>
    <t>01 RA</t>
  </si>
  <si>
    <t>Jiráskova 3</t>
  </si>
  <si>
    <t>02 RB</t>
  </si>
  <si>
    <t>Jiráskova 3 - Ateliéry</t>
  </si>
  <si>
    <t>FR Litomyšl 8 - Piaristická kolej</t>
  </si>
  <si>
    <t>Město Litomyšl</t>
  </si>
  <si>
    <t>FR Litomyšl, Tyršova 237</t>
  </si>
  <si>
    <r>
      <t>387m</t>
    </r>
    <r>
      <rPr>
        <vertAlign val="superscript"/>
        <sz val="11"/>
        <color theme="1"/>
        <rFont val="Calibri"/>
        <family val="2"/>
        <charset val="238"/>
        <scheme val="minor"/>
      </rPr>
      <t>2</t>
    </r>
  </si>
  <si>
    <t>M. Šimková a R. Skřivan</t>
  </si>
  <si>
    <t>FR Litomyšl - Nemocnice</t>
  </si>
  <si>
    <t>Nemocnice Pardub. kraje, a. s.</t>
  </si>
  <si>
    <t>Česká Třebová</t>
  </si>
  <si>
    <t>08 Č.Třebová</t>
  </si>
  <si>
    <t>01 DT</t>
  </si>
  <si>
    <t>Nádražní 547 - DFJP</t>
  </si>
  <si>
    <t>Ing. Miroslav Rakowski</t>
  </si>
  <si>
    <t>Praha</t>
  </si>
  <si>
    <t>09 Praha</t>
  </si>
  <si>
    <t>01 DE</t>
  </si>
  <si>
    <t>Pod Výtopnou 367/377, Praha</t>
  </si>
  <si>
    <r>
      <t>46,48m</t>
    </r>
    <r>
      <rPr>
        <vertAlign val="superscript"/>
        <sz val="11"/>
        <color theme="1"/>
        <rFont val="Calibri"/>
        <family val="2"/>
        <charset val="238"/>
        <scheme val="minor"/>
      </rPr>
      <t>2</t>
    </r>
    <r>
      <rPr>
        <sz val="11"/>
        <color theme="1"/>
        <rFont val="Calibri"/>
        <family val="2"/>
        <charset val="238"/>
        <scheme val="minor"/>
      </rPr>
      <t xml:space="preserve"> 
/100%</t>
    </r>
  </si>
  <si>
    <t>ČSAD Praha holding a.s. /Institut J.P., Č.logist.asociace</t>
  </si>
  <si>
    <t>Zámek</t>
  </si>
  <si>
    <r>
      <t>103m</t>
    </r>
    <r>
      <rPr>
        <vertAlign val="superscript"/>
        <sz val="11"/>
        <color theme="1"/>
        <rFont val="Calibri"/>
        <family val="2"/>
        <charset val="238"/>
        <scheme val="minor"/>
      </rPr>
      <t>2</t>
    </r>
  </si>
  <si>
    <t>Vč.muzeum</t>
  </si>
  <si>
    <t xml:space="preserve">Hospodářský výsledek běžného roku                  </t>
  </si>
  <si>
    <t xml:space="preserve">Odpisy dlouhodobého majetku                         </t>
  </si>
  <si>
    <t xml:space="preserve">     Ze vztahu k rozpočtu orgánů ÚSC               </t>
  </si>
  <si>
    <t xml:space="preserve">     K základnímu stádu a tažným zvířatům          </t>
  </si>
  <si>
    <t xml:space="preserve">     Podíl. cenné papíry a vklady - rozhodný vliv        </t>
  </si>
  <si>
    <t xml:space="preserve">Nerozdělený zisk, neuhrazená ztráta minulých let       </t>
  </si>
  <si>
    <t xml:space="preserve">Dlužné cenné papíry a vlastní dluhopisy              </t>
  </si>
  <si>
    <t xml:space="preserve">          International Visegrad Fund</t>
  </si>
  <si>
    <t xml:space="preserve">  International Visegrad Fund</t>
  </si>
  <si>
    <t xml:space="preserve">          Pardubický kraj</t>
  </si>
  <si>
    <t xml:space="preserve">          Statutární město Pardubice</t>
  </si>
  <si>
    <r>
      <t xml:space="preserve">  C  e  l  k  e  m </t>
    </r>
    <r>
      <rPr>
        <b/>
        <sz val="8"/>
        <rFont val="Calibri"/>
        <family val="2"/>
        <charset val="238"/>
      </rPr>
      <t xml:space="preserve"> (5)</t>
    </r>
  </si>
  <si>
    <r>
      <rPr>
        <sz val="8"/>
        <rFont val="Calibri"/>
        <family val="2"/>
        <charset val="238"/>
      </rPr>
      <t>(2)</t>
    </r>
    <r>
      <rPr>
        <sz val="10"/>
        <rFont val="Calibri"/>
        <family val="2"/>
        <charset val="238"/>
      </rPr>
      <t xml:space="preserve"> V případě, že výnosy od zaměstnanců škola vede v doplňkové činnosti, zahrne tyto prostředky do sl. "j" a výši těchto výnosů konkrétně uvede v komentáři</t>
    </r>
  </si>
  <si>
    <r>
      <rPr>
        <sz val="8"/>
        <rFont val="Calibri"/>
        <family val="2"/>
        <charset val="238"/>
      </rPr>
      <t>(2)</t>
    </r>
    <r>
      <rPr>
        <sz val="10"/>
        <rFont val="Calibri"/>
        <family val="2"/>
        <charset val="238"/>
      </rPr>
      <t xml:space="preserve"> V případě, že výnosy od zaměstnanců škola vede v doplňkové činnosti, zahrne tyto prostředky do sl. "j" a výši těchto výnosů konkrétně uvede v komentáři.</t>
    </r>
  </si>
  <si>
    <r>
      <rPr>
        <sz val="8"/>
        <rFont val="Calibri"/>
        <family val="2"/>
        <charset val="238"/>
      </rPr>
      <t>(3)</t>
    </r>
    <r>
      <rPr>
        <sz val="10"/>
        <rFont val="Calibri"/>
        <family val="2"/>
        <charset val="238"/>
      </rPr>
      <t xml:space="preserve"> V případě získání prostředků na činnost v oblasti ubytování z jiných veřejných zdrojů než prostředků kap. 333, VŠ uvede tuto skutečnost do sl. "f" a pod tabulkou stručně upřesní, o co se jedná.</t>
    </r>
  </si>
  <si>
    <r>
      <rPr>
        <sz val="8"/>
        <rFont val="Calibri"/>
        <family val="2"/>
        <charset val="238"/>
      </rPr>
      <t>(3)</t>
    </r>
    <r>
      <rPr>
        <sz val="10"/>
        <rFont val="Calibri"/>
        <family val="2"/>
        <charset val="238"/>
      </rPr>
      <t xml:space="preserve"> V případě získání prostředků na činnost v oblasti stravování z jiných veřejných zdrojů než prostředků kap. 333, VŠ uvede tuto skutečnost do sl. "f" a pod tabulkou stručně upřesní, o co se jedná.</t>
    </r>
  </si>
  <si>
    <t>Systém EZS a EKV CEMNAT náměstí Čs. legií nová budova</t>
  </si>
  <si>
    <t>Zařízení vzduchotechnické č. 3 CEMNAT</t>
  </si>
  <si>
    <t>Soubor měření a regulace CEMNAT náměstí Čs. legií nová budova</t>
  </si>
  <si>
    <t>Systém kamerový CCTV CEMNAT náměstí Čs. legií nová budova</t>
  </si>
  <si>
    <r>
      <t>2 472m</t>
    </r>
    <r>
      <rPr>
        <vertAlign val="superscript"/>
        <sz val="11"/>
        <color theme="1"/>
        <rFont val="Calibri"/>
        <family val="2"/>
        <charset val="238"/>
        <scheme val="minor"/>
      </rPr>
      <t>2</t>
    </r>
  </si>
  <si>
    <r>
      <t>194,8m</t>
    </r>
    <r>
      <rPr>
        <vertAlign val="superscript"/>
        <sz val="11"/>
        <color theme="1"/>
        <rFont val="Calibri"/>
        <family val="2"/>
        <charset val="238"/>
        <scheme val="minor"/>
      </rPr>
      <t>2</t>
    </r>
  </si>
  <si>
    <r>
      <t>166m</t>
    </r>
    <r>
      <rPr>
        <vertAlign val="superscript"/>
        <sz val="11"/>
        <color theme="1"/>
        <rFont val="Calibri"/>
        <family val="2"/>
        <charset val="238"/>
        <scheme val="minor"/>
      </rPr>
      <t>2</t>
    </r>
  </si>
  <si>
    <r>
      <t xml:space="preserve">Tab. 8.a:    Pracovníci a mzdové prostředky </t>
    </r>
    <r>
      <rPr>
        <sz val="11"/>
        <rFont val="Calibri"/>
        <family val="2"/>
        <charset val="238"/>
      </rPr>
      <t>(dle zdroje financování mzdy a OON)</t>
    </r>
    <r>
      <rPr>
        <sz val="8"/>
        <rFont val="Calibri"/>
        <family val="2"/>
        <charset val="238"/>
      </rPr>
      <t xml:space="preserve"> (1)</t>
    </r>
  </si>
  <si>
    <r>
      <t>VaV z národních zdrojů</t>
    </r>
    <r>
      <rPr>
        <sz val="8"/>
        <rFont val="Calibri"/>
        <family val="2"/>
        <charset val="238"/>
      </rPr>
      <t xml:space="preserve"> (2)</t>
    </r>
  </si>
  <si>
    <r>
      <t xml:space="preserve">mzdy </t>
    </r>
    <r>
      <rPr>
        <sz val="8"/>
        <rFont val="Calibri"/>
        <family val="2"/>
        <charset val="238"/>
      </rPr>
      <t>(7)</t>
    </r>
  </si>
  <si>
    <r>
      <t xml:space="preserve">Tab. 8.b:    Pracovníci a mzdové prostředky </t>
    </r>
    <r>
      <rPr>
        <sz val="11"/>
        <rFont val="Calibri"/>
        <family val="2"/>
        <charset val="238"/>
      </rPr>
      <t>(bez OON)</t>
    </r>
  </si>
  <si>
    <r>
      <t xml:space="preserve">Počet pracovníků </t>
    </r>
    <r>
      <rPr>
        <sz val="8"/>
        <rFont val="Calibri"/>
        <family val="2"/>
        <charset val="238"/>
      </rPr>
      <t>(3)</t>
    </r>
  </si>
  <si>
    <r>
      <t xml:space="preserve">akademičtí pracovníci </t>
    </r>
    <r>
      <rPr>
        <sz val="8"/>
        <rFont val="Calibri"/>
        <family val="2"/>
        <charset val="238"/>
      </rPr>
      <t>(4)</t>
    </r>
  </si>
  <si>
    <r>
      <t xml:space="preserve">vědečtí pracovníci </t>
    </r>
    <r>
      <rPr>
        <sz val="8"/>
        <rFont val="Calibri"/>
        <family val="2"/>
        <charset val="238"/>
      </rPr>
      <t>(5)</t>
    </r>
  </si>
  <si>
    <r>
      <t xml:space="preserve">ostatní </t>
    </r>
    <r>
      <rPr>
        <sz val="8"/>
        <rFont val="Calibri"/>
        <family val="2"/>
        <charset val="238"/>
      </rPr>
      <t>(6)</t>
    </r>
  </si>
  <si>
    <r>
      <rPr>
        <sz val="8"/>
        <rFont val="Calibri"/>
        <family val="2"/>
        <charset val="238"/>
      </rPr>
      <t>(1)</t>
    </r>
    <r>
      <rPr>
        <sz val="10"/>
        <rFont val="Calibri"/>
        <family val="2"/>
        <charset val="238"/>
      </rPr>
      <t xml:space="preserve"> Mzdy = plnění poskytované za vykonanou práci či v přímé souvislosti s prací poskytovanou na základě pracovního poměru, a to bez sociálního a zdravotního pojištění, které odvádí zaměstnavatel; OON obsahuje pouze platby za provedenou práci (DPP, DPČ), neobsahuje sociální a zdravotní pojištění, které odvádí zaměstnavatel.</t>
    </r>
  </si>
  <si>
    <r>
      <rPr>
        <sz val="8"/>
        <rFont val="Calibri"/>
        <family val="2"/>
        <charset val="238"/>
      </rPr>
      <t>(2)</t>
    </r>
    <r>
      <rPr>
        <sz val="10"/>
        <rFont val="Calibri"/>
        <family val="2"/>
        <charset val="238"/>
      </rPr>
      <t xml:space="preserve"> Obsahuje prostředky z GA ČR, TA ČR, ministerstev a dalších národních zdrojů (bez operačních programů EU).</t>
    </r>
  </si>
  <si>
    <r>
      <rPr>
        <sz val="8"/>
        <rFont val="Calibri"/>
        <family val="2"/>
        <charset val="238"/>
      </rPr>
      <t>(3)</t>
    </r>
    <r>
      <rPr>
        <sz val="10"/>
        <rFont val="Calibri"/>
        <family val="2"/>
        <charset val="238"/>
      </rPr>
      <t xml:space="preserve"> Počet pracovníků = průměrný počet zaměstnanců přepočtený na plný úvazek (full-time equivalent). Zahrnuje počty zaměstnanců v jednotlivých kategoriích za celý sledovaný rok přepočtené na zaměstnance s plným pracovním úvazkem, zaokrouhlené na celé číslo.  Počet pracovníků ve sl.1 je odvozený od mzdových prostředků hrazených z kapitoly 333-MŠMT; ve sl. 4 je odvozený od mzdových prostředků hrazených z ostatních zdrojů rozpočtu VŠ.</t>
    </r>
  </si>
  <si>
    <r>
      <rPr>
        <sz val="8"/>
        <rFont val="Calibri"/>
        <family val="2"/>
        <charset val="238"/>
      </rPr>
      <t>(4)</t>
    </r>
    <r>
      <rPr>
        <sz val="10"/>
        <rFont val="Calibri"/>
        <family val="2"/>
        <charset val="238"/>
      </rPr>
      <t xml:space="preserve"> Jedná se o pracovníky vysoké školy, kteří jsou vnitřním předpisem vysoké školy zařazeni mezi akademické pracovníky. Zároveň platí, že se v rámci svého úvazku věnují pedagogické nebo vědecké činnosti; není možné mezi akademické pracovníky zařadit vědecké pracovníky, kteří na vysoké škole pouze vědecky pracují a vůbec nevyučují. Vědečtí, výzkumní a vývojoví pracovníci podílející se na pedagogické činnosti budou započteni do vyznačených kategorií akademických pracovníků.
Pokud vysoká škola v rámci svých vnitřních předpisů eviduje i jiné kategorie akademických pracovníků, doplní řádek "ostatní" a v komentáři blíže vysvětlí, o jaké pracovníky se jedná. Výčet v jednotlivých kategoriích (řádcích) akademických pracovníků se nesmí překrývat, celkový součet musí odpovídat skutečným přepočteným "full-time" akademickým pracovníkům. Celkový součet za kategorii akademických pracovníků a vědeckých pracovníků musí souhlasit s údajem vykázaným ve výroční zprávě o činnosti, tabulka 7.1.</t>
    </r>
  </si>
  <si>
    <r>
      <rPr>
        <sz val="8"/>
        <rFont val="Calibri"/>
        <family val="2"/>
        <charset val="238"/>
      </rPr>
      <t>(5)</t>
    </r>
    <r>
      <rPr>
        <sz val="10"/>
        <rFont val="Calibri"/>
        <family val="2"/>
        <charset val="238"/>
      </rPr>
      <t xml:space="preserve"> Jedná se o vědecké pracovníky, kteří v rámci svého úvazku na vysoké škole pouze vědecky pracují. Pedagogické činnosti se nevěnují vůbec.</t>
    </r>
  </si>
  <si>
    <r>
      <rPr>
        <sz val="8"/>
        <rFont val="Calibri"/>
        <family val="2"/>
        <charset val="238"/>
      </rPr>
      <t>(6)</t>
    </r>
    <r>
      <rPr>
        <sz val="10"/>
        <rFont val="Calibri"/>
        <family val="2"/>
        <charset val="238"/>
      </rPr>
      <t xml:space="preserve"> Úvazky pracovníků, kteří se nevěnují ani pedagogické ani vědecké činnosti. Jde zejména o technicko- hospodářské pracovníky, provozní a obchodně provozní pracovníky, zdravotní a ostatní pracovníky, atp.</t>
    </r>
  </si>
  <si>
    <r>
      <rPr>
        <sz val="8"/>
        <rFont val="Calibri"/>
        <family val="2"/>
        <charset val="238"/>
      </rPr>
      <t>(7)</t>
    </r>
    <r>
      <rPr>
        <sz val="10"/>
        <rFont val="Calibri"/>
        <family val="2"/>
        <charset val="238"/>
      </rPr>
      <t xml:space="preserve"> Hodnota mezd CELKEM v řádku 6 (CELKEM) tab. 8.a se rovná hodnotě mezd CELKEM ve sl. 8, ř. 11 tabulky 8.b.</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</si>
</sst>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_ ;[Red]\-#,##0\ ;\–\ "/>
    <numFmt numFmtId="165" formatCode="#,##0_ ;[Red]\-#,##0\ "/>
    <numFmt numFmtId="166" formatCode="#,##0.00_ ;[Red]\-#,##0.00\ "/>
    <numFmt numFmtId="167" formatCode="#,##0.000"/>
  </numFmts>
  <fonts count="63" x14ac:knownFonts="1">
    <font>
      <sz val="11"/>
      <color theme="1"/>
      <name val="Calibri"/>
      <family val="2"/>
      <charset val="238"/>
      <scheme val="minor"/>
    </font>
    <font>
      <sz val="11"/>
      <color indexed="8"/>
      <name val="Calibri"/>
      <family val="2"/>
      <charset val="238"/>
    </font>
    <font>
      <sz val="10"/>
      <name val="Arial CE"/>
      <charset val="238"/>
    </font>
    <font>
      <sz val="8"/>
      <name val="Arial CE"/>
      <charset val="238"/>
    </font>
    <font>
      <sz val="10"/>
      <name val="Arial"/>
      <family val="2"/>
      <charset val="238"/>
    </font>
    <font>
      <sz val="10"/>
      <name val="Times New Roman"/>
      <family val="1"/>
      <charset val="238"/>
    </font>
    <font>
      <sz val="10"/>
      <name val="Calibri"/>
      <family val="2"/>
      <charset val="238"/>
    </font>
    <font>
      <b/>
      <sz val="12"/>
      <name val="Calibri"/>
      <family val="2"/>
      <charset val="238"/>
    </font>
    <font>
      <b/>
      <sz val="10"/>
      <name val="Calibri"/>
      <family val="2"/>
      <charset val="238"/>
    </font>
    <font>
      <i/>
      <sz val="10"/>
      <name val="Calibri"/>
      <family val="2"/>
      <charset val="238"/>
    </font>
    <font>
      <sz val="9"/>
      <name val="Calibri"/>
      <family val="2"/>
      <charset val="238"/>
    </font>
    <font>
      <b/>
      <sz val="9"/>
      <name val="Calibri"/>
      <family val="2"/>
      <charset val="238"/>
    </font>
    <font>
      <sz val="10"/>
      <color indexed="8"/>
      <name val="Calibri"/>
      <family val="2"/>
      <charset val="238"/>
    </font>
    <font>
      <b/>
      <sz val="10"/>
      <color indexed="8"/>
      <name val="Calibri"/>
      <family val="2"/>
      <charset val="238"/>
    </font>
    <font>
      <sz val="11"/>
      <name val="Calibri"/>
      <family val="2"/>
      <charset val="238"/>
    </font>
    <font>
      <sz val="8"/>
      <name val="Calibri"/>
      <family val="2"/>
      <charset val="238"/>
    </font>
    <font>
      <sz val="8"/>
      <color indexed="8"/>
      <name val="Calibri"/>
      <family val="2"/>
      <charset val="238"/>
    </font>
    <font>
      <b/>
      <sz val="8"/>
      <name val="Calibri"/>
      <family val="2"/>
      <charset val="238"/>
    </font>
    <font>
      <u/>
      <sz val="10"/>
      <name val="Calibri"/>
      <family val="2"/>
      <charset val="238"/>
    </font>
    <font>
      <sz val="12"/>
      <name val="Calibri"/>
      <family val="2"/>
      <charset val="238"/>
    </font>
    <font>
      <sz val="10"/>
      <color indexed="10"/>
      <name val="Calibri"/>
      <family val="2"/>
      <charset val="238"/>
    </font>
    <font>
      <b/>
      <sz val="11"/>
      <color indexed="8"/>
      <name val="Calibri"/>
      <family val="2"/>
      <charset val="238"/>
    </font>
    <font>
      <b/>
      <sz val="11"/>
      <name val="Calibri"/>
      <family val="2"/>
      <charset val="238"/>
    </font>
    <font>
      <b/>
      <sz val="12"/>
      <color indexed="8"/>
      <name val="Calibri"/>
      <family val="2"/>
      <charset val="238"/>
    </font>
    <font>
      <i/>
      <sz val="10"/>
      <color indexed="8"/>
      <name val="Calibri"/>
      <family val="2"/>
      <charset val="238"/>
    </font>
    <font>
      <u/>
      <sz val="10"/>
      <color indexed="8"/>
      <name val="Calibri"/>
      <family val="2"/>
      <charset val="238"/>
    </font>
    <font>
      <b/>
      <sz val="11"/>
      <color theme="1"/>
      <name val="Calibri"/>
      <family val="2"/>
      <charset val="238"/>
      <scheme val="minor"/>
    </font>
    <font>
      <sz val="11"/>
      <color rgb="FFFF0000"/>
      <name val="Calibri"/>
      <family val="2"/>
      <charset val="238"/>
      <scheme val="minor"/>
    </font>
    <font>
      <b/>
      <sz val="12"/>
      <name val="Calibri"/>
      <family val="2"/>
      <charset val="238"/>
      <scheme val="minor"/>
    </font>
    <font>
      <sz val="10"/>
      <name val="Calibri"/>
      <family val="2"/>
      <charset val="238"/>
      <scheme val="minor"/>
    </font>
    <font>
      <b/>
      <sz val="10"/>
      <name val="Calibri"/>
      <family val="2"/>
      <charset val="238"/>
      <scheme val="minor"/>
    </font>
    <font>
      <i/>
      <sz val="10"/>
      <name val="Calibri"/>
      <family val="2"/>
      <charset val="238"/>
      <scheme val="minor"/>
    </font>
    <font>
      <b/>
      <sz val="9"/>
      <name val="Calibri"/>
      <family val="2"/>
      <charset val="238"/>
      <scheme val="minor"/>
    </font>
    <font>
      <sz val="9"/>
      <name val="Calibri"/>
      <family val="2"/>
      <charset val="238"/>
      <scheme val="minor"/>
    </font>
    <font>
      <sz val="10"/>
      <color indexed="10"/>
      <name val="Calibri"/>
      <family val="2"/>
      <charset val="238"/>
      <scheme val="minor"/>
    </font>
    <font>
      <sz val="10"/>
      <color indexed="12"/>
      <name val="Calibri"/>
      <family val="2"/>
      <charset val="238"/>
      <scheme val="minor"/>
    </font>
    <font>
      <sz val="12"/>
      <name val="Calibri"/>
      <family val="2"/>
      <charset val="238"/>
      <scheme val="minor"/>
    </font>
    <font>
      <sz val="10"/>
      <color indexed="8"/>
      <name val="Calibri"/>
      <family val="2"/>
      <charset val="238"/>
      <scheme val="minor"/>
    </font>
    <font>
      <sz val="12"/>
      <color indexed="8"/>
      <name val="Calibri"/>
      <family val="2"/>
      <charset val="238"/>
      <scheme val="minor"/>
    </font>
    <font>
      <sz val="10"/>
      <color rgb="FFFF0000"/>
      <name val="Calibri"/>
      <family val="2"/>
      <charset val="238"/>
      <scheme val="minor"/>
    </font>
    <font>
      <sz val="10"/>
      <color rgb="FF0070C0"/>
      <name val="Calibri"/>
      <family val="2"/>
      <charset val="238"/>
      <scheme val="minor"/>
    </font>
    <font>
      <sz val="10"/>
      <color theme="1"/>
      <name val="Calibri"/>
      <family val="2"/>
      <charset val="238"/>
      <scheme val="minor"/>
    </font>
    <font>
      <b/>
      <sz val="11"/>
      <name val="Calibri"/>
      <family val="2"/>
      <charset val="238"/>
      <scheme val="minor"/>
    </font>
    <font>
      <b/>
      <sz val="12"/>
      <color theme="1"/>
      <name val="Calibri"/>
      <family val="2"/>
      <charset val="238"/>
      <scheme val="minor"/>
    </font>
    <font>
      <b/>
      <sz val="10"/>
      <color theme="1"/>
      <name val="Calibri"/>
      <family val="2"/>
      <charset val="238"/>
      <scheme val="minor"/>
    </font>
    <font>
      <sz val="10"/>
      <color indexed="48"/>
      <name val="Calibri"/>
      <family val="2"/>
      <charset val="238"/>
      <scheme val="minor"/>
    </font>
    <font>
      <sz val="8"/>
      <name val="Calibri"/>
      <family val="2"/>
      <charset val="238"/>
      <scheme val="minor"/>
    </font>
    <font>
      <sz val="12"/>
      <color theme="1"/>
      <name val="Calibri"/>
      <family val="2"/>
      <charset val="238"/>
      <scheme val="minor"/>
    </font>
    <font>
      <i/>
      <sz val="11"/>
      <color theme="1"/>
      <name val="Calibri"/>
      <family val="2"/>
      <charset val="238"/>
      <scheme val="minor"/>
    </font>
    <font>
      <i/>
      <sz val="10"/>
      <color theme="1"/>
      <name val="Calibri"/>
      <family val="2"/>
      <charset val="238"/>
      <scheme val="minor"/>
    </font>
    <font>
      <b/>
      <i/>
      <sz val="10"/>
      <color theme="1"/>
      <name val="Calibri"/>
      <family val="2"/>
      <charset val="238"/>
      <scheme val="minor"/>
    </font>
    <font>
      <sz val="10"/>
      <color theme="1"/>
      <name val="Calibri"/>
      <family val="2"/>
      <charset val="238"/>
    </font>
    <font>
      <b/>
      <sz val="10"/>
      <color theme="1"/>
      <name val="Calibri"/>
      <family val="2"/>
      <charset val="238"/>
    </font>
    <font>
      <b/>
      <i/>
      <sz val="10"/>
      <name val="Calibri"/>
      <family val="2"/>
      <charset val="238"/>
      <scheme val="minor"/>
    </font>
    <font>
      <b/>
      <sz val="10"/>
      <color indexed="8"/>
      <name val="Calibri"/>
      <family val="2"/>
      <charset val="238"/>
      <scheme val="minor"/>
    </font>
    <font>
      <vertAlign val="superscript"/>
      <sz val="10"/>
      <color theme="1"/>
      <name val="Calibri"/>
      <family val="2"/>
      <charset val="238"/>
    </font>
    <font>
      <b/>
      <sz val="12"/>
      <color rgb="FFFF0000"/>
      <name val="Calibri"/>
      <family val="2"/>
      <charset val="238"/>
      <scheme val="minor"/>
    </font>
    <font>
      <sz val="10"/>
      <color theme="1"/>
      <name val="Times New Roman"/>
      <family val="1"/>
      <charset val="238"/>
    </font>
    <font>
      <sz val="10"/>
      <color rgb="FF000000"/>
      <name val="Calibri"/>
      <family val="2"/>
      <charset val="238"/>
    </font>
    <font>
      <b/>
      <sz val="10"/>
      <color rgb="FF000000"/>
      <name val="Calibri"/>
      <family val="2"/>
      <charset val="238"/>
    </font>
    <font>
      <sz val="9"/>
      <color theme="1"/>
      <name val="Calibri"/>
      <family val="2"/>
      <charset val="238"/>
      <scheme val="minor"/>
    </font>
    <font>
      <vertAlign val="superscript"/>
      <sz val="11"/>
      <color theme="1"/>
      <name val="Calibri"/>
      <family val="2"/>
      <charset val="238"/>
      <scheme val="minor"/>
    </font>
    <font>
      <sz val="11"/>
      <name val="Calibri"/>
      <family val="2"/>
      <charset val="238"/>
      <scheme val="minor"/>
    </font>
  </fonts>
  <fills count="16">
    <fill>
      <patternFill patternType="none"/>
    </fill>
    <fill>
      <patternFill patternType="gray125"/>
    </fill>
    <fill>
      <patternFill patternType="solid">
        <fgColor indexed="9"/>
        <bgColor indexed="64"/>
      </patternFill>
    </fill>
    <fill>
      <patternFill patternType="solid">
        <fgColor rgb="FFDBDBDB"/>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EAEAEA"/>
        <bgColor indexed="64"/>
      </patternFill>
    </fill>
    <fill>
      <patternFill patternType="solid">
        <fgColor theme="9"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9" tint="-0.249977111117893"/>
        <bgColor indexed="64"/>
      </patternFill>
    </fill>
    <fill>
      <patternFill patternType="solid">
        <fgColor rgb="FFFFFF00"/>
        <bgColor indexed="64"/>
      </patternFill>
    </fill>
    <fill>
      <patternFill patternType="solid">
        <fgColor theme="3" tint="0.39997558519241921"/>
        <bgColor indexed="64"/>
      </patternFill>
    </fill>
    <fill>
      <patternFill patternType="solid">
        <fgColor rgb="FF92D050"/>
        <bgColor indexed="64"/>
      </patternFill>
    </fill>
    <fill>
      <patternFill patternType="solid">
        <fgColor rgb="FFE8E8E8"/>
        <bgColor indexed="64"/>
      </patternFill>
    </fill>
  </fills>
  <borders count="172">
    <border>
      <left/>
      <right/>
      <top/>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thin">
        <color indexed="55"/>
      </bottom>
      <diagonal/>
    </border>
    <border>
      <left style="thin">
        <color indexed="55"/>
      </left>
      <right style="thin">
        <color indexed="55"/>
      </right>
      <top style="thin">
        <color indexed="55"/>
      </top>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style="medium">
        <color indexed="64"/>
      </top>
      <bottom style="thin">
        <color indexed="64"/>
      </bottom>
      <diagonal/>
    </border>
    <border>
      <left style="thin">
        <color indexed="64"/>
      </left>
      <right style="medium">
        <color indexed="64"/>
      </right>
      <top/>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thin">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hair">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hair">
        <color indexed="64"/>
      </top>
      <bottom style="hair">
        <color indexed="64"/>
      </bottom>
      <diagonal/>
    </border>
    <border>
      <left style="thin">
        <color indexed="64"/>
      </left>
      <right/>
      <top style="hair">
        <color indexed="64"/>
      </top>
      <bottom style="medium">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style="thin">
        <color indexed="64"/>
      </left>
      <right/>
      <top/>
      <bottom style="hair">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top style="thin">
        <color indexed="22"/>
      </top>
      <bottom style="thin">
        <color indexed="22"/>
      </bottom>
      <diagonal/>
    </border>
    <border>
      <left/>
      <right/>
      <top style="thin">
        <color indexed="22"/>
      </top>
      <bottom style="thin">
        <color indexed="22"/>
      </bottom>
      <diagonal/>
    </border>
    <border>
      <left/>
      <right style="medium">
        <color indexed="64"/>
      </right>
      <top style="thin">
        <color indexed="22"/>
      </top>
      <bottom style="thin">
        <color indexed="22"/>
      </bottom>
      <diagonal/>
    </border>
    <border>
      <left style="medium">
        <color indexed="64"/>
      </left>
      <right/>
      <top style="thin">
        <color indexed="55"/>
      </top>
      <bottom style="thin">
        <color indexed="55"/>
      </bottom>
      <diagonal/>
    </border>
    <border>
      <left style="medium">
        <color indexed="64"/>
      </left>
      <right/>
      <top style="thin">
        <color indexed="22"/>
      </top>
      <bottom style="medium">
        <color indexed="64"/>
      </bottom>
      <diagonal/>
    </border>
    <border>
      <left/>
      <right/>
      <top style="thin">
        <color indexed="22"/>
      </top>
      <bottom style="medium">
        <color indexed="64"/>
      </bottom>
      <diagonal/>
    </border>
    <border>
      <left/>
      <right style="medium">
        <color indexed="64"/>
      </right>
      <top style="thin">
        <color indexed="22"/>
      </top>
      <bottom style="medium">
        <color indexed="64"/>
      </bottom>
      <diagonal/>
    </border>
    <border>
      <left style="medium">
        <color indexed="64"/>
      </left>
      <right/>
      <top style="thin">
        <color indexed="55"/>
      </top>
      <bottom style="medium">
        <color indexed="64"/>
      </bottom>
      <diagonal/>
    </border>
    <border>
      <left style="thin">
        <color indexed="64"/>
      </left>
      <right/>
      <top style="thin">
        <color indexed="64"/>
      </top>
      <bottom style="medium">
        <color indexed="64"/>
      </bottom>
      <diagonal/>
    </border>
    <border>
      <left/>
      <right style="medium">
        <color indexed="64"/>
      </right>
      <top/>
      <bottom/>
      <diagonal/>
    </border>
    <border>
      <left/>
      <right/>
      <top style="thin">
        <color indexed="64"/>
      </top>
      <bottom/>
      <diagonal/>
    </border>
    <border>
      <left/>
      <right/>
      <top/>
      <bottom style="medium">
        <color indexed="64"/>
      </bottom>
      <diagonal/>
    </border>
    <border>
      <left/>
      <right style="medium">
        <color indexed="64"/>
      </right>
      <top style="thin">
        <color indexed="64"/>
      </top>
      <bottom style="medium">
        <color indexed="64"/>
      </bottom>
      <diagonal/>
    </border>
    <border>
      <left/>
      <right/>
      <top/>
      <bottom style="thin">
        <color indexed="64"/>
      </bottom>
      <diagonal/>
    </border>
    <border>
      <left/>
      <right/>
      <top style="thin">
        <color indexed="64"/>
      </top>
      <bottom style="medium">
        <color indexed="64"/>
      </bottom>
      <diagonal/>
    </border>
    <border>
      <left style="medium">
        <color indexed="64"/>
      </left>
      <right/>
      <top/>
      <bottom style="thin">
        <color indexed="55"/>
      </bottom>
      <diagonal/>
    </border>
    <border>
      <left style="medium">
        <color indexed="64"/>
      </left>
      <right/>
      <top style="medium">
        <color indexed="64"/>
      </top>
      <bottom style="thin">
        <color indexed="55"/>
      </bottom>
      <diagonal/>
    </border>
    <border>
      <left/>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medium">
        <color indexed="64"/>
      </right>
      <top/>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bottom style="thin">
        <color indexed="64"/>
      </bottom>
      <diagonal/>
    </border>
    <border>
      <left style="hair">
        <color indexed="64"/>
      </left>
      <right style="medium">
        <color indexed="64"/>
      </right>
      <top style="medium">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medium">
        <color indexed="64"/>
      </top>
      <bottom style="thin">
        <color indexed="64"/>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top style="medium">
        <color indexed="64"/>
      </top>
      <bottom style="thin">
        <color indexed="55"/>
      </bottom>
      <diagonal/>
    </border>
    <border>
      <left style="thin">
        <color indexed="64"/>
      </left>
      <right style="medium">
        <color indexed="64"/>
      </right>
      <top style="medium">
        <color indexed="64"/>
      </top>
      <bottom style="thin">
        <color indexed="55"/>
      </bottom>
      <diagonal/>
    </border>
    <border>
      <left style="thin">
        <color indexed="64"/>
      </left>
      <right/>
      <top style="thin">
        <color indexed="55"/>
      </top>
      <bottom style="thin">
        <color indexed="55"/>
      </bottom>
      <diagonal/>
    </border>
    <border>
      <left style="thin">
        <color indexed="64"/>
      </left>
      <right style="medium">
        <color indexed="64"/>
      </right>
      <top style="thin">
        <color indexed="55"/>
      </top>
      <bottom style="thin">
        <color indexed="55"/>
      </bottom>
      <diagonal/>
    </border>
    <border>
      <left style="thin">
        <color indexed="64"/>
      </left>
      <right/>
      <top style="thin">
        <color indexed="55"/>
      </top>
      <bottom style="medium">
        <color indexed="64"/>
      </bottom>
      <diagonal/>
    </border>
    <border>
      <left style="thin">
        <color indexed="64"/>
      </left>
      <right style="medium">
        <color indexed="64"/>
      </right>
      <top style="thin">
        <color indexed="55"/>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hair">
        <color indexed="64"/>
      </right>
      <top style="medium">
        <color indexed="64"/>
      </top>
      <bottom/>
      <diagonal/>
    </border>
    <border>
      <left style="hair">
        <color indexed="64"/>
      </left>
      <right style="hair">
        <color indexed="64"/>
      </right>
      <top style="medium">
        <color indexed="64"/>
      </top>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style="thin">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thin">
        <color indexed="64"/>
      </left>
      <right style="hair">
        <color indexed="64"/>
      </right>
      <top style="thin">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right style="thin">
        <color indexed="64"/>
      </right>
      <top/>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style="thin">
        <color indexed="64"/>
      </right>
      <top style="hair">
        <color indexed="64"/>
      </top>
      <bottom/>
      <diagonal/>
    </border>
    <border>
      <left style="medium">
        <color indexed="64"/>
      </left>
      <right style="thin">
        <color indexed="64"/>
      </right>
      <top/>
      <bottom/>
      <diagonal/>
    </border>
    <border>
      <left/>
      <right/>
      <top style="medium">
        <color indexed="64"/>
      </top>
      <bottom style="thin">
        <color indexed="64"/>
      </bottom>
      <diagonal/>
    </border>
    <border>
      <left style="thin">
        <color indexed="64"/>
      </left>
      <right/>
      <top style="medium">
        <color indexed="64"/>
      </top>
      <bottom/>
      <diagonal/>
    </border>
    <border>
      <left style="thin">
        <color indexed="64"/>
      </left>
      <right/>
      <top/>
      <bottom style="thin">
        <color indexed="55"/>
      </bottom>
      <diagonal/>
    </border>
    <border>
      <left style="thin">
        <color indexed="55"/>
      </left>
      <right/>
      <top style="thin">
        <color indexed="55"/>
      </top>
      <bottom/>
      <diagonal/>
    </border>
    <border>
      <left style="medium">
        <color indexed="64"/>
      </left>
      <right/>
      <top style="medium">
        <color indexed="64"/>
      </top>
      <bottom style="thin">
        <color indexed="22"/>
      </bottom>
      <diagonal/>
    </border>
    <border>
      <left/>
      <right/>
      <top style="medium">
        <color indexed="64"/>
      </top>
      <bottom style="thin">
        <color indexed="22"/>
      </bottom>
      <diagonal/>
    </border>
    <border>
      <left/>
      <right style="medium">
        <color indexed="64"/>
      </right>
      <top style="medium">
        <color indexed="64"/>
      </top>
      <bottom style="thin">
        <color indexed="22"/>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style="medium">
        <color indexed="64"/>
      </left>
      <right/>
      <top/>
      <bottom style="thin">
        <color indexed="22"/>
      </bottom>
      <diagonal/>
    </border>
    <border>
      <left/>
      <right/>
      <top/>
      <bottom style="thin">
        <color indexed="22"/>
      </bottom>
      <diagonal/>
    </border>
    <border>
      <left/>
      <right style="medium">
        <color indexed="64"/>
      </right>
      <top/>
      <bottom style="thin">
        <color indexed="22"/>
      </bottom>
      <diagonal/>
    </border>
    <border>
      <left style="hair">
        <color indexed="64"/>
      </left>
      <right style="hair">
        <color indexed="64"/>
      </right>
      <top/>
      <bottom style="thin">
        <color indexed="64"/>
      </bottom>
      <diagonal/>
    </border>
    <border>
      <left/>
      <right style="hair">
        <color indexed="64"/>
      </right>
      <top style="medium">
        <color indexed="64"/>
      </top>
      <bottom style="thin">
        <color indexed="64"/>
      </bottom>
      <diagonal/>
    </border>
    <border>
      <left style="thin">
        <color indexed="64"/>
      </left>
      <right style="hair">
        <color indexed="64"/>
      </right>
      <top style="medium">
        <color indexed="64"/>
      </top>
      <bottom style="thin">
        <color indexed="64"/>
      </bottom>
      <diagonal/>
    </border>
    <border>
      <left/>
      <right style="hair">
        <color indexed="64"/>
      </right>
      <top style="medium">
        <color indexed="64"/>
      </top>
      <bottom/>
      <diagonal/>
    </border>
    <border>
      <left/>
      <right style="hair">
        <color indexed="64"/>
      </right>
      <top/>
      <bottom style="thin">
        <color indexed="64"/>
      </bottom>
      <diagonal/>
    </border>
    <border>
      <left style="hair">
        <color indexed="64"/>
      </left>
      <right style="medium">
        <color indexed="64"/>
      </right>
      <top style="medium">
        <color indexed="64"/>
      </top>
      <bottom/>
      <diagonal/>
    </border>
    <border>
      <left style="hair">
        <color indexed="64"/>
      </left>
      <right style="medium">
        <color indexed="64"/>
      </right>
      <top/>
      <bottom style="medium">
        <color indexed="64"/>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
      <left style="medium">
        <color auto="1"/>
      </left>
      <right style="hair">
        <color auto="1"/>
      </right>
      <top style="medium">
        <color auto="1"/>
      </top>
      <bottom style="medium">
        <color auto="1"/>
      </bottom>
      <diagonal/>
    </border>
    <border>
      <left style="hair">
        <color auto="1"/>
      </left>
      <right/>
      <top style="medium">
        <color auto="1"/>
      </top>
      <bottom style="medium">
        <color auto="1"/>
      </bottom>
      <diagonal/>
    </border>
    <border>
      <left style="medium">
        <color auto="1"/>
      </left>
      <right style="hair">
        <color auto="1"/>
      </right>
      <top style="medium">
        <color auto="1"/>
      </top>
      <bottom style="hair">
        <color auto="1"/>
      </bottom>
      <diagonal/>
    </border>
    <border>
      <left style="hair">
        <color auto="1"/>
      </left>
      <right style="hair">
        <color auto="1"/>
      </right>
      <top style="medium">
        <color auto="1"/>
      </top>
      <bottom style="hair">
        <color auto="1"/>
      </bottom>
      <diagonal/>
    </border>
    <border>
      <left style="hair">
        <color auto="1"/>
      </left>
      <right/>
      <top style="medium">
        <color auto="1"/>
      </top>
      <bottom style="hair">
        <color auto="1"/>
      </bottom>
      <diagonal/>
    </border>
    <border>
      <left style="hair">
        <color auto="1"/>
      </left>
      <right style="medium">
        <color auto="1"/>
      </right>
      <top style="medium">
        <color auto="1"/>
      </top>
      <bottom style="hair">
        <color auto="1"/>
      </bottom>
      <diagonal/>
    </border>
    <border>
      <left style="medium">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top style="hair">
        <color auto="1"/>
      </top>
      <bottom style="medium">
        <color auto="1"/>
      </bottom>
      <diagonal/>
    </border>
    <border>
      <left style="hair">
        <color auto="1"/>
      </left>
      <right style="medium">
        <color auto="1"/>
      </right>
      <top style="hair">
        <color auto="1"/>
      </top>
      <bottom style="medium">
        <color auto="1"/>
      </bottom>
      <diagonal/>
    </border>
    <border>
      <left style="thin">
        <color indexed="64"/>
      </left>
      <right style="hair">
        <color indexed="64"/>
      </right>
      <top/>
      <bottom/>
      <diagonal/>
    </border>
    <border>
      <left style="thin">
        <color indexed="64"/>
      </left>
      <right style="thin">
        <color indexed="55"/>
      </right>
      <top style="thin">
        <color indexed="55"/>
      </top>
      <bottom/>
      <diagonal/>
    </border>
  </borders>
  <cellStyleXfs count="6">
    <xf numFmtId="0" fontId="0" fillId="0" borderId="0"/>
    <xf numFmtId="0" fontId="4" fillId="0" borderId="0"/>
    <xf numFmtId="0" fontId="2" fillId="0" borderId="0"/>
    <xf numFmtId="0" fontId="3" fillId="0" borderId="0"/>
    <xf numFmtId="0" fontId="2" fillId="0" borderId="0"/>
    <xf numFmtId="0" fontId="4" fillId="0" borderId="0"/>
  </cellStyleXfs>
  <cellXfs count="1596">
    <xf numFmtId="0" fontId="0" fillId="0" borderId="0" xfId="0"/>
    <xf numFmtId="0" fontId="4" fillId="0" borderId="0" xfId="1"/>
    <xf numFmtId="0" fontId="4" fillId="0" borderId="0" xfId="1" applyAlignment="1" applyProtection="1">
      <alignment vertical="center"/>
      <protection locked="0"/>
    </xf>
    <xf numFmtId="0" fontId="4" fillId="0" borderId="0" xfId="1" applyAlignment="1">
      <alignment vertical="center"/>
    </xf>
    <xf numFmtId="0" fontId="4" fillId="0" borderId="0" xfId="1" applyProtection="1">
      <protection locked="0"/>
    </xf>
    <xf numFmtId="0" fontId="5" fillId="0" borderId="0" xfId="1" applyFont="1" applyAlignment="1" applyProtection="1">
      <alignment vertical="center"/>
      <protection locked="0"/>
    </xf>
    <xf numFmtId="0" fontId="5" fillId="0" borderId="0" xfId="1" applyFont="1" applyAlignment="1">
      <alignment vertical="center"/>
    </xf>
    <xf numFmtId="0" fontId="5" fillId="0" borderId="0" xfId="1" applyFont="1" applyAlignment="1">
      <alignment horizontal="center" vertical="center"/>
    </xf>
    <xf numFmtId="0" fontId="5" fillId="0" borderId="0" xfId="1" applyFont="1" applyBorder="1" applyAlignment="1" applyProtection="1">
      <alignment vertical="center"/>
      <protection locked="0"/>
    </xf>
    <xf numFmtId="49" fontId="5" fillId="0" borderId="0" xfId="1" applyNumberFormat="1" applyFont="1" applyAlignment="1" applyProtection="1">
      <alignment vertical="center"/>
      <protection locked="0"/>
    </xf>
    <xf numFmtId="49" fontId="5" fillId="0" borderId="0" xfId="1" applyNumberFormat="1" applyFont="1" applyAlignment="1">
      <alignment vertical="center"/>
    </xf>
    <xf numFmtId="0" fontId="28" fillId="0" borderId="0" xfId="1" applyFont="1" applyAlignment="1" applyProtection="1">
      <alignment vertical="center"/>
      <protection locked="0"/>
    </xf>
    <xf numFmtId="0" fontId="29" fillId="0" borderId="0" xfId="1" applyFont="1" applyAlignment="1" applyProtection="1">
      <alignment vertical="center"/>
      <protection locked="0"/>
    </xf>
    <xf numFmtId="0" fontId="29" fillId="0" borderId="0" xfId="1" applyFont="1" applyAlignment="1" applyProtection="1">
      <alignment horizontal="right" vertical="center"/>
      <protection locked="0"/>
    </xf>
    <xf numFmtId="0" fontId="29" fillId="0" borderId="1" xfId="1" applyFont="1" applyBorder="1" applyAlignment="1" applyProtection="1">
      <alignment horizontal="center" vertical="center" wrapText="1"/>
      <protection locked="0"/>
    </xf>
    <xf numFmtId="49" fontId="29" fillId="0" borderId="0" xfId="1" applyNumberFormat="1" applyFont="1" applyAlignment="1" applyProtection="1">
      <alignment vertical="center"/>
      <protection locked="0"/>
    </xf>
    <xf numFmtId="0" fontId="29" fillId="0" borderId="0" xfId="1" applyFont="1" applyAlignment="1">
      <alignment vertical="center"/>
    </xf>
    <xf numFmtId="0" fontId="6" fillId="0" borderId="0" xfId="1" applyFont="1" applyAlignment="1" applyProtection="1">
      <alignment vertical="center"/>
      <protection locked="0"/>
    </xf>
    <xf numFmtId="0" fontId="6" fillId="0" borderId="0" xfId="1" applyFont="1" applyAlignment="1">
      <alignment vertical="center"/>
    </xf>
    <xf numFmtId="0" fontId="6" fillId="0" borderId="0" xfId="1" applyFont="1" applyAlignment="1">
      <alignment horizontal="center" vertical="center"/>
    </xf>
    <xf numFmtId="49" fontId="6" fillId="0" borderId="0" xfId="1" applyNumberFormat="1" applyFont="1" applyAlignment="1" applyProtection="1">
      <alignment vertical="center"/>
      <protection locked="0"/>
    </xf>
    <xf numFmtId="49" fontId="6" fillId="0" borderId="0" xfId="1" applyNumberFormat="1" applyFont="1" applyAlignment="1">
      <alignment vertical="center"/>
    </xf>
    <xf numFmtId="0" fontId="7" fillId="0" borderId="0" xfId="1" applyFont="1" applyAlignment="1" applyProtection="1">
      <alignment vertical="center"/>
      <protection locked="0"/>
    </xf>
    <xf numFmtId="0" fontId="6" fillId="0" borderId="0" xfId="1" applyFont="1" applyAlignment="1" applyProtection="1">
      <alignment horizontal="right" vertical="center"/>
      <protection locked="0"/>
    </xf>
    <xf numFmtId="0" fontId="9" fillId="0" borderId="0" xfId="1" applyFont="1" applyAlignment="1" applyProtection="1">
      <alignment vertical="center"/>
      <protection locked="0"/>
    </xf>
    <xf numFmtId="0" fontId="31" fillId="0" borderId="0" xfId="1" applyFont="1" applyAlignment="1" applyProtection="1">
      <alignment vertical="center"/>
      <protection locked="0"/>
    </xf>
    <xf numFmtId="0" fontId="31" fillId="0" borderId="0" xfId="1" applyFont="1" applyAlignment="1">
      <alignment vertical="center"/>
    </xf>
    <xf numFmtId="0" fontId="29" fillId="0" borderId="0" xfId="1" applyFont="1" applyAlignment="1" applyProtection="1">
      <alignment horizontal="center" vertical="center"/>
      <protection locked="0"/>
    </xf>
    <xf numFmtId="0" fontId="29" fillId="0" borderId="0" xfId="1" applyFont="1" applyAlignment="1">
      <alignment horizontal="center" vertical="center"/>
    </xf>
    <xf numFmtId="0" fontId="29" fillId="0" borderId="0" xfId="1" applyFont="1" applyBorder="1" applyAlignment="1">
      <alignment vertical="center" wrapText="1"/>
    </xf>
    <xf numFmtId="0" fontId="29" fillId="0" borderId="0" xfId="1" applyFont="1" applyBorder="1" applyAlignment="1" applyProtection="1">
      <alignment vertical="center"/>
      <protection locked="0"/>
    </xf>
    <xf numFmtId="0" fontId="29" fillId="0" borderId="0" xfId="2" applyFont="1" applyBorder="1" applyAlignment="1">
      <alignment vertical="center"/>
    </xf>
    <xf numFmtId="49" fontId="29" fillId="0" borderId="0" xfId="2" applyNumberFormat="1" applyFont="1" applyBorder="1" applyAlignment="1">
      <alignment vertical="center"/>
    </xf>
    <xf numFmtId="0" fontId="30" fillId="0" borderId="2" xfId="2" applyFont="1" applyBorder="1" applyAlignment="1">
      <alignment vertical="center"/>
    </xf>
    <xf numFmtId="49" fontId="32" fillId="0" borderId="3" xfId="2" applyNumberFormat="1" applyFont="1" applyBorder="1" applyAlignment="1">
      <alignment horizontal="center" vertical="center" wrapText="1"/>
    </xf>
    <xf numFmtId="49" fontId="32" fillId="0" borderId="4" xfId="2" applyNumberFormat="1" applyFont="1" applyBorder="1" applyAlignment="1">
      <alignment horizontal="center" vertical="center" wrapText="1"/>
    </xf>
    <xf numFmtId="0" fontId="30" fillId="0" borderId="5" xfId="2" applyFont="1" applyBorder="1" applyAlignment="1">
      <alignment vertical="center" wrapText="1"/>
    </xf>
    <xf numFmtId="49" fontId="29" fillId="0" borderId="6" xfId="2" applyNumberFormat="1" applyFont="1" applyBorder="1" applyAlignment="1">
      <alignment horizontal="center" vertical="center" wrapText="1"/>
    </xf>
    <xf numFmtId="49" fontId="29" fillId="0" borderId="7" xfId="2" applyNumberFormat="1" applyFont="1" applyBorder="1" applyAlignment="1">
      <alignment horizontal="center" vertical="center" wrapText="1"/>
    </xf>
    <xf numFmtId="0" fontId="29" fillId="0" borderId="8" xfId="2" applyFont="1" applyBorder="1" applyAlignment="1">
      <alignment vertical="center" wrapText="1"/>
    </xf>
    <xf numFmtId="49" fontId="29" fillId="0" borderId="9" xfId="2" applyNumberFormat="1" applyFont="1" applyBorder="1" applyAlignment="1">
      <alignment horizontal="center" vertical="center" wrapText="1"/>
    </xf>
    <xf numFmtId="49" fontId="29" fillId="0" borderId="10" xfId="2" applyNumberFormat="1" applyFont="1" applyBorder="1" applyAlignment="1">
      <alignment horizontal="center" vertical="center" wrapText="1"/>
    </xf>
    <xf numFmtId="0" fontId="29" fillId="0" borderId="8" xfId="2" applyFont="1" applyBorder="1" applyAlignment="1">
      <alignment horizontal="left" vertical="center" wrapText="1"/>
    </xf>
    <xf numFmtId="0" fontId="29" fillId="0" borderId="11" xfId="2" applyFont="1" applyBorder="1" applyAlignment="1">
      <alignment vertical="center" wrapText="1"/>
    </xf>
    <xf numFmtId="49" fontId="29" fillId="0" borderId="12" xfId="2" applyNumberFormat="1" applyFont="1" applyBorder="1" applyAlignment="1">
      <alignment horizontal="center" vertical="center" wrapText="1"/>
    </xf>
    <xf numFmtId="49" fontId="29" fillId="0" borderId="13" xfId="2" applyNumberFormat="1" applyFont="1" applyBorder="1" applyAlignment="1">
      <alignment horizontal="center" vertical="center" wrapText="1"/>
    </xf>
    <xf numFmtId="0" fontId="29" fillId="0" borderId="14" xfId="2" applyFont="1" applyBorder="1" applyAlignment="1">
      <alignment horizontal="left" vertical="center" wrapText="1"/>
    </xf>
    <xf numFmtId="49" fontId="29" fillId="0" borderId="15" xfId="2" applyNumberFormat="1" applyFont="1" applyBorder="1" applyAlignment="1">
      <alignment horizontal="center" vertical="center" wrapText="1"/>
    </xf>
    <xf numFmtId="49" fontId="29" fillId="0" borderId="16" xfId="2" applyNumberFormat="1" applyFont="1" applyBorder="1" applyAlignment="1">
      <alignment horizontal="center" vertical="center" wrapText="1"/>
    </xf>
    <xf numFmtId="0" fontId="30" fillId="0" borderId="17" xfId="2" applyFont="1" applyBorder="1" applyAlignment="1">
      <alignment vertical="center" wrapText="1"/>
    </xf>
    <xf numFmtId="0" fontId="29" fillId="0" borderId="5" xfId="2" applyFont="1" applyBorder="1" applyAlignment="1">
      <alignment vertical="center" wrapText="1"/>
    </xf>
    <xf numFmtId="49" fontId="33" fillId="0" borderId="9" xfId="2" applyNumberFormat="1" applyFont="1" applyBorder="1" applyAlignment="1">
      <alignment horizontal="center" vertical="center"/>
    </xf>
    <xf numFmtId="49" fontId="29" fillId="0" borderId="18" xfId="2" applyNumberFormat="1" applyFont="1" applyBorder="1" applyAlignment="1">
      <alignment horizontal="center" vertical="center" wrapText="1"/>
    </xf>
    <xf numFmtId="0" fontId="29" fillId="0" borderId="0" xfId="2" applyFont="1" applyBorder="1" applyAlignment="1">
      <alignment vertical="center" wrapText="1"/>
    </xf>
    <xf numFmtId="49" fontId="29" fillId="0" borderId="0" xfId="2" applyNumberFormat="1" applyFont="1" applyBorder="1" applyAlignment="1">
      <alignment horizontal="center" vertical="center" wrapText="1"/>
    </xf>
    <xf numFmtId="0" fontId="31" fillId="0" borderId="0" xfId="2" applyFont="1" applyBorder="1" applyAlignment="1">
      <alignment vertical="center"/>
    </xf>
    <xf numFmtId="49" fontId="29" fillId="0" borderId="0" xfId="2" applyNumberFormat="1" applyFont="1" applyBorder="1" applyAlignment="1">
      <alignment vertical="center" wrapText="1"/>
    </xf>
    <xf numFmtId="0" fontId="30" fillId="0" borderId="2" xfId="2" applyFont="1" applyFill="1" applyBorder="1" applyAlignment="1">
      <alignment horizontal="left" vertical="center"/>
    </xf>
    <xf numFmtId="49" fontId="30" fillId="0" borderId="3" xfId="2" applyNumberFormat="1" applyFont="1" applyFill="1" applyBorder="1" applyAlignment="1">
      <alignment horizontal="center" vertical="center" wrapText="1"/>
    </xf>
    <xf numFmtId="49" fontId="30" fillId="0" borderId="4" xfId="2" applyNumberFormat="1" applyFont="1" applyFill="1" applyBorder="1" applyAlignment="1">
      <alignment horizontal="center" vertical="center" wrapText="1"/>
    </xf>
    <xf numFmtId="0" fontId="29" fillId="0" borderId="0" xfId="1" applyFont="1"/>
    <xf numFmtId="0" fontId="30" fillId="0" borderId="0" xfId="1" applyFont="1"/>
    <xf numFmtId="0" fontId="29" fillId="0" borderId="0" xfId="1" applyFont="1" applyProtection="1">
      <protection locked="0"/>
    </xf>
    <xf numFmtId="0" fontId="30" fillId="0" borderId="17" xfId="1" applyFont="1" applyBorder="1" applyAlignment="1" applyProtection="1">
      <alignment horizontal="center" vertical="center" wrapText="1"/>
      <protection locked="0"/>
    </xf>
    <xf numFmtId="0" fontId="30" fillId="0" borderId="3" xfId="1" applyFont="1" applyBorder="1" applyAlignment="1" applyProtection="1">
      <alignment horizontal="center" vertical="center" wrapText="1"/>
      <protection locked="0"/>
    </xf>
    <xf numFmtId="0" fontId="30" fillId="0" borderId="4" xfId="1" applyFont="1" applyBorder="1" applyAlignment="1" applyProtection="1">
      <alignment horizontal="center" vertical="center" wrapText="1"/>
      <protection locked="0"/>
    </xf>
    <xf numFmtId="0" fontId="30" fillId="0" borderId="19" xfId="1" applyFont="1" applyBorder="1" applyAlignment="1" applyProtection="1">
      <alignment horizontal="center" vertical="center" wrapText="1"/>
      <protection locked="0"/>
    </xf>
    <xf numFmtId="0" fontId="29" fillId="0" borderId="20" xfId="1" applyFont="1" applyBorder="1" applyAlignment="1" applyProtection="1">
      <alignment vertical="center" wrapText="1"/>
      <protection locked="0"/>
    </xf>
    <xf numFmtId="0" fontId="29" fillId="0" borderId="8" xfId="1" applyFont="1" applyBorder="1" applyAlignment="1" applyProtection="1">
      <alignment horizontal="left" vertical="center" wrapText="1"/>
      <protection locked="0"/>
    </xf>
    <xf numFmtId="0" fontId="34" fillId="0" borderId="0" xfId="1" applyFont="1" applyAlignment="1" applyProtection="1">
      <alignment vertical="center"/>
      <protection locked="0"/>
    </xf>
    <xf numFmtId="0" fontId="35" fillId="0" borderId="0" xfId="1" applyFont="1" applyAlignment="1" applyProtection="1">
      <alignment vertical="center"/>
      <protection locked="0"/>
    </xf>
    <xf numFmtId="0" fontId="30" fillId="0" borderId="0" xfId="1" applyFont="1" applyAlignment="1" applyProtection="1">
      <alignment horizontal="justify" vertical="center"/>
      <protection locked="0"/>
    </xf>
    <xf numFmtId="0" fontId="30" fillId="0" borderId="0" xfId="1" applyFont="1" applyAlignment="1">
      <alignment vertical="center"/>
    </xf>
    <xf numFmtId="0" fontId="29" fillId="0" borderId="0" xfId="1" applyFont="1" applyFill="1" applyAlignment="1" applyProtection="1">
      <alignment vertical="center"/>
      <protection locked="0"/>
    </xf>
    <xf numFmtId="0" fontId="28" fillId="0" borderId="0" xfId="1" applyFont="1" applyFill="1" applyAlignment="1" applyProtection="1">
      <alignment vertical="center"/>
      <protection locked="0"/>
    </xf>
    <xf numFmtId="0" fontId="36" fillId="0" borderId="0" xfId="1" applyFont="1" applyAlignment="1" applyProtection="1">
      <alignment horizontal="right" vertical="center"/>
      <protection locked="0"/>
    </xf>
    <xf numFmtId="3" fontId="29" fillId="0" borderId="10" xfId="1" applyNumberFormat="1" applyFont="1" applyFill="1" applyBorder="1" applyAlignment="1" applyProtection="1">
      <alignment horizontal="right" vertical="center" wrapText="1"/>
      <protection locked="0"/>
    </xf>
    <xf numFmtId="3" fontId="29" fillId="0" borderId="22" xfId="1" applyNumberFormat="1" applyFont="1" applyBorder="1" applyAlignment="1" applyProtection="1">
      <alignment horizontal="right" vertical="center" wrapText="1"/>
      <protection hidden="1"/>
    </xf>
    <xf numFmtId="0" fontId="29" fillId="0" borderId="0" xfId="1" applyFont="1" applyBorder="1" applyProtection="1">
      <protection locked="0"/>
    </xf>
    <xf numFmtId="0" fontId="29" fillId="0" borderId="0" xfId="1" applyFont="1" applyBorder="1" applyAlignment="1" applyProtection="1">
      <alignment horizontal="justify" vertical="center" wrapText="1"/>
      <protection locked="0"/>
    </xf>
    <xf numFmtId="0" fontId="28" fillId="0" borderId="0" xfId="1" applyFont="1" applyProtection="1">
      <protection locked="0"/>
    </xf>
    <xf numFmtId="0" fontId="29" fillId="0" borderId="0" xfId="1" applyFont="1" applyFill="1" applyAlignment="1" applyProtection="1">
      <alignment horizontal="left" vertical="center"/>
      <protection locked="0"/>
    </xf>
    <xf numFmtId="0" fontId="29" fillId="0" borderId="0" xfId="1" applyFont="1" applyBorder="1" applyAlignment="1" applyProtection="1">
      <alignment horizontal="left" vertical="center"/>
      <protection locked="0"/>
    </xf>
    <xf numFmtId="0" fontId="29" fillId="0" borderId="0" xfId="1" applyFont="1" applyAlignment="1">
      <alignment horizontal="left" vertical="center"/>
    </xf>
    <xf numFmtId="4" fontId="29" fillId="0" borderId="0" xfId="1" applyNumberFormat="1" applyFont="1" applyAlignment="1" applyProtection="1">
      <alignment vertical="center"/>
      <protection locked="0"/>
    </xf>
    <xf numFmtId="4" fontId="29" fillId="0" borderId="0" xfId="1" applyNumberFormat="1" applyFont="1" applyAlignment="1">
      <alignment vertical="center"/>
    </xf>
    <xf numFmtId="4" fontId="29" fillId="0" borderId="0" xfId="1" applyNumberFormat="1" applyFont="1" applyAlignment="1" applyProtection="1">
      <alignment horizontal="right" vertical="center"/>
      <protection locked="0"/>
    </xf>
    <xf numFmtId="0" fontId="28" fillId="0" borderId="0" xfId="1" applyFont="1" applyAlignment="1" applyProtection="1">
      <protection locked="0"/>
    </xf>
    <xf numFmtId="4" fontId="29" fillId="0" borderId="0" xfId="1" applyNumberFormat="1" applyFont="1" applyProtection="1">
      <protection locked="0"/>
    </xf>
    <xf numFmtId="4" fontId="29" fillId="0" borderId="0" xfId="1" applyNumberFormat="1" applyFont="1" applyAlignment="1" applyProtection="1">
      <alignment horizontal="right"/>
      <protection locked="0"/>
    </xf>
    <xf numFmtId="4" fontId="29" fillId="0" borderId="0" xfId="1" applyNumberFormat="1" applyFont="1"/>
    <xf numFmtId="4" fontId="37" fillId="0" borderId="0" xfId="1" applyNumberFormat="1" applyFont="1" applyBorder="1" applyAlignment="1" applyProtection="1">
      <alignment horizontal="right" vertical="top" wrapText="1"/>
      <protection locked="0"/>
    </xf>
    <xf numFmtId="0" fontId="37" fillId="0" borderId="0" xfId="1" applyFont="1" applyAlignment="1">
      <alignment horizontal="right" vertical="top" wrapText="1"/>
    </xf>
    <xf numFmtId="0" fontId="37" fillId="0" borderId="0" xfId="1" applyFont="1" applyBorder="1" applyAlignment="1">
      <alignment horizontal="right" vertical="top" wrapText="1"/>
    </xf>
    <xf numFmtId="0" fontId="37" fillId="0" borderId="0" xfId="1" applyFont="1" applyBorder="1" applyAlignment="1">
      <alignment vertical="top" wrapText="1"/>
    </xf>
    <xf numFmtId="0" fontId="38" fillId="0" borderId="24" xfId="1" applyFont="1" applyBorder="1" applyAlignment="1" applyProtection="1">
      <alignment horizontal="left" vertical="center" wrapText="1"/>
      <protection locked="0"/>
    </xf>
    <xf numFmtId="0" fontId="37" fillId="0" borderId="0" xfId="1" applyFont="1" applyAlignment="1">
      <alignment vertical="top" wrapText="1"/>
    </xf>
    <xf numFmtId="0" fontId="29" fillId="0" borderId="0" xfId="1" applyFont="1" applyFill="1" applyBorder="1" applyProtection="1">
      <protection locked="0"/>
    </xf>
    <xf numFmtId="4" fontId="29" fillId="0" borderId="0" xfId="1" applyNumberFormat="1" applyFont="1" applyFill="1" applyBorder="1" applyProtection="1">
      <protection locked="0"/>
    </xf>
    <xf numFmtId="0" fontId="29" fillId="0" borderId="0" xfId="1" applyFont="1" applyFill="1" applyBorder="1"/>
    <xf numFmtId="0" fontId="35" fillId="0" borderId="0" xfId="1" applyFont="1" applyFill="1" applyBorder="1" applyAlignment="1">
      <alignment vertical="top" wrapText="1"/>
    </xf>
    <xf numFmtId="0" fontId="35" fillId="0" borderId="0" xfId="1" applyFont="1" applyFill="1" applyBorder="1" applyAlignment="1">
      <alignment horizontal="center" vertical="top" wrapText="1"/>
    </xf>
    <xf numFmtId="0" fontId="35" fillId="0" borderId="0" xfId="1" applyFont="1" applyFill="1" applyBorder="1" applyAlignment="1">
      <alignment horizontal="justify" vertical="top" wrapText="1"/>
    </xf>
    <xf numFmtId="4" fontId="29" fillId="0" borderId="0" xfId="1" applyNumberFormat="1" applyFont="1" applyFill="1" applyBorder="1"/>
    <xf numFmtId="4" fontId="37" fillId="0" borderId="0" xfId="1" applyNumberFormat="1" applyFont="1" applyBorder="1" applyAlignment="1" applyProtection="1">
      <alignment horizontal="right" vertical="center" wrapText="1"/>
      <protection locked="0"/>
    </xf>
    <xf numFmtId="0" fontId="29" fillId="0" borderId="3" xfId="1" applyFont="1" applyBorder="1" applyAlignment="1" applyProtection="1">
      <alignment horizontal="center" vertical="center"/>
      <protection locked="0"/>
    </xf>
    <xf numFmtId="0" fontId="29" fillId="0" borderId="25" xfId="1" applyFont="1" applyBorder="1" applyAlignment="1" applyProtection="1">
      <alignment horizontal="center" vertical="center"/>
      <protection locked="0"/>
    </xf>
    <xf numFmtId="4" fontId="29" fillId="0" borderId="4" xfId="1" applyNumberFormat="1" applyFont="1" applyBorder="1" applyAlignment="1" applyProtection="1">
      <alignment horizontal="center" vertical="center"/>
      <protection locked="0"/>
    </xf>
    <xf numFmtId="4" fontId="29" fillId="0" borderId="19" xfId="1" applyNumberFormat="1" applyFont="1" applyBorder="1" applyAlignment="1" applyProtection="1">
      <alignment horizontal="center" vertical="center"/>
      <protection locked="0"/>
    </xf>
    <xf numFmtId="0" fontId="37" fillId="0" borderId="0" xfId="1" applyFont="1" applyBorder="1" applyAlignment="1" applyProtection="1">
      <alignment vertical="center" wrapText="1"/>
      <protection locked="0"/>
    </xf>
    <xf numFmtId="0" fontId="37" fillId="0" borderId="0" xfId="1" applyFont="1" applyBorder="1" applyAlignment="1" applyProtection="1">
      <alignment horizontal="right" vertical="center" wrapText="1"/>
      <protection locked="0"/>
    </xf>
    <xf numFmtId="0" fontId="29" fillId="0" borderId="0" xfId="1" applyFont="1" applyFill="1" applyBorder="1" applyAlignment="1" applyProtection="1">
      <alignment vertical="center"/>
      <protection locked="0"/>
    </xf>
    <xf numFmtId="0" fontId="39" fillId="0" borderId="0" xfId="1" applyFont="1" applyAlignment="1">
      <alignment vertical="center"/>
    </xf>
    <xf numFmtId="4" fontId="40" fillId="0" borderId="0" xfId="1" applyNumberFormat="1" applyFont="1" applyAlignment="1">
      <alignment vertical="center"/>
    </xf>
    <xf numFmtId="0" fontId="29" fillId="0" borderId="0" xfId="1" applyFont="1" applyProtection="1"/>
    <xf numFmtId="4" fontId="29" fillId="0" borderId="0" xfId="1" applyNumberFormat="1" applyFont="1" applyProtection="1"/>
    <xf numFmtId="0" fontId="28" fillId="0" borderId="0" xfId="1" applyFont="1" applyProtection="1"/>
    <xf numFmtId="4" fontId="37" fillId="0" borderId="0" xfId="1" applyNumberFormat="1" applyFont="1" applyBorder="1" applyAlignment="1" applyProtection="1">
      <alignment horizontal="right" vertical="top" wrapText="1"/>
    </xf>
    <xf numFmtId="0" fontId="37" fillId="0" borderId="0" xfId="1" applyFont="1" applyBorder="1" applyAlignment="1" applyProtection="1">
      <alignment vertical="top" wrapText="1"/>
    </xf>
    <xf numFmtId="0" fontId="37" fillId="0" borderId="0" xfId="1" applyFont="1" applyBorder="1" applyAlignment="1" applyProtection="1">
      <alignment horizontal="right" vertical="top" wrapText="1"/>
    </xf>
    <xf numFmtId="0" fontId="29" fillId="0" borderId="0" xfId="1" applyFont="1" applyFill="1" applyBorder="1" applyProtection="1"/>
    <xf numFmtId="0" fontId="35" fillId="0" borderId="0" xfId="1" applyFont="1" applyFill="1" applyBorder="1" applyAlignment="1" applyProtection="1">
      <alignment vertical="top" wrapText="1"/>
    </xf>
    <xf numFmtId="0" fontId="35" fillId="0" borderId="0" xfId="1" applyFont="1" applyFill="1" applyBorder="1" applyAlignment="1" applyProtection="1">
      <alignment horizontal="center" vertical="top" wrapText="1"/>
    </xf>
    <xf numFmtId="0" fontId="35" fillId="0" borderId="0" xfId="1" applyFont="1" applyFill="1" applyBorder="1" applyAlignment="1" applyProtection="1">
      <alignment horizontal="justify" vertical="top" wrapText="1"/>
    </xf>
    <xf numFmtId="4" fontId="29" fillId="0" borderId="0" xfId="1" applyNumberFormat="1" applyFont="1" applyFill="1" applyBorder="1" applyProtection="1"/>
    <xf numFmtId="0" fontId="39" fillId="0" borderId="0" xfId="1" applyFont="1" applyFill="1" applyBorder="1" applyProtection="1"/>
    <xf numFmtId="0" fontId="40" fillId="0" borderId="0" xfId="1" applyFont="1" applyFill="1" applyBorder="1" applyProtection="1"/>
    <xf numFmtId="0" fontId="28" fillId="0" borderId="0" xfId="1" applyFont="1"/>
    <xf numFmtId="4" fontId="37" fillId="0" borderId="0" xfId="1" applyNumberFormat="1" applyFont="1" applyBorder="1" applyAlignment="1">
      <alignment horizontal="right" vertical="top" wrapText="1"/>
    </xf>
    <xf numFmtId="0" fontId="0" fillId="0" borderId="0" xfId="0"/>
    <xf numFmtId="0" fontId="39" fillId="0" borderId="0" xfId="2" applyFont="1" applyBorder="1" applyAlignment="1">
      <alignment vertical="center"/>
    </xf>
    <xf numFmtId="0" fontId="39" fillId="0" borderId="0" xfId="1" applyFont="1" applyAlignment="1" applyProtection="1">
      <alignment vertical="center"/>
      <protection locked="0"/>
    </xf>
    <xf numFmtId="49" fontId="30" fillId="0" borderId="0" xfId="2" applyNumberFormat="1" applyFont="1" applyBorder="1" applyAlignment="1">
      <alignment horizontal="center" vertical="center" wrapText="1"/>
    </xf>
    <xf numFmtId="0" fontId="30" fillId="0" borderId="0" xfId="2" applyFont="1" applyBorder="1" applyAlignment="1">
      <alignment vertical="center"/>
    </xf>
    <xf numFmtId="0" fontId="29" fillId="0" borderId="0" xfId="2" applyFont="1" applyBorder="1" applyAlignment="1">
      <alignment horizontal="center" vertical="center"/>
    </xf>
    <xf numFmtId="49" fontId="39" fillId="0" borderId="0" xfId="2" applyNumberFormat="1" applyFont="1" applyBorder="1" applyAlignment="1">
      <alignment horizontal="left" vertical="center"/>
    </xf>
    <xf numFmtId="0" fontId="29" fillId="0" borderId="6" xfId="2" applyFont="1" applyBorder="1" applyAlignment="1">
      <alignment horizontal="center" vertical="center"/>
    </xf>
    <xf numFmtId="49" fontId="29" fillId="0" borderId="7" xfId="2" applyNumberFormat="1" applyFont="1" applyBorder="1" applyAlignment="1">
      <alignment horizontal="center" vertical="center"/>
    </xf>
    <xf numFmtId="49" fontId="29" fillId="0" borderId="0" xfId="2" applyNumberFormat="1" applyFont="1" applyBorder="1" applyAlignment="1">
      <alignment horizontal="center" vertical="center"/>
    </xf>
    <xf numFmtId="0" fontId="29" fillId="0" borderId="9" xfId="2" applyFont="1" applyBorder="1" applyAlignment="1">
      <alignment horizontal="center" vertical="center"/>
    </xf>
    <xf numFmtId="49" fontId="29" fillId="0" borderId="10" xfId="2" applyNumberFormat="1" applyFont="1" applyBorder="1" applyAlignment="1">
      <alignment horizontal="center" vertical="center"/>
    </xf>
    <xf numFmtId="0" fontId="29" fillId="0" borderId="18" xfId="2" applyFont="1" applyBorder="1" applyAlignment="1">
      <alignment horizontal="center" vertical="center" wrapText="1"/>
    </xf>
    <xf numFmtId="49" fontId="29" fillId="0" borderId="13" xfId="2" applyNumberFormat="1" applyFont="1" applyBorder="1" applyAlignment="1">
      <alignment horizontal="center" vertical="center"/>
    </xf>
    <xf numFmtId="0" fontId="29" fillId="0" borderId="33" xfId="2" applyFont="1" applyBorder="1" applyAlignment="1">
      <alignment horizontal="center" vertical="center"/>
    </xf>
    <xf numFmtId="0" fontId="29" fillId="0" borderId="30" xfId="2" applyFont="1" applyBorder="1" applyAlignment="1">
      <alignment horizontal="center" vertical="center"/>
    </xf>
    <xf numFmtId="0" fontId="29" fillId="0" borderId="30" xfId="2" applyFont="1" applyBorder="1" applyAlignment="1">
      <alignment horizontal="center" vertical="center" wrapText="1"/>
    </xf>
    <xf numFmtId="0" fontId="30" fillId="0" borderId="8" xfId="2" applyFont="1" applyBorder="1" applyAlignment="1">
      <alignment vertical="center" wrapText="1"/>
    </xf>
    <xf numFmtId="0" fontId="30" fillId="0" borderId="0" xfId="2" applyFont="1" applyBorder="1" applyAlignment="1">
      <alignment vertical="center" wrapText="1"/>
    </xf>
    <xf numFmtId="0" fontId="29" fillId="0" borderId="0" xfId="1" applyFont="1" applyFill="1" applyBorder="1" applyAlignment="1">
      <alignment vertical="center"/>
    </xf>
    <xf numFmtId="0" fontId="0" fillId="0" borderId="0" xfId="0" applyAlignment="1">
      <alignment vertical="center"/>
    </xf>
    <xf numFmtId="0" fontId="42" fillId="0" borderId="0" xfId="1" applyFont="1" applyAlignment="1" applyProtection="1">
      <alignment vertical="center"/>
      <protection locked="0"/>
    </xf>
    <xf numFmtId="0" fontId="26" fillId="0" borderId="0" xfId="0" applyFont="1" applyAlignment="1">
      <alignment vertical="center"/>
    </xf>
    <xf numFmtId="0" fontId="41" fillId="0" borderId="0" xfId="0" applyFont="1" applyAlignment="1">
      <alignment vertical="center"/>
    </xf>
    <xf numFmtId="0" fontId="43" fillId="0" borderId="0" xfId="0" applyFont="1" applyAlignment="1">
      <alignment vertical="center"/>
    </xf>
    <xf numFmtId="0" fontId="44" fillId="0" borderId="0" xfId="0" applyFont="1" applyAlignment="1">
      <alignment vertical="center"/>
    </xf>
    <xf numFmtId="0" fontId="44" fillId="0" borderId="0" xfId="0" applyFont="1" applyFill="1" applyAlignment="1">
      <alignment vertical="center"/>
    </xf>
    <xf numFmtId="0" fontId="29" fillId="0" borderId="0" xfId="1" applyFont="1" applyBorder="1" applyAlignment="1" applyProtection="1">
      <alignment horizontal="center" vertical="center"/>
      <protection locked="0"/>
    </xf>
    <xf numFmtId="4" fontId="29" fillId="0" borderId="0" xfId="1" applyNumberFormat="1" applyFont="1" applyAlignment="1" applyProtection="1">
      <alignment horizontal="center" vertical="center"/>
      <protection locked="0"/>
    </xf>
    <xf numFmtId="0" fontId="35" fillId="0" borderId="0" xfId="1" applyFont="1" applyFill="1" applyBorder="1" applyAlignment="1" applyProtection="1">
      <alignment horizontal="center" vertical="center" wrapText="1"/>
      <protection locked="0"/>
    </xf>
    <xf numFmtId="4" fontId="29" fillId="0" borderId="0" xfId="1" applyNumberFormat="1" applyFont="1" applyFill="1" applyBorder="1" applyAlignment="1">
      <alignment vertical="center"/>
    </xf>
    <xf numFmtId="0" fontId="29" fillId="0" borderId="5" xfId="1" applyFont="1" applyBorder="1" applyAlignment="1" applyProtection="1">
      <alignment horizontal="center" vertical="center"/>
      <protection locked="0"/>
    </xf>
    <xf numFmtId="0" fontId="6" fillId="0" borderId="0" xfId="2" applyFont="1" applyFill="1" applyBorder="1" applyAlignment="1">
      <alignment vertical="center"/>
    </xf>
    <xf numFmtId="0" fontId="30" fillId="0" borderId="14" xfId="2" applyFont="1" applyBorder="1" applyAlignment="1">
      <alignment vertical="center" wrapText="1"/>
    </xf>
    <xf numFmtId="0" fontId="6" fillId="0" borderId="0" xfId="2" applyFont="1" applyBorder="1" applyAlignment="1">
      <alignment vertical="center"/>
    </xf>
    <xf numFmtId="3" fontId="29" fillId="0" borderId="7" xfId="1" applyNumberFormat="1" applyFont="1" applyBorder="1" applyAlignment="1" applyProtection="1">
      <alignment vertical="center"/>
      <protection locked="0"/>
    </xf>
    <xf numFmtId="3" fontId="29" fillId="0" borderId="21" xfId="1" applyNumberFormat="1" applyFont="1" applyBorder="1" applyAlignment="1" applyProtection="1">
      <alignment vertical="center"/>
      <protection locked="0"/>
    </xf>
    <xf numFmtId="3" fontId="29" fillId="0" borderId="10" xfId="1" applyNumberFormat="1" applyFont="1" applyBorder="1" applyAlignment="1" applyProtection="1">
      <alignment vertical="center"/>
      <protection locked="0"/>
    </xf>
    <xf numFmtId="3" fontId="29" fillId="0" borderId="22" xfId="1" applyNumberFormat="1" applyFont="1" applyBorder="1" applyAlignment="1" applyProtection="1">
      <alignment vertical="center"/>
      <protection locked="0"/>
    </xf>
    <xf numFmtId="3" fontId="29" fillId="0" borderId="29" xfId="1" applyNumberFormat="1" applyFont="1" applyBorder="1" applyAlignment="1" applyProtection="1">
      <alignment vertical="center"/>
      <protection locked="0"/>
    </xf>
    <xf numFmtId="3" fontId="29" fillId="0" borderId="35" xfId="1" applyNumberFormat="1" applyFont="1" applyBorder="1" applyAlignment="1" applyProtection="1">
      <alignment vertical="center"/>
      <protection locked="0"/>
    </xf>
    <xf numFmtId="3" fontId="30" fillId="0" borderId="4" xfId="2" applyNumberFormat="1" applyFont="1" applyBorder="1" applyAlignment="1">
      <alignment horizontal="center" vertical="center" wrapText="1"/>
    </xf>
    <xf numFmtId="3" fontId="30" fillId="0" borderId="19" xfId="2" applyNumberFormat="1" applyFont="1" applyBorder="1" applyAlignment="1">
      <alignment horizontal="center" vertical="center" wrapText="1"/>
    </xf>
    <xf numFmtId="3" fontId="30" fillId="0" borderId="16" xfId="2" applyNumberFormat="1" applyFont="1" applyBorder="1" applyAlignment="1">
      <alignment horizontal="center" vertical="center" wrapText="1"/>
    </xf>
    <xf numFmtId="3" fontId="30" fillId="0" borderId="40" xfId="2" applyNumberFormat="1" applyFont="1" applyBorder="1" applyAlignment="1">
      <alignment horizontal="center" vertical="center" wrapText="1"/>
    </xf>
    <xf numFmtId="3" fontId="45" fillId="0" borderId="7" xfId="2" applyNumberFormat="1" applyFont="1" applyBorder="1" applyAlignment="1">
      <alignment horizontal="center" vertical="center" wrapText="1"/>
    </xf>
    <xf numFmtId="3" fontId="45" fillId="0" borderId="21" xfId="2" applyNumberFormat="1" applyFont="1" applyBorder="1" applyAlignment="1">
      <alignment horizontal="center" vertical="center" wrapText="1"/>
    </xf>
    <xf numFmtId="3" fontId="45" fillId="0" borderId="10" xfId="2" applyNumberFormat="1" applyFont="1" applyBorder="1" applyAlignment="1">
      <alignment horizontal="center" vertical="center" wrapText="1"/>
    </xf>
    <xf numFmtId="3" fontId="45" fillId="0" borderId="22" xfId="2" applyNumberFormat="1" applyFont="1" applyBorder="1" applyAlignment="1">
      <alignment horizontal="center" vertical="center" wrapText="1"/>
    </xf>
    <xf numFmtId="3" fontId="29" fillId="0" borderId="10" xfId="2" applyNumberFormat="1" applyFont="1" applyBorder="1" applyAlignment="1">
      <alignment horizontal="center" vertical="center" wrapText="1"/>
    </xf>
    <xf numFmtId="3" fontId="29" fillId="0" borderId="22" xfId="2" applyNumberFormat="1" applyFont="1" applyBorder="1" applyAlignment="1">
      <alignment horizontal="center" vertical="center" wrapText="1"/>
    </xf>
    <xf numFmtId="3" fontId="29" fillId="0" borderId="13" xfId="2" applyNumberFormat="1" applyFont="1" applyBorder="1" applyAlignment="1">
      <alignment horizontal="center" vertical="center" wrapText="1"/>
    </xf>
    <xf numFmtId="3" fontId="29" fillId="0" borderId="1" xfId="2" applyNumberFormat="1" applyFont="1" applyBorder="1" applyAlignment="1">
      <alignment horizontal="center" vertical="center" wrapText="1"/>
    </xf>
    <xf numFmtId="3" fontId="45" fillId="0" borderId="16" xfId="2" applyNumberFormat="1" applyFont="1" applyBorder="1" applyAlignment="1">
      <alignment horizontal="center" vertical="center" wrapText="1"/>
    </xf>
    <xf numFmtId="3" fontId="45" fillId="0" borderId="40" xfId="2" applyNumberFormat="1" applyFont="1" applyBorder="1" applyAlignment="1">
      <alignment horizontal="center" vertical="center" wrapText="1"/>
    </xf>
    <xf numFmtId="3" fontId="45" fillId="0" borderId="12" xfId="2" applyNumberFormat="1" applyFont="1" applyBorder="1" applyAlignment="1">
      <alignment horizontal="center" vertical="center" wrapText="1"/>
    </xf>
    <xf numFmtId="3" fontId="45" fillId="0" borderId="1" xfId="2" applyNumberFormat="1" applyFont="1" applyBorder="1" applyAlignment="1">
      <alignment horizontal="center" vertical="center" wrapText="1"/>
    </xf>
    <xf numFmtId="3" fontId="45" fillId="0" borderId="13" xfId="2" applyNumberFormat="1" applyFont="1" applyBorder="1" applyAlignment="1">
      <alignment horizontal="center" vertical="center" wrapText="1"/>
    </xf>
    <xf numFmtId="3" fontId="29" fillId="0" borderId="0" xfId="2" applyNumberFormat="1" applyFont="1" applyBorder="1" applyAlignment="1">
      <alignment vertical="center"/>
    </xf>
    <xf numFmtId="3" fontId="30" fillId="0" borderId="4" xfId="2" applyNumberFormat="1" applyFont="1" applyFill="1" applyBorder="1" applyAlignment="1">
      <alignment horizontal="center" vertical="center" wrapText="1"/>
    </xf>
    <xf numFmtId="3" fontId="30" fillId="0" borderId="19" xfId="2" applyNumberFormat="1" applyFont="1" applyFill="1" applyBorder="1" applyAlignment="1">
      <alignment horizontal="center" vertical="center" wrapText="1"/>
    </xf>
    <xf numFmtId="3" fontId="30" fillId="0" borderId="16" xfId="2" applyNumberFormat="1" applyFont="1" applyFill="1" applyBorder="1" applyAlignment="1">
      <alignment horizontal="center" vertical="center" wrapText="1"/>
    </xf>
    <xf numFmtId="3" fontId="30" fillId="0" borderId="40" xfId="2" applyNumberFormat="1" applyFont="1" applyFill="1" applyBorder="1" applyAlignment="1">
      <alignment horizontal="center" vertical="center" wrapText="1"/>
    </xf>
    <xf numFmtId="3" fontId="45" fillId="0" borderId="7" xfId="2" applyNumberFormat="1" applyFont="1" applyBorder="1" applyAlignment="1">
      <alignment horizontal="center" vertical="center"/>
    </xf>
    <xf numFmtId="3" fontId="45" fillId="0" borderId="21" xfId="2" applyNumberFormat="1" applyFont="1" applyBorder="1" applyAlignment="1">
      <alignment horizontal="center" vertical="center"/>
    </xf>
    <xf numFmtId="3" fontId="29" fillId="0" borderId="10" xfId="2" applyNumberFormat="1" applyFont="1" applyBorder="1" applyAlignment="1">
      <alignment horizontal="center" vertical="center"/>
    </xf>
    <xf numFmtId="3" fontId="29" fillId="0" borderId="22" xfId="2" applyNumberFormat="1" applyFont="1" applyBorder="1" applyAlignment="1">
      <alignment horizontal="center" vertical="center"/>
    </xf>
    <xf numFmtId="3" fontId="45" fillId="0" borderId="10" xfId="2" applyNumberFormat="1" applyFont="1" applyBorder="1" applyAlignment="1">
      <alignment horizontal="center" vertical="center"/>
    </xf>
    <xf numFmtId="3" fontId="45" fillId="0" borderId="22" xfId="2" applyNumberFormat="1" applyFont="1" applyBorder="1" applyAlignment="1">
      <alignment horizontal="center" vertical="center"/>
    </xf>
    <xf numFmtId="3" fontId="45" fillId="0" borderId="13" xfId="2" applyNumberFormat="1" applyFont="1" applyBorder="1" applyAlignment="1">
      <alignment horizontal="center" vertical="center"/>
    </xf>
    <xf numFmtId="3" fontId="45" fillId="0" borderId="1" xfId="2" applyNumberFormat="1" applyFont="1" applyBorder="1" applyAlignment="1">
      <alignment horizontal="center" vertical="center"/>
    </xf>
    <xf numFmtId="0" fontId="29" fillId="0" borderId="0" xfId="1" applyFont="1" applyAlignment="1">
      <alignment horizontal="right" vertical="center"/>
    </xf>
    <xf numFmtId="3" fontId="30" fillId="0" borderId="4" xfId="1" applyNumberFormat="1" applyFont="1" applyFill="1" applyBorder="1" applyAlignment="1" applyProtection="1">
      <alignment vertical="center"/>
      <protection hidden="1"/>
    </xf>
    <xf numFmtId="0" fontId="40" fillId="0" borderId="0" xfId="1" applyFont="1" applyAlignment="1" applyProtection="1">
      <alignment vertical="center"/>
      <protection locked="0"/>
    </xf>
    <xf numFmtId="3" fontId="29" fillId="0" borderId="30" xfId="1" applyNumberFormat="1" applyFont="1" applyBorder="1" applyAlignment="1" applyProtection="1">
      <alignment horizontal="center" vertical="center"/>
      <protection locked="0"/>
    </xf>
    <xf numFmtId="3" fontId="29" fillId="0" borderId="31" xfId="1" applyNumberFormat="1" applyFont="1" applyBorder="1" applyAlignment="1" applyProtection="1">
      <alignment horizontal="center" vertical="center"/>
      <protection locked="0"/>
    </xf>
    <xf numFmtId="0" fontId="29" fillId="0" borderId="42" xfId="1" applyFont="1" applyBorder="1" applyAlignment="1" applyProtection="1">
      <alignment horizontal="center" vertical="center" wrapText="1"/>
      <protection locked="0"/>
    </xf>
    <xf numFmtId="0" fontId="6" fillId="0" borderId="0" xfId="4" applyFont="1" applyFill="1" applyAlignment="1" applyProtection="1">
      <alignment vertical="center"/>
      <protection locked="0"/>
    </xf>
    <xf numFmtId="0" fontId="29" fillId="0" borderId="43" xfId="1" applyFont="1" applyFill="1" applyBorder="1" applyAlignment="1">
      <alignment horizontal="center" vertical="center"/>
    </xf>
    <xf numFmtId="0" fontId="29" fillId="0" borderId="44" xfId="1" applyFont="1" applyFill="1" applyBorder="1" applyAlignment="1">
      <alignment horizontal="center" vertical="center"/>
    </xf>
    <xf numFmtId="0" fontId="29" fillId="4" borderId="45" xfId="1" applyFont="1" applyFill="1" applyBorder="1" applyAlignment="1">
      <alignment vertical="center"/>
    </xf>
    <xf numFmtId="0" fontId="29" fillId="0" borderId="46" xfId="1" applyFont="1" applyBorder="1" applyAlignment="1">
      <alignment vertical="center"/>
    </xf>
    <xf numFmtId="0" fontId="29" fillId="2" borderId="46" xfId="1" applyFont="1" applyFill="1" applyBorder="1" applyAlignment="1">
      <alignment vertical="center"/>
    </xf>
    <xf numFmtId="0" fontId="29" fillId="0" borderId="47" xfId="1" applyFont="1" applyBorder="1" applyAlignment="1">
      <alignment vertical="center"/>
    </xf>
    <xf numFmtId="0" fontId="29" fillId="2" borderId="47" xfId="1" applyFont="1" applyFill="1" applyBorder="1" applyAlignment="1">
      <alignment vertical="center"/>
    </xf>
    <xf numFmtId="0" fontId="29" fillId="0" borderId="48" xfId="1" applyFont="1" applyBorder="1" applyAlignment="1">
      <alignment vertical="center"/>
    </xf>
    <xf numFmtId="0" fontId="29" fillId="2" borderId="48" xfId="1" applyFont="1" applyFill="1" applyBorder="1" applyAlignment="1">
      <alignment vertical="center"/>
    </xf>
    <xf numFmtId="4" fontId="31" fillId="0" borderId="0" xfId="1" applyNumberFormat="1" applyFont="1" applyAlignment="1">
      <alignment vertical="center"/>
    </xf>
    <xf numFmtId="3" fontId="6" fillId="0" borderId="33" xfId="1" applyNumberFormat="1" applyFont="1" applyBorder="1" applyAlignment="1" applyProtection="1">
      <alignment horizontal="right" vertical="center" wrapText="1" indent="1"/>
      <protection locked="0"/>
    </xf>
    <xf numFmtId="3" fontId="6" fillId="0" borderId="49" xfId="1" applyNumberFormat="1" applyFont="1" applyBorder="1" applyAlignment="1" applyProtection="1">
      <alignment horizontal="right" vertical="center" wrapText="1" indent="1"/>
      <protection locked="0"/>
    </xf>
    <xf numFmtId="3" fontId="29" fillId="0" borderId="33" xfId="1" applyNumberFormat="1" applyFont="1" applyBorder="1" applyAlignment="1" applyProtection="1">
      <alignment horizontal="right" vertical="center" wrapText="1" indent="1"/>
      <protection locked="0"/>
    </xf>
    <xf numFmtId="3" fontId="29" fillId="0" borderId="7" xfId="1" applyNumberFormat="1" applyFont="1" applyBorder="1" applyAlignment="1" applyProtection="1">
      <alignment horizontal="right" vertical="center" wrapText="1" indent="1"/>
      <protection locked="0"/>
    </xf>
    <xf numFmtId="3" fontId="29" fillId="0" borderId="28" xfId="1" applyNumberFormat="1" applyFont="1" applyBorder="1" applyAlignment="1" applyProtection="1">
      <alignment horizontal="right" vertical="center" wrapText="1" indent="1"/>
      <protection locked="0"/>
    </xf>
    <xf numFmtId="3" fontId="29" fillId="0" borderId="21" xfId="1" applyNumberFormat="1" applyFont="1" applyBorder="1" applyAlignment="1" applyProtection="1">
      <alignment horizontal="right" vertical="center" wrapText="1" indent="1"/>
      <protection locked="0"/>
    </xf>
    <xf numFmtId="3" fontId="6" fillId="0" borderId="30" xfId="1" applyNumberFormat="1" applyFont="1" applyBorder="1" applyAlignment="1" applyProtection="1">
      <alignment horizontal="right" vertical="center" wrapText="1" indent="1"/>
      <protection locked="0"/>
    </xf>
    <xf numFmtId="3" fontId="6" fillId="0" borderId="50" xfId="1" applyNumberFormat="1" applyFont="1" applyBorder="1" applyAlignment="1" applyProtection="1">
      <alignment horizontal="right" vertical="center" wrapText="1" indent="1"/>
      <protection locked="0"/>
    </xf>
    <xf numFmtId="3" fontId="29" fillId="0" borderId="30" xfId="1" applyNumberFormat="1" applyFont="1" applyBorder="1" applyAlignment="1" applyProtection="1">
      <alignment horizontal="right" vertical="center" wrapText="1" indent="1"/>
      <protection locked="0"/>
    </xf>
    <xf numFmtId="3" fontId="29" fillId="0" borderId="10" xfId="1" applyNumberFormat="1" applyFont="1" applyBorder="1" applyAlignment="1" applyProtection="1">
      <alignment horizontal="right" vertical="center" wrapText="1" indent="1"/>
      <protection locked="0"/>
    </xf>
    <xf numFmtId="3" fontId="29" fillId="0" borderId="27" xfId="1" applyNumberFormat="1" applyFont="1" applyBorder="1" applyAlignment="1" applyProtection="1">
      <alignment horizontal="right" vertical="center" wrapText="1" indent="1"/>
      <protection locked="0"/>
    </xf>
    <xf numFmtId="3" fontId="6" fillId="0" borderId="31" xfId="1" applyNumberFormat="1" applyFont="1" applyBorder="1" applyAlignment="1" applyProtection="1">
      <alignment horizontal="right" vertical="center" wrapText="1" indent="1"/>
      <protection locked="0"/>
    </xf>
    <xf numFmtId="3" fontId="6" fillId="0" borderId="51" xfId="1" applyNumberFormat="1" applyFont="1" applyBorder="1" applyAlignment="1" applyProtection="1">
      <alignment horizontal="right" vertical="center" wrapText="1" indent="1"/>
      <protection locked="0"/>
    </xf>
    <xf numFmtId="3" fontId="29" fillId="0" borderId="31" xfId="1" applyNumberFormat="1" applyFont="1" applyBorder="1" applyAlignment="1" applyProtection="1">
      <alignment horizontal="right" vertical="center" wrapText="1" indent="1"/>
      <protection locked="0"/>
    </xf>
    <xf numFmtId="3" fontId="29" fillId="0" borderId="29" xfId="1" applyNumberFormat="1" applyFont="1" applyBorder="1" applyAlignment="1" applyProtection="1">
      <alignment horizontal="right" vertical="center" wrapText="1" indent="1"/>
      <protection locked="0"/>
    </xf>
    <xf numFmtId="3" fontId="29" fillId="0" borderId="32" xfId="1" applyNumberFormat="1" applyFont="1" applyBorder="1" applyAlignment="1" applyProtection="1">
      <alignment horizontal="right" vertical="center" wrapText="1" indent="1"/>
      <protection locked="0"/>
    </xf>
    <xf numFmtId="3" fontId="8" fillId="0" borderId="3" xfId="1" applyNumberFormat="1" applyFont="1" applyBorder="1" applyAlignment="1" applyProtection="1">
      <alignment horizontal="right" vertical="center" wrapText="1" indent="1"/>
      <protection hidden="1"/>
    </xf>
    <xf numFmtId="3" fontId="8" fillId="0" borderId="26" xfId="1" applyNumberFormat="1" applyFont="1" applyBorder="1" applyAlignment="1" applyProtection="1">
      <alignment horizontal="right" vertical="center" wrapText="1" indent="1"/>
      <protection hidden="1"/>
    </xf>
    <xf numFmtId="3" fontId="30" fillId="0" borderId="3" xfId="1" applyNumberFormat="1" applyFont="1" applyBorder="1" applyAlignment="1" applyProtection="1">
      <alignment horizontal="right" vertical="center" wrapText="1" indent="1"/>
      <protection hidden="1"/>
    </xf>
    <xf numFmtId="3" fontId="30" fillId="0" borderId="4" xfId="1" applyNumberFormat="1" applyFont="1" applyBorder="1" applyAlignment="1" applyProtection="1">
      <alignment horizontal="right" vertical="center" wrapText="1" indent="1"/>
      <protection hidden="1"/>
    </xf>
    <xf numFmtId="3" fontId="8" fillId="0" borderId="23" xfId="1" applyNumberFormat="1" applyFont="1" applyBorder="1" applyAlignment="1" applyProtection="1">
      <alignment horizontal="right" vertical="center" wrapText="1" indent="1"/>
      <protection hidden="1"/>
    </xf>
    <xf numFmtId="3" fontId="30" fillId="4" borderId="10" xfId="1" applyNumberFormat="1" applyFont="1" applyFill="1" applyBorder="1" applyAlignment="1">
      <alignment vertical="center"/>
    </xf>
    <xf numFmtId="3" fontId="29" fillId="0" borderId="40" xfId="1" applyNumberFormat="1" applyFont="1" applyBorder="1" applyAlignment="1" applyProtection="1">
      <alignment vertical="center"/>
      <protection locked="0"/>
    </xf>
    <xf numFmtId="3" fontId="29" fillId="0" borderId="19" xfId="1" applyNumberFormat="1" applyFont="1" applyBorder="1" applyAlignment="1" applyProtection="1">
      <alignment vertical="center"/>
      <protection hidden="1"/>
    </xf>
    <xf numFmtId="3" fontId="29" fillId="0" borderId="52" xfId="1" applyNumberFormat="1" applyFont="1" applyBorder="1" applyAlignment="1" applyProtection="1">
      <alignment vertical="center"/>
      <protection locked="0"/>
    </xf>
    <xf numFmtId="3" fontId="29" fillId="0" borderId="50" xfId="1" applyNumberFormat="1" applyFont="1" applyBorder="1" applyAlignment="1" applyProtection="1">
      <alignment horizontal="right" vertical="center"/>
      <protection locked="0"/>
    </xf>
    <xf numFmtId="3" fontId="29" fillId="0" borderId="50" xfId="1" applyNumberFormat="1" applyFont="1" applyBorder="1" applyAlignment="1" applyProtection="1">
      <alignment horizontal="right"/>
      <protection locked="0"/>
    </xf>
    <xf numFmtId="3" fontId="30" fillId="0" borderId="50" xfId="1" applyNumberFormat="1" applyFont="1" applyBorder="1" applyAlignment="1" applyProtection="1">
      <alignment horizontal="right" vertical="center"/>
      <protection locked="0"/>
    </xf>
    <xf numFmtId="3" fontId="29" fillId="0" borderId="51" xfId="1" applyNumberFormat="1" applyFont="1" applyBorder="1" applyAlignment="1" applyProtection="1">
      <alignment horizontal="right" vertical="center"/>
      <protection locked="0"/>
    </xf>
    <xf numFmtId="3" fontId="29" fillId="0" borderId="23" xfId="1" applyNumberFormat="1" applyFont="1" applyBorder="1" applyAlignment="1" applyProtection="1">
      <alignment horizontal="right" vertical="center"/>
      <protection hidden="1"/>
    </xf>
    <xf numFmtId="3" fontId="30" fillId="0" borderId="49" xfId="1" applyNumberFormat="1" applyFont="1" applyBorder="1" applyAlignment="1" applyProtection="1">
      <alignment horizontal="right" vertical="top" wrapText="1"/>
      <protection locked="0"/>
    </xf>
    <xf numFmtId="3" fontId="29" fillId="0" borderId="49" xfId="1" applyNumberFormat="1" applyFont="1" applyBorder="1" applyAlignment="1" applyProtection="1">
      <alignment horizontal="right" vertical="top" wrapText="1"/>
      <protection locked="0"/>
    </xf>
    <xf numFmtId="3" fontId="29" fillId="0" borderId="50" xfId="1" applyNumberFormat="1" applyFont="1" applyBorder="1" applyAlignment="1" applyProtection="1">
      <alignment horizontal="right" vertical="top" wrapText="1"/>
      <protection locked="0"/>
    </xf>
    <xf numFmtId="3" fontId="30" fillId="0" borderId="50" xfId="1" applyNumberFormat="1" applyFont="1" applyBorder="1" applyAlignment="1" applyProtection="1">
      <alignment horizontal="right" vertical="top" wrapText="1"/>
      <protection locked="0"/>
    </xf>
    <xf numFmtId="3" fontId="30" fillId="0" borderId="51" xfId="1" applyNumberFormat="1" applyFont="1" applyBorder="1" applyAlignment="1" applyProtection="1">
      <alignment horizontal="right" vertical="top" wrapText="1"/>
      <protection locked="0"/>
    </xf>
    <xf numFmtId="3" fontId="29" fillId="0" borderId="23" xfId="1" applyNumberFormat="1" applyFont="1" applyBorder="1" applyAlignment="1" applyProtection="1">
      <alignment vertical="center"/>
      <protection hidden="1"/>
    </xf>
    <xf numFmtId="0" fontId="37" fillId="0" borderId="0" xfId="1" applyFont="1" applyAlignment="1">
      <alignment horizontal="right" vertical="center" wrapText="1"/>
    </xf>
    <xf numFmtId="0" fontId="37" fillId="0" borderId="0" xfId="1" applyFont="1" applyBorder="1" applyAlignment="1">
      <alignment horizontal="right" vertical="center" wrapText="1"/>
    </xf>
    <xf numFmtId="0" fontId="37" fillId="0" borderId="0" xfId="1" applyFont="1" applyBorder="1" applyAlignment="1">
      <alignment vertical="center" wrapText="1"/>
    </xf>
    <xf numFmtId="4" fontId="29" fillId="0" borderId="0" xfId="1" applyNumberFormat="1" applyFont="1" applyBorder="1" applyAlignment="1" applyProtection="1">
      <alignment vertical="center"/>
      <protection hidden="1"/>
    </xf>
    <xf numFmtId="0" fontId="37" fillId="0" borderId="0" xfId="1" applyFont="1" applyAlignment="1" applyProtection="1">
      <alignment vertical="center" wrapText="1"/>
      <protection locked="0"/>
    </xf>
    <xf numFmtId="4" fontId="37" fillId="0" borderId="0" xfId="1" applyNumberFormat="1" applyFont="1" applyAlignment="1" applyProtection="1">
      <alignment vertical="center" wrapText="1"/>
      <protection locked="0"/>
    </xf>
    <xf numFmtId="0" fontId="37" fillId="0" borderId="0" xfId="1" applyFont="1" applyAlignment="1">
      <alignment vertical="center" wrapText="1"/>
    </xf>
    <xf numFmtId="4" fontId="39" fillId="0" borderId="0" xfId="1" applyNumberFormat="1" applyFont="1" applyAlignment="1" applyProtection="1">
      <alignment vertical="center" wrapText="1"/>
      <protection locked="0"/>
    </xf>
    <xf numFmtId="4" fontId="29" fillId="0" borderId="0" xfId="1" applyNumberFormat="1" applyFont="1" applyFill="1" applyBorder="1" applyAlignment="1" applyProtection="1">
      <alignment vertical="center"/>
      <protection locked="0"/>
    </xf>
    <xf numFmtId="4" fontId="35" fillId="0" borderId="0" xfId="1" applyNumberFormat="1" applyFont="1" applyFill="1" applyBorder="1" applyAlignment="1" applyProtection="1">
      <alignment vertical="center" wrapText="1"/>
      <protection locked="0"/>
    </xf>
    <xf numFmtId="0" fontId="35" fillId="0" borderId="0" xfId="1" applyFont="1" applyFill="1" applyBorder="1" applyAlignment="1" applyProtection="1">
      <alignment vertical="center" wrapText="1"/>
      <protection locked="0"/>
    </xf>
    <xf numFmtId="0" fontId="35" fillId="0" borderId="0" xfId="1" applyFont="1" applyFill="1" applyBorder="1" applyAlignment="1">
      <alignment vertical="center" wrapText="1"/>
    </xf>
    <xf numFmtId="0" fontId="35" fillId="0" borderId="0" xfId="1" applyFont="1" applyFill="1" applyBorder="1" applyAlignment="1">
      <alignment horizontal="center" vertical="center" wrapText="1"/>
    </xf>
    <xf numFmtId="4" fontId="35" fillId="0" borderId="0" xfId="1" applyNumberFormat="1" applyFont="1" applyFill="1" applyBorder="1" applyAlignment="1" applyProtection="1">
      <alignment horizontal="center" vertical="center" wrapText="1"/>
      <protection locked="0"/>
    </xf>
    <xf numFmtId="0" fontId="29" fillId="0" borderId="0" xfId="1" applyFont="1" applyFill="1" applyBorder="1" applyAlignment="1">
      <alignment vertical="center" wrapText="1"/>
    </xf>
    <xf numFmtId="4" fontId="35" fillId="0" borderId="0" xfId="1" applyNumberFormat="1" applyFont="1" applyFill="1" applyBorder="1" applyAlignment="1">
      <alignment horizontal="center" vertical="center" wrapText="1"/>
    </xf>
    <xf numFmtId="0" fontId="35" fillId="0" borderId="0" xfId="1" applyFont="1" applyFill="1" applyBorder="1" applyAlignment="1">
      <alignment horizontal="justify" vertical="center" wrapText="1"/>
    </xf>
    <xf numFmtId="4" fontId="35" fillId="0" borderId="0" xfId="1" applyNumberFormat="1" applyFont="1" applyFill="1" applyBorder="1" applyAlignment="1">
      <alignment horizontal="justify" vertical="center" wrapText="1"/>
    </xf>
    <xf numFmtId="3" fontId="37" fillId="0" borderId="21" xfId="1" applyNumberFormat="1" applyFont="1" applyBorder="1" applyAlignment="1" applyProtection="1">
      <alignment horizontal="right" vertical="center" wrapText="1"/>
      <protection locked="0"/>
    </xf>
    <xf numFmtId="3" fontId="37" fillId="0" borderId="53" xfId="1" applyNumberFormat="1" applyFont="1" applyBorder="1" applyAlignment="1" applyProtection="1">
      <alignment horizontal="right" vertical="center" wrapText="1"/>
      <protection locked="0"/>
    </xf>
    <xf numFmtId="3" fontId="37" fillId="0" borderId="19" xfId="1" applyNumberFormat="1" applyFont="1" applyBorder="1" applyAlignment="1" applyProtection="1">
      <alignment horizontal="right" vertical="center" wrapText="1"/>
      <protection hidden="1"/>
    </xf>
    <xf numFmtId="3" fontId="37" fillId="0" borderId="40" xfId="1" applyNumberFormat="1" applyFont="1" applyBorder="1" applyAlignment="1" applyProtection="1">
      <alignment horizontal="right" vertical="center" wrapText="1"/>
      <protection locked="0"/>
    </xf>
    <xf numFmtId="3" fontId="29" fillId="0" borderId="19" xfId="1" applyNumberFormat="1" applyFont="1" applyBorder="1" applyAlignment="1" applyProtection="1">
      <alignment vertical="center"/>
    </xf>
    <xf numFmtId="3" fontId="29" fillId="0" borderId="21" xfId="1" applyNumberFormat="1" applyFont="1" applyBorder="1" applyAlignment="1" applyProtection="1">
      <alignment vertical="center"/>
    </xf>
    <xf numFmtId="3" fontId="29" fillId="0" borderId="22" xfId="1" applyNumberFormat="1" applyFont="1" applyBorder="1" applyAlignment="1" applyProtection="1">
      <alignment vertical="center"/>
    </xf>
    <xf numFmtId="3" fontId="29" fillId="0" borderId="22" xfId="1" applyNumberFormat="1" applyFont="1" applyBorder="1" applyAlignment="1" applyProtection="1">
      <alignment horizontal="right" vertical="center" wrapText="1"/>
    </xf>
    <xf numFmtId="3" fontId="29" fillId="0" borderId="4" xfId="1" applyNumberFormat="1" applyFont="1" applyBorder="1" applyAlignment="1" applyProtection="1">
      <alignment horizontal="right" vertical="center" wrapText="1"/>
      <protection locked="0"/>
    </xf>
    <xf numFmtId="3" fontId="29" fillId="0" borderId="23" xfId="1" applyNumberFormat="1" applyFont="1" applyBorder="1" applyAlignment="1" applyProtection="1">
      <alignment horizontal="right" vertical="center" wrapText="1"/>
    </xf>
    <xf numFmtId="3" fontId="29" fillId="0" borderId="16" xfId="1" applyNumberFormat="1" applyFont="1" applyBorder="1" applyAlignment="1" applyProtection="1">
      <alignment vertical="center"/>
      <protection locked="0"/>
    </xf>
    <xf numFmtId="3" fontId="29" fillId="0" borderId="52" xfId="1" applyNumberFormat="1" applyFont="1" applyBorder="1" applyAlignment="1" applyProtection="1">
      <alignment vertical="center"/>
    </xf>
    <xf numFmtId="3" fontId="29" fillId="0" borderId="49" xfId="1" applyNumberFormat="1" applyFont="1" applyBorder="1" applyAlignment="1" applyProtection="1">
      <alignment vertical="center"/>
    </xf>
    <xf numFmtId="3" fontId="29" fillId="0" borderId="50" xfId="1" applyNumberFormat="1" applyFont="1" applyBorder="1" applyAlignment="1" applyProtection="1">
      <alignment vertical="center"/>
    </xf>
    <xf numFmtId="3" fontId="29" fillId="0" borderId="4" xfId="1" applyNumberFormat="1" applyFont="1" applyBorder="1" applyAlignment="1" applyProtection="1">
      <alignment vertical="center"/>
    </xf>
    <xf numFmtId="3" fontId="29" fillId="0" borderId="23" xfId="1" applyNumberFormat="1" applyFont="1" applyBorder="1" applyAlignment="1" applyProtection="1">
      <alignment vertical="center"/>
    </xf>
    <xf numFmtId="3" fontId="29" fillId="0" borderId="7" xfId="1" applyNumberFormat="1" applyFont="1" applyBorder="1" applyAlignment="1" applyProtection="1">
      <alignment vertical="center"/>
      <protection hidden="1"/>
    </xf>
    <xf numFmtId="3" fontId="29" fillId="0" borderId="19" xfId="1" applyNumberFormat="1" applyFont="1" applyBorder="1" applyAlignment="1" applyProtection="1">
      <alignment vertical="center"/>
      <protection locked="0"/>
    </xf>
    <xf numFmtId="3" fontId="29" fillId="0" borderId="19" xfId="1" applyNumberFormat="1" applyFont="1" applyBorder="1" applyAlignment="1">
      <alignment vertical="center"/>
    </xf>
    <xf numFmtId="3" fontId="29" fillId="0" borderId="23" xfId="1" applyNumberFormat="1" applyFont="1" applyBorder="1" applyAlignment="1">
      <alignment vertical="center"/>
    </xf>
    <xf numFmtId="0" fontId="37" fillId="0" borderId="0" xfId="1" applyFont="1" applyFill="1" applyAlignment="1" applyProtection="1">
      <alignment vertical="center" wrapText="1"/>
      <protection locked="0"/>
    </xf>
    <xf numFmtId="0" fontId="6" fillId="0" borderId="0" xfId="1" applyFont="1" applyFill="1" applyAlignment="1" applyProtection="1">
      <alignment vertical="center"/>
      <protection locked="0"/>
    </xf>
    <xf numFmtId="3" fontId="29" fillId="0" borderId="3" xfId="1" applyNumberFormat="1" applyFont="1" applyFill="1" applyBorder="1" applyAlignment="1" applyProtection="1">
      <alignment horizontal="center" vertical="center"/>
      <protection locked="0"/>
    </xf>
    <xf numFmtId="0" fontId="6" fillId="0" borderId="0" xfId="1" applyFont="1" applyAlignment="1" applyProtection="1">
      <alignment horizontal="left" vertical="center" wrapText="1"/>
      <protection locked="0"/>
    </xf>
    <xf numFmtId="0" fontId="6" fillId="0" borderId="0" xfId="1" applyFont="1" applyAlignment="1" applyProtection="1">
      <alignment horizontal="left" vertical="center"/>
      <protection locked="0"/>
    </xf>
    <xf numFmtId="0" fontId="29" fillId="0" borderId="16" xfId="1" applyFont="1" applyFill="1" applyBorder="1" applyAlignment="1" applyProtection="1">
      <alignment vertical="center" wrapText="1"/>
      <protection locked="0"/>
    </xf>
    <xf numFmtId="0" fontId="29" fillId="0" borderId="40" xfId="1" applyFont="1" applyBorder="1" applyAlignment="1" applyProtection="1">
      <alignment vertical="center" wrapText="1"/>
      <protection locked="0"/>
    </xf>
    <xf numFmtId="3" fontId="29" fillId="0" borderId="49" xfId="1" applyNumberFormat="1" applyFont="1" applyBorder="1" applyAlignment="1" applyProtection="1">
      <alignment vertical="center"/>
      <protection locked="0"/>
    </xf>
    <xf numFmtId="0" fontId="29" fillId="0" borderId="54" xfId="1" applyFont="1" applyBorder="1" applyAlignment="1" applyProtection="1">
      <alignment horizontal="center" vertical="center"/>
      <protection locked="0"/>
    </xf>
    <xf numFmtId="0" fontId="29" fillId="5" borderId="14" xfId="1" applyFont="1" applyFill="1" applyBorder="1" applyAlignment="1" applyProtection="1">
      <alignment horizontal="center" vertical="center"/>
      <protection locked="0"/>
    </xf>
    <xf numFmtId="0" fontId="29" fillId="6" borderId="8" xfId="1" applyFont="1" applyFill="1" applyBorder="1" applyAlignment="1" applyProtection="1">
      <alignment horizontal="center" vertical="center"/>
      <protection locked="0"/>
    </xf>
    <xf numFmtId="0" fontId="29" fillId="6" borderId="55" xfId="1" applyFont="1" applyFill="1" applyBorder="1" applyAlignment="1" applyProtection="1">
      <alignment horizontal="center" vertical="center"/>
      <protection locked="0"/>
    </xf>
    <xf numFmtId="0" fontId="29" fillId="6" borderId="56" xfId="1" applyFont="1" applyFill="1" applyBorder="1" applyAlignment="1" applyProtection="1">
      <alignment horizontal="center" vertical="center"/>
      <protection locked="0"/>
    </xf>
    <xf numFmtId="0" fontId="29" fillId="7" borderId="0" xfId="1" applyFont="1" applyFill="1" applyAlignment="1">
      <alignment vertical="center"/>
    </xf>
    <xf numFmtId="3" fontId="29" fillId="7" borderId="57" xfId="1" applyNumberFormat="1" applyFont="1" applyFill="1" applyBorder="1" applyAlignment="1">
      <alignment vertical="center"/>
    </xf>
    <xf numFmtId="3" fontId="29" fillId="7" borderId="58" xfId="1" applyNumberFormat="1" applyFont="1" applyFill="1" applyBorder="1" applyAlignment="1">
      <alignment vertical="center"/>
    </xf>
    <xf numFmtId="3" fontId="29" fillId="7" borderId="59" xfId="1" applyNumberFormat="1" applyFont="1" applyFill="1" applyBorder="1" applyAlignment="1">
      <alignment vertical="center"/>
    </xf>
    <xf numFmtId="4" fontId="31" fillId="7" borderId="0" xfId="1" applyNumberFormat="1" applyFont="1" applyFill="1" applyAlignment="1">
      <alignment vertical="center"/>
    </xf>
    <xf numFmtId="0" fontId="31" fillId="7" borderId="0" xfId="1" applyFont="1" applyFill="1" applyAlignment="1">
      <alignment vertical="center"/>
    </xf>
    <xf numFmtId="0" fontId="6" fillId="7" borderId="0" xfId="1" applyFont="1" applyFill="1" applyAlignment="1" applyProtection="1">
      <alignment vertical="center"/>
      <protection locked="0"/>
    </xf>
    <xf numFmtId="0" fontId="29" fillId="0" borderId="0" xfId="1" applyFont="1" applyAlignment="1" applyProtection="1">
      <alignment vertical="center" wrapText="1"/>
      <protection locked="0"/>
    </xf>
    <xf numFmtId="3" fontId="29" fillId="7" borderId="60" xfId="1" applyNumberFormat="1" applyFont="1" applyFill="1" applyBorder="1" applyAlignment="1">
      <alignment vertical="center"/>
    </xf>
    <xf numFmtId="164" fontId="29" fillId="2" borderId="58" xfId="1" applyNumberFormat="1" applyFont="1" applyFill="1" applyBorder="1" applyAlignment="1">
      <alignment horizontal="center" vertical="center"/>
    </xf>
    <xf numFmtId="0" fontId="29" fillId="0" borderId="8" xfId="2" applyFont="1" applyFill="1" applyBorder="1" applyAlignment="1">
      <alignment vertical="center" wrapText="1"/>
    </xf>
    <xf numFmtId="0" fontId="30" fillId="0" borderId="11" xfId="2" applyFont="1" applyBorder="1" applyAlignment="1">
      <alignment vertical="center" wrapText="1"/>
    </xf>
    <xf numFmtId="0" fontId="30" fillId="0" borderId="37" xfId="2" applyFont="1" applyBorder="1" applyAlignment="1">
      <alignment vertical="center" wrapText="1"/>
    </xf>
    <xf numFmtId="49" fontId="29" fillId="0" borderId="33" xfId="2" applyNumberFormat="1" applyFont="1" applyBorder="1" applyAlignment="1">
      <alignment horizontal="center" vertical="center" wrapText="1"/>
    </xf>
    <xf numFmtId="0" fontId="0" fillId="0" borderId="0" xfId="0" applyFill="1"/>
    <xf numFmtId="0" fontId="33" fillId="0" borderId="61" xfId="1" applyFont="1" applyBorder="1" applyAlignment="1" applyProtection="1">
      <alignment horizontal="center" vertical="center" wrapText="1"/>
      <protection locked="0"/>
    </xf>
    <xf numFmtId="0" fontId="33" fillId="0" borderId="61" xfId="1" applyFont="1" applyBorder="1" applyAlignment="1" applyProtection="1">
      <alignment horizontal="center" vertical="center"/>
      <protection locked="0"/>
    </xf>
    <xf numFmtId="0" fontId="33" fillId="0" borderId="62" xfId="1" applyFont="1" applyBorder="1" applyAlignment="1" applyProtection="1">
      <alignment horizontal="center" vertical="center"/>
      <protection locked="0"/>
    </xf>
    <xf numFmtId="0" fontId="33" fillId="0" borderId="0" xfId="1" applyFont="1" applyAlignment="1">
      <alignment vertical="center"/>
    </xf>
    <xf numFmtId="2" fontId="33" fillId="0" borderId="41" xfId="1" applyNumberFormat="1" applyFont="1" applyBorder="1" applyAlignment="1" applyProtection="1">
      <alignment horizontal="center" vertical="center" wrapText="1"/>
      <protection locked="0"/>
    </xf>
    <xf numFmtId="0" fontId="29" fillId="8" borderId="63" xfId="1" applyFont="1" applyFill="1" applyBorder="1" applyAlignment="1">
      <alignment horizontal="center" vertical="center"/>
    </xf>
    <xf numFmtId="0" fontId="29" fillId="8" borderId="43" xfId="1" applyFont="1" applyFill="1" applyBorder="1" applyAlignment="1">
      <alignment horizontal="center" vertical="center"/>
    </xf>
    <xf numFmtId="0" fontId="41" fillId="0" borderId="45" xfId="0" applyFont="1" applyBorder="1" applyAlignment="1">
      <alignment horizontal="center" vertical="center"/>
    </xf>
    <xf numFmtId="0" fontId="28" fillId="0" borderId="0" xfId="1" applyFont="1" applyAlignment="1" applyProtection="1">
      <alignment horizontal="left" vertical="center"/>
      <protection locked="0"/>
    </xf>
    <xf numFmtId="0" fontId="30" fillId="0" borderId="0" xfId="1" applyFont="1" applyBorder="1" applyAlignment="1" applyProtection="1">
      <alignment horizontal="left" vertical="center"/>
      <protection locked="0"/>
    </xf>
    <xf numFmtId="3" fontId="29" fillId="0" borderId="0" xfId="1" applyNumberFormat="1" applyFont="1" applyFill="1" applyBorder="1" applyAlignment="1" applyProtection="1">
      <alignment horizontal="left" vertical="center"/>
      <protection hidden="1"/>
    </xf>
    <xf numFmtId="3" fontId="29" fillId="0" borderId="0" xfId="1" applyNumberFormat="1" applyFont="1" applyBorder="1" applyAlignment="1" applyProtection="1">
      <alignment horizontal="left" vertical="center"/>
      <protection hidden="1"/>
    </xf>
    <xf numFmtId="0" fontId="29" fillId="0" borderId="0" xfId="1" applyFont="1" applyAlignment="1" applyProtection="1">
      <alignment horizontal="left" vertical="center"/>
      <protection locked="0"/>
    </xf>
    <xf numFmtId="0" fontId="39" fillId="0" borderId="0" xfId="1" applyFont="1" applyAlignment="1" applyProtection="1">
      <alignment horizontal="left" vertical="center"/>
      <protection locked="0"/>
    </xf>
    <xf numFmtId="3" fontId="29" fillId="0" borderId="50" xfId="1" applyNumberFormat="1" applyFont="1" applyBorder="1" applyAlignment="1" applyProtection="1">
      <alignment vertical="center"/>
      <protection locked="0"/>
    </xf>
    <xf numFmtId="3" fontId="30" fillId="9" borderId="16" xfId="1" applyNumberFormat="1" applyFont="1" applyFill="1" applyBorder="1" applyAlignment="1" applyProtection="1">
      <alignment vertical="center" wrapText="1"/>
      <protection locked="0"/>
    </xf>
    <xf numFmtId="3" fontId="30" fillId="9" borderId="7" xfId="1" applyNumberFormat="1" applyFont="1" applyFill="1" applyBorder="1" applyAlignment="1" applyProtection="1">
      <alignment vertical="center" wrapText="1"/>
      <protection locked="0"/>
    </xf>
    <xf numFmtId="0" fontId="29" fillId="0" borderId="10" xfId="1" applyFont="1" applyBorder="1" applyAlignment="1" applyProtection="1">
      <alignment horizontal="center" vertical="center" wrapText="1"/>
      <protection locked="0"/>
    </xf>
    <xf numFmtId="0" fontId="29" fillId="9" borderId="30" xfId="1" applyFont="1" applyFill="1" applyBorder="1" applyAlignment="1" applyProtection="1">
      <alignment horizontal="center" vertical="center"/>
      <protection locked="0"/>
    </xf>
    <xf numFmtId="3" fontId="29" fillId="9" borderId="10" xfId="1" applyNumberFormat="1" applyFont="1" applyFill="1" applyBorder="1" applyAlignment="1" applyProtection="1">
      <alignment horizontal="right" vertical="center" wrapText="1"/>
      <protection locked="0"/>
    </xf>
    <xf numFmtId="3" fontId="29" fillId="9" borderId="22" xfId="1" applyNumberFormat="1" applyFont="1" applyFill="1" applyBorder="1" applyAlignment="1" applyProtection="1">
      <alignment horizontal="right" vertical="center" wrapText="1"/>
      <protection hidden="1"/>
    </xf>
    <xf numFmtId="0" fontId="29" fillId="9" borderId="18" xfId="1" applyFont="1" applyFill="1" applyBorder="1" applyAlignment="1" applyProtection="1">
      <alignment horizontal="center" vertical="center"/>
      <protection locked="0"/>
    </xf>
    <xf numFmtId="3" fontId="29" fillId="9" borderId="13" xfId="1" applyNumberFormat="1" applyFont="1" applyFill="1" applyBorder="1" applyAlignment="1" applyProtection="1">
      <alignment horizontal="right" vertical="center"/>
      <protection locked="0"/>
    </xf>
    <xf numFmtId="3" fontId="29" fillId="9" borderId="1" xfId="1" applyNumberFormat="1" applyFont="1" applyFill="1" applyBorder="1" applyAlignment="1" applyProtection="1">
      <alignment horizontal="right" vertical="center" wrapText="1"/>
      <protection hidden="1"/>
    </xf>
    <xf numFmtId="0" fontId="29" fillId="9" borderId="33" xfId="1" applyFont="1" applyFill="1" applyBorder="1" applyAlignment="1" applyProtection="1">
      <alignment horizontal="center" vertical="center"/>
      <protection locked="0"/>
    </xf>
    <xf numFmtId="3" fontId="29" fillId="0" borderId="15" xfId="1" applyNumberFormat="1" applyFont="1" applyBorder="1" applyAlignment="1" applyProtection="1">
      <alignment horizontal="right" vertical="center" wrapText="1" indent="1"/>
      <protection locked="0"/>
    </xf>
    <xf numFmtId="3" fontId="29" fillId="0" borderId="16" xfId="1" applyNumberFormat="1" applyFont="1" applyBorder="1" applyAlignment="1" applyProtection="1">
      <alignment horizontal="right" vertical="center" wrapText="1" indent="1"/>
      <protection locked="0"/>
    </xf>
    <xf numFmtId="3" fontId="29" fillId="0" borderId="21" xfId="1" applyNumberFormat="1" applyFont="1" applyBorder="1" applyAlignment="1" applyProtection="1">
      <alignment horizontal="right" vertical="center" wrapText="1" indent="1"/>
      <protection hidden="1"/>
    </xf>
    <xf numFmtId="3" fontId="29" fillId="0" borderId="9" xfId="1" applyNumberFormat="1" applyFont="1" applyBorder="1" applyAlignment="1" applyProtection="1">
      <alignment horizontal="right" vertical="center" wrapText="1" indent="1"/>
      <protection locked="0"/>
    </xf>
    <xf numFmtId="3" fontId="29" fillId="0" borderId="34" xfId="1" applyNumberFormat="1" applyFont="1" applyBorder="1" applyAlignment="1" applyProtection="1">
      <alignment horizontal="right" vertical="center" wrapText="1" indent="1"/>
      <protection locked="0"/>
    </xf>
    <xf numFmtId="3" fontId="29" fillId="0" borderId="26" xfId="1" applyNumberFormat="1" applyFont="1" applyBorder="1" applyAlignment="1" applyProtection="1">
      <alignment horizontal="right" vertical="center" wrapText="1" indent="1"/>
      <protection hidden="1"/>
    </xf>
    <xf numFmtId="3" fontId="29" fillId="0" borderId="23" xfId="1" applyNumberFormat="1" applyFont="1" applyBorder="1" applyAlignment="1" applyProtection="1">
      <alignment horizontal="right" vertical="center" wrapText="1" indent="1"/>
      <protection hidden="1"/>
    </xf>
    <xf numFmtId="0" fontId="29" fillId="0" borderId="65" xfId="1" applyFont="1" applyBorder="1" applyAlignment="1" applyProtection="1">
      <alignment horizontal="center" vertical="center" wrapText="1"/>
      <protection locked="0"/>
    </xf>
    <xf numFmtId="0" fontId="29" fillId="0" borderId="41" xfId="1" applyFont="1" applyBorder="1" applyAlignment="1" applyProtection="1">
      <alignment horizontal="center" vertical="center" wrapText="1"/>
      <protection locked="0"/>
    </xf>
    <xf numFmtId="0" fontId="29" fillId="0" borderId="30" xfId="1" applyFont="1" applyBorder="1" applyAlignment="1" applyProtection="1">
      <alignment horizontal="center" vertical="center" wrapText="1"/>
      <protection locked="0"/>
    </xf>
    <xf numFmtId="0" fontId="30" fillId="4" borderId="27" xfId="3" applyFont="1" applyFill="1" applyBorder="1" applyAlignment="1">
      <alignment horizontal="left" vertical="center"/>
    </xf>
    <xf numFmtId="0" fontId="30" fillId="2" borderId="66" xfId="3" applyFont="1" applyFill="1" applyBorder="1" applyAlignment="1">
      <alignment horizontal="left" vertical="center"/>
    </xf>
    <xf numFmtId="0" fontId="30" fillId="2" borderId="67" xfId="3" applyFont="1" applyFill="1" applyBorder="1" applyAlignment="1">
      <alignment horizontal="left" vertical="center"/>
    </xf>
    <xf numFmtId="0" fontId="29" fillId="4" borderId="9" xfId="1" applyFont="1" applyFill="1" applyBorder="1" applyAlignment="1">
      <alignment vertical="center"/>
    </xf>
    <xf numFmtId="0" fontId="29" fillId="2" borderId="68" xfId="1" applyFont="1" applyFill="1" applyBorder="1" applyAlignment="1">
      <alignment vertical="center"/>
    </xf>
    <xf numFmtId="0" fontId="29" fillId="2" borderId="69" xfId="1" applyFont="1" applyFill="1" applyBorder="1" applyAlignment="1">
      <alignment vertical="center"/>
    </xf>
    <xf numFmtId="0" fontId="29" fillId="2" borderId="70" xfId="1" applyFont="1" applyFill="1" applyBorder="1" applyAlignment="1">
      <alignment vertical="center"/>
    </xf>
    <xf numFmtId="0" fontId="29" fillId="2" borderId="71" xfId="3" applyFont="1" applyFill="1" applyBorder="1" applyAlignment="1">
      <alignment horizontal="left" vertical="center"/>
    </xf>
    <xf numFmtId="0" fontId="29" fillId="0" borderId="49" xfId="1" applyFont="1" applyBorder="1" applyAlignment="1" applyProtection="1">
      <alignment vertical="center"/>
      <protection locked="0"/>
    </xf>
    <xf numFmtId="0" fontId="29" fillId="0" borderId="50" xfId="1" applyFont="1" applyBorder="1" applyAlignment="1" applyProtection="1">
      <alignment vertical="center"/>
      <protection locked="0"/>
    </xf>
    <xf numFmtId="0" fontId="29" fillId="0" borderId="51" xfId="1" applyFont="1" applyBorder="1" applyAlignment="1" applyProtection="1">
      <alignment vertical="center"/>
      <protection locked="0"/>
    </xf>
    <xf numFmtId="0" fontId="30" fillId="0" borderId="23" xfId="1" applyFont="1" applyFill="1" applyBorder="1" applyAlignment="1" applyProtection="1">
      <alignment vertical="center"/>
      <protection locked="0"/>
    </xf>
    <xf numFmtId="0" fontId="6" fillId="0" borderId="30" xfId="1" applyFont="1" applyBorder="1" applyAlignment="1">
      <alignment horizontal="center" vertical="center"/>
    </xf>
    <xf numFmtId="0" fontId="6" fillId="0" borderId="33" xfId="1" applyFont="1" applyBorder="1" applyAlignment="1">
      <alignment horizontal="center" vertical="center"/>
    </xf>
    <xf numFmtId="0" fontId="6" fillId="0" borderId="65" xfId="1" applyFont="1" applyBorder="1" applyAlignment="1">
      <alignment horizontal="center" vertical="center"/>
    </xf>
    <xf numFmtId="0" fontId="6" fillId="0" borderId="72" xfId="1" applyFont="1" applyBorder="1" applyAlignment="1" applyProtection="1">
      <alignment horizontal="center" vertical="center" wrapText="1"/>
      <protection locked="0"/>
    </xf>
    <xf numFmtId="0" fontId="6" fillId="0" borderId="65" xfId="1" applyFont="1" applyBorder="1" applyAlignment="1" applyProtection="1">
      <alignment horizontal="center" vertical="center" wrapText="1"/>
      <protection locked="0"/>
    </xf>
    <xf numFmtId="0" fontId="6" fillId="0" borderId="41" xfId="1" applyFont="1" applyBorder="1" applyAlignment="1" applyProtection="1">
      <alignment horizontal="center" vertical="center" wrapText="1"/>
      <protection locked="0"/>
    </xf>
    <xf numFmtId="0" fontId="6" fillId="0" borderId="73" xfId="1" applyFont="1" applyBorder="1" applyAlignment="1" applyProtection="1">
      <alignment horizontal="center" vertical="center" wrapText="1"/>
      <protection locked="0"/>
    </xf>
    <xf numFmtId="0" fontId="6" fillId="0" borderId="42" xfId="1" applyFont="1" applyBorder="1" applyAlignment="1" applyProtection="1">
      <alignment horizontal="center" vertical="center" wrapText="1"/>
      <protection locked="0"/>
    </xf>
    <xf numFmtId="0" fontId="6" fillId="0" borderId="30" xfId="1" applyFont="1" applyBorder="1" applyAlignment="1" applyProtection="1">
      <alignment horizontal="center" vertical="center" wrapText="1"/>
      <protection locked="0"/>
    </xf>
    <xf numFmtId="0" fontId="6" fillId="0" borderId="10" xfId="1" applyFont="1" applyBorder="1" applyAlignment="1" applyProtection="1">
      <alignment horizontal="center" vertical="center" wrapText="1"/>
      <protection locked="0"/>
    </xf>
    <xf numFmtId="0" fontId="6" fillId="0" borderId="27" xfId="1" applyFont="1" applyBorder="1" applyAlignment="1" applyProtection="1">
      <alignment horizontal="center" vertical="center" wrapText="1"/>
      <protection locked="0"/>
    </xf>
    <xf numFmtId="0" fontId="6" fillId="0" borderId="22" xfId="1" applyFont="1" applyBorder="1" applyAlignment="1" applyProtection="1">
      <alignment horizontal="center" vertical="center" wrapText="1"/>
      <protection locked="0"/>
    </xf>
    <xf numFmtId="0" fontId="6" fillId="0" borderId="18" xfId="1" applyFont="1" applyBorder="1" applyAlignment="1">
      <alignment horizontal="center" vertical="center"/>
    </xf>
    <xf numFmtId="0" fontId="29" fillId="0" borderId="72" xfId="1" applyFont="1" applyBorder="1" applyAlignment="1" applyProtection="1">
      <alignment horizontal="center" vertical="center" wrapText="1"/>
      <protection locked="0"/>
    </xf>
    <xf numFmtId="0" fontId="29" fillId="0" borderId="73" xfId="1" applyFont="1" applyBorder="1" applyAlignment="1" applyProtection="1">
      <alignment horizontal="center" vertical="center" wrapText="1"/>
      <protection locked="0"/>
    </xf>
    <xf numFmtId="0" fontId="29" fillId="0" borderId="22" xfId="1" applyFont="1" applyBorder="1" applyAlignment="1" applyProtection="1">
      <alignment horizontal="center" vertical="center" wrapText="1"/>
      <protection locked="0"/>
    </xf>
    <xf numFmtId="0" fontId="12" fillId="0" borderId="10" xfId="0" applyFont="1" applyBorder="1" applyAlignment="1">
      <alignment horizontal="center" vertical="center"/>
    </xf>
    <xf numFmtId="0" fontId="12" fillId="0" borderId="12" xfId="0" applyFont="1" applyBorder="1" applyAlignment="1">
      <alignment horizontal="center" vertical="center" wrapText="1" shrinkToFit="1"/>
    </xf>
    <xf numFmtId="0" fontId="12" fillId="0" borderId="13" xfId="0" applyFont="1" applyBorder="1" applyAlignment="1">
      <alignment horizontal="center" vertical="center" wrapText="1" shrinkToFit="1"/>
    </xf>
    <xf numFmtId="0" fontId="12" fillId="0" borderId="13" xfId="0" applyFont="1" applyFill="1" applyBorder="1" applyAlignment="1">
      <alignment horizontal="center" vertical="center" wrapText="1" shrinkToFit="1"/>
    </xf>
    <xf numFmtId="0" fontId="12" fillId="0" borderId="1" xfId="0" applyFont="1" applyFill="1" applyBorder="1" applyAlignment="1">
      <alignment horizontal="center" vertical="center" wrapText="1" shrinkToFit="1"/>
    </xf>
    <xf numFmtId="0" fontId="37" fillId="0" borderId="62" xfId="0" applyFont="1" applyFill="1" applyBorder="1" applyAlignment="1">
      <alignment horizontal="center" vertical="center" wrapText="1" shrinkToFit="1"/>
    </xf>
    <xf numFmtId="0" fontId="37" fillId="0" borderId="9" xfId="0" applyFont="1" applyBorder="1" applyAlignment="1">
      <alignment horizontal="center" vertical="center"/>
    </xf>
    <xf numFmtId="0" fontId="37" fillId="0" borderId="10" xfId="0" applyFont="1" applyBorder="1" applyAlignment="1">
      <alignment horizontal="center" vertical="center"/>
    </xf>
    <xf numFmtId="0" fontId="37" fillId="0" borderId="12" xfId="0" applyFont="1" applyBorder="1" applyAlignment="1">
      <alignment horizontal="center" vertical="center" wrapText="1" shrinkToFit="1"/>
    </xf>
    <xf numFmtId="0" fontId="37" fillId="0" borderId="13" xfId="0" applyFont="1" applyBorder="1" applyAlignment="1">
      <alignment horizontal="center" vertical="center" wrapText="1" shrinkToFit="1"/>
    </xf>
    <xf numFmtId="0" fontId="37" fillId="0" borderId="1" xfId="0" applyFont="1" applyFill="1" applyBorder="1" applyAlignment="1">
      <alignment horizontal="center" vertical="center" wrapText="1" shrinkToFit="1"/>
    </xf>
    <xf numFmtId="0" fontId="28" fillId="8" borderId="0" xfId="1" applyFont="1" applyFill="1" applyAlignment="1" applyProtection="1">
      <alignment vertical="center"/>
      <protection locked="0"/>
    </xf>
    <xf numFmtId="0" fontId="29" fillId="8" borderId="0" xfId="1" applyFont="1" applyFill="1" applyAlignment="1">
      <alignment vertical="center"/>
    </xf>
    <xf numFmtId="0" fontId="39" fillId="8" borderId="0" xfId="1" applyFont="1" applyFill="1" applyAlignment="1">
      <alignment vertical="center"/>
    </xf>
    <xf numFmtId="0" fontId="29" fillId="8" borderId="0" xfId="1" applyFont="1" applyFill="1" applyAlignment="1">
      <alignment horizontal="center" vertical="center"/>
    </xf>
    <xf numFmtId="0" fontId="29" fillId="8" borderId="0" xfId="1" applyFont="1" applyFill="1" applyBorder="1" applyAlignment="1">
      <alignment vertical="center"/>
    </xf>
    <xf numFmtId="0" fontId="29" fillId="8" borderId="0" xfId="1" applyFont="1" applyFill="1" applyBorder="1" applyAlignment="1">
      <alignment horizontal="right" vertical="center"/>
    </xf>
    <xf numFmtId="0" fontId="30" fillId="8" borderId="0" xfId="1" applyFont="1" applyFill="1" applyBorder="1" applyAlignment="1">
      <alignment horizontal="center" vertical="center"/>
    </xf>
    <xf numFmtId="0" fontId="29" fillId="8" borderId="0" xfId="1" applyFont="1" applyFill="1" applyBorder="1" applyAlignment="1">
      <alignment horizontal="center" vertical="center"/>
    </xf>
    <xf numFmtId="0" fontId="46" fillId="8" borderId="0" xfId="1" applyFont="1" applyFill="1" applyBorder="1" applyAlignment="1">
      <alignment horizontal="center" vertical="center"/>
    </xf>
    <xf numFmtId="0" fontId="29" fillId="5" borderId="74" xfId="1" applyFont="1" applyFill="1" applyBorder="1" applyAlignment="1">
      <alignment vertical="center"/>
    </xf>
    <xf numFmtId="0" fontId="29" fillId="7" borderId="74" xfId="1" applyFont="1" applyFill="1" applyBorder="1" applyAlignment="1">
      <alignment vertical="center"/>
    </xf>
    <xf numFmtId="0" fontId="29" fillId="7" borderId="75" xfId="1" applyFont="1" applyFill="1" applyBorder="1" applyAlignment="1">
      <alignment vertical="center"/>
    </xf>
    <xf numFmtId="0" fontId="29" fillId="7" borderId="75" xfId="3" applyFont="1" applyFill="1" applyBorder="1" applyAlignment="1">
      <alignment horizontal="right" vertical="center"/>
    </xf>
    <xf numFmtId="0" fontId="29" fillId="7" borderId="75" xfId="3" applyFont="1" applyFill="1" applyBorder="1" applyAlignment="1">
      <alignment horizontal="left" vertical="center"/>
    </xf>
    <xf numFmtId="0" fontId="29" fillId="7" borderId="76" xfId="1" applyFont="1" applyFill="1" applyBorder="1" applyAlignment="1">
      <alignment vertical="center"/>
    </xf>
    <xf numFmtId="0" fontId="29" fillId="6" borderId="74" xfId="1" applyFont="1" applyFill="1" applyBorder="1" applyAlignment="1">
      <alignment vertical="center"/>
    </xf>
    <xf numFmtId="0" fontId="29" fillId="6" borderId="75" xfId="1" applyFont="1" applyFill="1" applyBorder="1" applyAlignment="1">
      <alignment vertical="center"/>
    </xf>
    <xf numFmtId="0" fontId="29" fillId="6" borderId="76" xfId="1" applyFont="1" applyFill="1" applyBorder="1" applyAlignment="1">
      <alignment vertical="center"/>
    </xf>
    <xf numFmtId="0" fontId="29" fillId="0" borderId="0" xfId="1" applyFont="1" applyFill="1" applyAlignment="1">
      <alignment vertical="center"/>
    </xf>
    <xf numFmtId="0" fontId="29" fillId="2" borderId="74" xfId="1" applyFont="1" applyFill="1" applyBorder="1" applyAlignment="1">
      <alignment vertical="center"/>
    </xf>
    <xf numFmtId="0" fontId="29" fillId="2" borderId="75" xfId="1" applyFont="1" applyFill="1" applyBorder="1" applyAlignment="1">
      <alignment vertical="center"/>
    </xf>
    <xf numFmtId="0" fontId="29" fillId="0" borderId="75" xfId="1" applyFont="1" applyFill="1" applyBorder="1" applyAlignment="1">
      <alignment vertical="center"/>
    </xf>
    <xf numFmtId="0" fontId="29" fillId="0" borderId="76" xfId="1" applyFont="1" applyFill="1" applyBorder="1" applyAlignment="1">
      <alignment vertical="center"/>
    </xf>
    <xf numFmtId="0" fontId="29" fillId="0" borderId="77" xfId="1" applyFont="1" applyFill="1" applyBorder="1" applyAlignment="1">
      <alignment horizontal="center" vertical="center"/>
    </xf>
    <xf numFmtId="164" fontId="29" fillId="8" borderId="0" xfId="1" applyNumberFormat="1" applyFont="1" applyFill="1" applyBorder="1" applyAlignment="1">
      <alignment horizontal="center" vertical="center"/>
    </xf>
    <xf numFmtId="0" fontId="29" fillId="8" borderId="75" xfId="1" applyFont="1" applyFill="1" applyBorder="1" applyAlignment="1">
      <alignment vertical="center"/>
    </xf>
    <xf numFmtId="0" fontId="0" fillId="8" borderId="0" xfId="0" applyFill="1"/>
    <xf numFmtId="0" fontId="0" fillId="8" borderId="0" xfId="0" applyFill="1" applyBorder="1"/>
    <xf numFmtId="0" fontId="29" fillId="6" borderId="75" xfId="3" applyFont="1" applyFill="1" applyBorder="1" applyAlignment="1">
      <alignment horizontal="right" vertical="center"/>
    </xf>
    <xf numFmtId="0" fontId="29" fillId="6" borderId="75" xfId="3" applyFont="1" applyFill="1" applyBorder="1" applyAlignment="1">
      <alignment horizontal="left" vertical="center"/>
    </xf>
    <xf numFmtId="0" fontId="29" fillId="8" borderId="74" xfId="1" applyFont="1" applyFill="1" applyBorder="1" applyAlignment="1">
      <alignment vertical="center"/>
    </xf>
    <xf numFmtId="0" fontId="29" fillId="8" borderId="75" xfId="3" applyFont="1" applyFill="1" applyBorder="1" applyAlignment="1">
      <alignment horizontal="left" vertical="center"/>
    </xf>
    <xf numFmtId="0" fontId="29" fillId="8" borderId="76" xfId="1" applyFont="1" applyFill="1" applyBorder="1" applyAlignment="1">
      <alignment vertical="center"/>
    </xf>
    <xf numFmtId="0" fontId="29" fillId="0" borderId="0" xfId="1" applyFont="1" applyFill="1" applyBorder="1" applyAlignment="1">
      <alignment horizontal="center" vertical="center"/>
    </xf>
    <xf numFmtId="0" fontId="29" fillId="2" borderId="75" xfId="1" applyFont="1" applyFill="1" applyBorder="1" applyAlignment="1">
      <alignment horizontal="right" vertical="center"/>
    </xf>
    <xf numFmtId="0" fontId="29" fillId="2" borderId="76" xfId="1" applyFont="1" applyFill="1" applyBorder="1" applyAlignment="1">
      <alignment vertical="center"/>
    </xf>
    <xf numFmtId="164" fontId="29" fillId="0" borderId="0" xfId="1" applyNumberFormat="1" applyFont="1" applyFill="1" applyBorder="1" applyAlignment="1">
      <alignment horizontal="center" vertical="center"/>
    </xf>
    <xf numFmtId="0" fontId="29" fillId="2" borderId="78" xfId="1" applyFont="1" applyFill="1" applyBorder="1" applyAlignment="1">
      <alignment vertical="center"/>
    </xf>
    <xf numFmtId="0" fontId="29" fillId="2" borderId="79" xfId="1" applyFont="1" applyFill="1" applyBorder="1" applyAlignment="1">
      <alignment vertical="center"/>
    </xf>
    <xf numFmtId="0" fontId="29" fillId="8" borderId="79" xfId="1" applyFont="1" applyFill="1" applyBorder="1" applyAlignment="1">
      <alignment vertical="center"/>
    </xf>
    <xf numFmtId="0" fontId="29" fillId="2" borderId="80" xfId="1" applyFont="1" applyFill="1" applyBorder="1" applyAlignment="1">
      <alignment vertical="center"/>
    </xf>
    <xf numFmtId="0" fontId="29" fillId="0" borderId="81" xfId="1" applyFont="1" applyFill="1" applyBorder="1" applyAlignment="1">
      <alignment horizontal="center" vertical="center"/>
    </xf>
    <xf numFmtId="0" fontId="7" fillId="0" borderId="0" xfId="4" applyFont="1" applyAlignment="1" applyProtection="1">
      <alignment vertical="center"/>
      <protection locked="0"/>
    </xf>
    <xf numFmtId="0" fontId="20" fillId="0" borderId="0" xfId="1" applyFont="1" applyAlignment="1" applyProtection="1">
      <alignment vertical="center"/>
      <protection locked="0"/>
    </xf>
    <xf numFmtId="0" fontId="12" fillId="0" borderId="0" xfId="4" applyFont="1" applyAlignment="1">
      <alignment vertical="center"/>
    </xf>
    <xf numFmtId="0" fontId="6" fillId="0" borderId="0" xfId="4" applyFont="1" applyAlignment="1">
      <alignment vertical="center"/>
    </xf>
    <xf numFmtId="0" fontId="6" fillId="0" borderId="0" xfId="4" applyFont="1" applyAlignment="1" applyProtection="1">
      <alignment vertical="center"/>
      <protection locked="0"/>
    </xf>
    <xf numFmtId="0" fontId="20" fillId="0" borderId="0" xfId="4" applyFont="1" applyAlignment="1" applyProtection="1">
      <alignment vertical="center"/>
      <protection locked="0"/>
    </xf>
    <xf numFmtId="0" fontId="6" fillId="0" borderId="0" xfId="4" applyFont="1" applyFill="1" applyAlignment="1" applyProtection="1">
      <alignment horizontal="right" vertical="center"/>
      <protection locked="0"/>
    </xf>
    <xf numFmtId="0" fontId="12" fillId="0" borderId="9" xfId="0" applyFont="1" applyBorder="1" applyAlignment="1">
      <alignment horizontal="center" vertical="center"/>
    </xf>
    <xf numFmtId="0" fontId="12" fillId="0" borderId="18" xfId="0" applyFont="1" applyFill="1" applyBorder="1" applyAlignment="1">
      <alignment horizontal="center" vertical="center" wrapText="1" shrinkToFit="1"/>
    </xf>
    <xf numFmtId="0" fontId="12" fillId="4" borderId="1" xfId="0" applyFont="1" applyFill="1" applyBorder="1" applyAlignment="1">
      <alignment horizontal="center" vertical="center" wrapText="1" shrinkToFit="1"/>
    </xf>
    <xf numFmtId="0" fontId="12" fillId="0" borderId="15" xfId="4" applyFont="1" applyBorder="1" applyAlignment="1">
      <alignment horizontal="center" vertical="center"/>
    </xf>
    <xf numFmtId="0" fontId="6" fillId="0" borderId="30" xfId="4" applyFont="1" applyBorder="1" applyAlignment="1">
      <alignment horizontal="center" vertical="center"/>
    </xf>
    <xf numFmtId="0" fontId="8" fillId="0" borderId="0" xfId="4" applyFont="1" applyAlignment="1">
      <alignment vertical="center"/>
    </xf>
    <xf numFmtId="0" fontId="23" fillId="0" borderId="0" xfId="0" applyFont="1" applyAlignment="1">
      <alignment vertical="center"/>
    </xf>
    <xf numFmtId="0" fontId="12" fillId="0" borderId="30" xfId="0" applyFont="1" applyBorder="1" applyAlignment="1">
      <alignment horizontal="center" vertical="center"/>
    </xf>
    <xf numFmtId="0" fontId="12" fillId="0" borderId="10" xfId="0" applyFont="1" applyBorder="1" applyAlignment="1">
      <alignment horizontal="center" vertical="center" wrapText="1" shrinkToFit="1"/>
    </xf>
    <xf numFmtId="0" fontId="12" fillId="0" borderId="82" xfId="0" applyFont="1" applyFill="1" applyBorder="1" applyAlignment="1">
      <alignment horizontal="center" vertical="center" wrapText="1" shrinkToFit="1"/>
    </xf>
    <xf numFmtId="0" fontId="12" fillId="0" borderId="45" xfId="0" applyFont="1" applyFill="1" applyBorder="1" applyAlignment="1">
      <alignment horizontal="center" vertical="center"/>
    </xf>
    <xf numFmtId="0" fontId="12" fillId="0" borderId="50" xfId="0" applyFont="1" applyFill="1" applyBorder="1" applyAlignment="1">
      <alignment vertical="center"/>
    </xf>
    <xf numFmtId="0" fontId="12" fillId="0" borderId="83" xfId="0" applyFont="1" applyFill="1" applyBorder="1" applyAlignment="1">
      <alignment vertical="center"/>
    </xf>
    <xf numFmtId="0" fontId="12" fillId="0" borderId="84" xfId="0" applyFont="1" applyFill="1" applyBorder="1" applyAlignment="1">
      <alignment horizontal="center" vertical="center"/>
    </xf>
    <xf numFmtId="0" fontId="12" fillId="0" borderId="51" xfId="0" applyFont="1" applyFill="1" applyBorder="1" applyAlignment="1">
      <alignment vertical="center"/>
    </xf>
    <xf numFmtId="0" fontId="24" fillId="0" borderId="50" xfId="0" applyFont="1" applyFill="1" applyBorder="1" applyAlignment="1">
      <alignment horizontal="right" vertical="center"/>
    </xf>
    <xf numFmtId="0" fontId="47" fillId="0" borderId="0" xfId="0" applyFont="1" applyAlignment="1">
      <alignment vertical="center"/>
    </xf>
    <xf numFmtId="0" fontId="0" fillId="0" borderId="0" xfId="0" applyAlignment="1">
      <alignment horizontal="right" vertical="center"/>
    </xf>
    <xf numFmtId="0" fontId="0" fillId="0" borderId="0" xfId="0" applyFont="1" applyAlignment="1">
      <alignment vertical="center"/>
    </xf>
    <xf numFmtId="0" fontId="41" fillId="4" borderId="30" xfId="0" applyFont="1" applyFill="1" applyBorder="1" applyAlignment="1">
      <alignment horizontal="center" vertical="center"/>
    </xf>
    <xf numFmtId="0" fontId="44" fillId="9" borderId="0" xfId="0"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Alignment="1">
      <alignment horizontal="right" vertical="center"/>
    </xf>
    <xf numFmtId="0" fontId="44" fillId="9" borderId="30" xfId="0" applyFont="1" applyFill="1" applyBorder="1" applyAlignment="1">
      <alignment horizontal="center" vertical="center"/>
    </xf>
    <xf numFmtId="0" fontId="44" fillId="9" borderId="83" xfId="0" applyFont="1" applyFill="1" applyBorder="1" applyAlignment="1">
      <alignment horizontal="center" vertical="center"/>
    </xf>
    <xf numFmtId="0" fontId="41" fillId="0" borderId="30" xfId="0" applyFont="1" applyBorder="1" applyAlignment="1">
      <alignment horizontal="center" vertical="center"/>
    </xf>
    <xf numFmtId="0" fontId="41" fillId="0" borderId="45" xfId="0" applyFont="1" applyBorder="1" applyAlignment="1">
      <alignment vertical="center"/>
    </xf>
    <xf numFmtId="0" fontId="41" fillId="0" borderId="87" xfId="0" applyFont="1" applyBorder="1" applyAlignment="1">
      <alignment vertical="center"/>
    </xf>
    <xf numFmtId="16" fontId="41" fillId="0" borderId="45" xfId="0" applyNumberFormat="1" applyFont="1" applyBorder="1" applyAlignment="1">
      <alignment horizontal="left" vertical="center"/>
    </xf>
    <xf numFmtId="0" fontId="48" fillId="0" borderId="0" xfId="0" applyFont="1" applyAlignment="1">
      <alignment vertical="center"/>
    </xf>
    <xf numFmtId="0" fontId="41" fillId="0" borderId="27" xfId="0" applyFont="1" applyBorder="1" applyAlignment="1">
      <alignment vertical="center"/>
    </xf>
    <xf numFmtId="0" fontId="29" fillId="6" borderId="77" xfId="1" applyFont="1" applyFill="1" applyBorder="1" applyAlignment="1">
      <alignment horizontal="center" vertical="center"/>
    </xf>
    <xf numFmtId="0" fontId="29" fillId="10" borderId="89" xfId="1" applyFont="1" applyFill="1" applyBorder="1" applyAlignment="1">
      <alignment horizontal="center" vertical="center"/>
    </xf>
    <xf numFmtId="0" fontId="29" fillId="10" borderId="90" xfId="1" applyFont="1" applyFill="1" applyBorder="1" applyAlignment="1">
      <alignment horizontal="center" vertical="center"/>
    </xf>
    <xf numFmtId="0" fontId="29" fillId="8" borderId="77" xfId="1" applyFont="1" applyFill="1" applyBorder="1" applyAlignment="1">
      <alignment horizontal="center" vertical="center"/>
    </xf>
    <xf numFmtId="0" fontId="29" fillId="5" borderId="77" xfId="1" applyFont="1" applyFill="1" applyBorder="1" applyAlignment="1">
      <alignment horizontal="center" vertical="center"/>
    </xf>
    <xf numFmtId="0" fontId="29" fillId="7" borderId="77" xfId="1" applyFont="1" applyFill="1" applyBorder="1" applyAlignment="1">
      <alignment horizontal="center" vertical="center"/>
    </xf>
    <xf numFmtId="0" fontId="0" fillId="0" borderId="0" xfId="0" applyFont="1" applyFill="1" applyBorder="1" applyAlignment="1">
      <alignment horizontal="center" vertical="center"/>
    </xf>
    <xf numFmtId="0" fontId="26" fillId="0" borderId="0" xfId="0" applyFont="1" applyFill="1" applyBorder="1" applyAlignment="1">
      <alignment vertical="center"/>
    </xf>
    <xf numFmtId="0" fontId="0" fillId="0" borderId="0" xfId="0" applyFont="1" applyFill="1" applyAlignment="1">
      <alignment vertical="center"/>
    </xf>
    <xf numFmtId="0" fontId="44" fillId="0" borderId="30" xfId="0" applyFont="1" applyBorder="1" applyAlignment="1">
      <alignment horizontal="center" vertical="center"/>
    </xf>
    <xf numFmtId="0" fontId="41" fillId="0" borderId="0" xfId="0" applyFont="1" applyFill="1" applyBorder="1" applyAlignment="1">
      <alignment vertical="center"/>
    </xf>
    <xf numFmtId="0" fontId="41" fillId="0" borderId="0" xfId="0" applyFont="1" applyBorder="1" applyAlignment="1">
      <alignment vertical="center"/>
    </xf>
    <xf numFmtId="0" fontId="44" fillId="9" borderId="91" xfId="0" applyFont="1" applyFill="1" applyBorder="1" applyAlignment="1">
      <alignment vertical="center"/>
    </xf>
    <xf numFmtId="0" fontId="37" fillId="0" borderId="12" xfId="0" applyFont="1" applyFill="1" applyBorder="1" applyAlignment="1">
      <alignment horizontal="center" vertical="center" wrapText="1" shrinkToFit="1"/>
    </xf>
    <xf numFmtId="0" fontId="37" fillId="0" borderId="92" xfId="0" applyFont="1" applyBorder="1" applyAlignment="1">
      <alignment horizontal="center" vertical="center"/>
    </xf>
    <xf numFmtId="0" fontId="37" fillId="0" borderId="93" xfId="0" applyFont="1" applyBorder="1" applyAlignment="1">
      <alignment horizontal="center" vertical="center" wrapText="1" shrinkToFit="1"/>
    </xf>
    <xf numFmtId="0" fontId="44" fillId="6" borderId="22" xfId="0" applyFont="1" applyFill="1" applyBorder="1" applyAlignment="1">
      <alignment horizontal="left" vertical="center"/>
    </xf>
    <xf numFmtId="0" fontId="41" fillId="0" borderId="22" xfId="0" applyFont="1" applyBorder="1" applyAlignment="1">
      <alignment horizontal="left" vertical="center"/>
    </xf>
    <xf numFmtId="0" fontId="49" fillId="0" borderId="22" xfId="0" applyFont="1" applyBorder="1" applyAlignment="1">
      <alignment horizontal="right" vertical="center"/>
    </xf>
    <xf numFmtId="0" fontId="44" fillId="9" borderId="22" xfId="0" applyFont="1" applyFill="1" applyBorder="1" applyAlignment="1">
      <alignment horizontal="left" vertical="center"/>
    </xf>
    <xf numFmtId="0" fontId="44" fillId="0" borderId="22" xfId="0" applyFont="1" applyBorder="1" applyAlignment="1">
      <alignment horizontal="left" vertical="center"/>
    </xf>
    <xf numFmtId="0" fontId="44" fillId="0" borderId="35" xfId="0" applyFont="1" applyBorder="1" applyAlignment="1">
      <alignment horizontal="left" vertical="center"/>
    </xf>
    <xf numFmtId="0" fontId="44" fillId="5" borderId="19" xfId="0" applyFont="1" applyFill="1" applyBorder="1" applyAlignment="1">
      <alignment vertical="center"/>
    </xf>
    <xf numFmtId="0" fontId="12" fillId="0" borderId="92" xfId="0" applyFont="1" applyBorder="1" applyAlignment="1">
      <alignment horizontal="center" vertical="center"/>
    </xf>
    <xf numFmtId="0" fontId="12" fillId="0" borderId="93" xfId="0" applyFont="1" applyBorder="1" applyAlignment="1">
      <alignment horizontal="center" vertical="center" wrapText="1" shrinkToFit="1"/>
    </xf>
    <xf numFmtId="0" fontId="44" fillId="4" borderId="94" xfId="0" applyFont="1" applyFill="1" applyBorder="1" applyAlignment="1">
      <alignment horizontal="center" vertical="center"/>
    </xf>
    <xf numFmtId="49" fontId="41" fillId="0" borderId="95" xfId="0" applyNumberFormat="1" applyFont="1" applyBorder="1" applyAlignment="1">
      <alignment horizontal="left" vertical="center"/>
    </xf>
    <xf numFmtId="0" fontId="41" fillId="0" borderId="95" xfId="0" applyFont="1" applyBorder="1" applyAlignment="1">
      <alignment horizontal="left" vertical="center"/>
    </xf>
    <xf numFmtId="0" fontId="49" fillId="0" borderId="95" xfId="0" applyFont="1" applyBorder="1" applyAlignment="1">
      <alignment horizontal="right" vertical="center"/>
    </xf>
    <xf numFmtId="0" fontId="44" fillId="9" borderId="97" xfId="0" applyFont="1" applyFill="1" applyBorder="1" applyAlignment="1">
      <alignment vertical="center"/>
    </xf>
    <xf numFmtId="0" fontId="29" fillId="0" borderId="79" xfId="1" applyFont="1" applyFill="1" applyBorder="1" applyAlignment="1">
      <alignment vertical="center"/>
    </xf>
    <xf numFmtId="0" fontId="29" fillId="0" borderId="80" xfId="1" applyFont="1" applyFill="1" applyBorder="1" applyAlignment="1">
      <alignment vertical="center"/>
    </xf>
    <xf numFmtId="0" fontId="29" fillId="8" borderId="81" xfId="1" applyFont="1" applyFill="1" applyBorder="1" applyAlignment="1">
      <alignment horizontal="center" vertical="center"/>
    </xf>
    <xf numFmtId="0" fontId="27" fillId="0" borderId="0" xfId="0" applyFont="1" applyAlignment="1">
      <alignment vertical="center"/>
    </xf>
    <xf numFmtId="0" fontId="41" fillId="0" borderId="0" xfId="0" applyFont="1" applyFill="1" applyAlignment="1">
      <alignment vertical="center"/>
    </xf>
    <xf numFmtId="0" fontId="44" fillId="4" borderId="22" xfId="0" applyFont="1" applyFill="1" applyBorder="1" applyAlignment="1">
      <alignment horizontal="left" vertical="center"/>
    </xf>
    <xf numFmtId="0" fontId="37" fillId="0" borderId="18" xfId="0" applyFont="1" applyFill="1" applyBorder="1" applyAlignment="1">
      <alignment horizontal="center" vertical="center" wrapText="1" shrinkToFit="1"/>
    </xf>
    <xf numFmtId="0" fontId="37" fillId="0" borderId="98" xfId="0" applyFont="1" applyFill="1" applyBorder="1" applyAlignment="1">
      <alignment horizontal="center" vertical="center" wrapText="1" shrinkToFit="1"/>
    </xf>
    <xf numFmtId="0" fontId="41" fillId="0" borderId="0" xfId="0" applyFont="1" applyFill="1" applyBorder="1" applyAlignment="1">
      <alignment horizontal="center" vertical="center"/>
    </xf>
    <xf numFmtId="0" fontId="14" fillId="0" borderId="0" xfId="4" applyFont="1" applyFill="1" applyBorder="1" applyAlignment="1">
      <alignment horizontal="center" vertical="center"/>
    </xf>
    <xf numFmtId="0" fontId="22" fillId="0" borderId="0" xfId="1" applyFont="1" applyFill="1" applyBorder="1" applyAlignment="1" applyProtection="1">
      <alignment vertical="center"/>
      <protection locked="0"/>
    </xf>
    <xf numFmtId="0" fontId="22" fillId="0" borderId="0" xfId="4" applyFont="1" applyFill="1" applyBorder="1" applyAlignment="1">
      <alignment vertical="center"/>
    </xf>
    <xf numFmtId="0" fontId="22" fillId="0" borderId="0" xfId="4" applyFont="1" applyFill="1" applyAlignment="1">
      <alignment vertical="center"/>
    </xf>
    <xf numFmtId="0" fontId="8" fillId="0" borderId="0" xfId="4" applyFont="1" applyFill="1" applyAlignment="1">
      <alignment vertical="center"/>
    </xf>
    <xf numFmtId="0" fontId="21" fillId="0" borderId="0" xfId="0" applyFont="1" applyFill="1" applyBorder="1" applyAlignment="1">
      <alignment horizontal="left" vertical="center"/>
    </xf>
    <xf numFmtId="0" fontId="1" fillId="0" borderId="0" xfId="0" applyFont="1" applyFill="1" applyBorder="1" applyAlignment="1">
      <alignment vertical="center"/>
    </xf>
    <xf numFmtId="0" fontId="44" fillId="9" borderId="99" xfId="0" applyFont="1" applyFill="1" applyBorder="1" applyAlignment="1">
      <alignment horizontal="center" vertical="center"/>
    </xf>
    <xf numFmtId="0" fontId="44" fillId="4" borderId="30" xfId="0" applyFont="1" applyFill="1" applyBorder="1" applyAlignment="1">
      <alignment horizontal="center" vertical="center"/>
    </xf>
    <xf numFmtId="0" fontId="44" fillId="4" borderId="21" xfId="0" applyFont="1" applyFill="1" applyBorder="1" applyAlignment="1">
      <alignment horizontal="left" vertical="center"/>
    </xf>
    <xf numFmtId="0" fontId="44" fillId="6" borderId="30" xfId="0" applyFont="1" applyFill="1" applyBorder="1" applyAlignment="1">
      <alignment horizontal="center" vertical="center"/>
    </xf>
    <xf numFmtId="0" fontId="50" fillId="4" borderId="95" xfId="0" applyFont="1" applyFill="1" applyBorder="1" applyAlignment="1">
      <alignment horizontal="right" vertical="center"/>
    </xf>
    <xf numFmtId="0" fontId="50" fillId="9" borderId="95" xfId="0" applyFont="1" applyFill="1" applyBorder="1" applyAlignment="1">
      <alignment horizontal="right" vertical="center"/>
    </xf>
    <xf numFmtId="0" fontId="44" fillId="9" borderId="15" xfId="0" applyFont="1" applyFill="1" applyBorder="1" applyAlignment="1">
      <alignment horizontal="center" vertical="center"/>
    </xf>
    <xf numFmtId="0" fontId="44" fillId="4" borderId="33" xfId="0" applyFont="1" applyFill="1" applyBorder="1" applyAlignment="1">
      <alignment horizontal="center" vertical="center"/>
    </xf>
    <xf numFmtId="0" fontId="6" fillId="8" borderId="0" xfId="1" applyFont="1" applyFill="1" applyAlignment="1">
      <alignment vertical="center"/>
    </xf>
    <xf numFmtId="0" fontId="6" fillId="0" borderId="0" xfId="1" applyFont="1" applyFill="1" applyAlignment="1" applyProtection="1">
      <alignment horizontal="left" vertical="center"/>
      <protection locked="0"/>
    </xf>
    <xf numFmtId="0" fontId="6" fillId="0" borderId="45" xfId="0" applyFont="1" applyFill="1" applyBorder="1" applyAlignment="1">
      <alignment horizontal="center" vertical="center"/>
    </xf>
    <xf numFmtId="0" fontId="6" fillId="0" borderId="50" xfId="0" applyFont="1" applyFill="1" applyBorder="1" applyAlignment="1">
      <alignment vertical="center"/>
    </xf>
    <xf numFmtId="0" fontId="46" fillId="0" borderId="18" xfId="1" applyFont="1" applyFill="1" applyBorder="1" applyAlignment="1">
      <alignment horizontal="center" vertical="center"/>
    </xf>
    <xf numFmtId="0" fontId="46" fillId="0" borderId="13" xfId="1" applyFont="1" applyFill="1" applyBorder="1" applyAlignment="1">
      <alignment horizontal="center" vertical="center"/>
    </xf>
    <xf numFmtId="0" fontId="46" fillId="0" borderId="1" xfId="1" applyFont="1" applyFill="1" applyBorder="1" applyAlignment="1">
      <alignment horizontal="center" vertical="center"/>
    </xf>
    <xf numFmtId="0" fontId="29" fillId="0" borderId="10" xfId="1" applyFont="1" applyFill="1" applyBorder="1" applyAlignment="1">
      <alignment horizontal="center" vertical="center"/>
    </xf>
    <xf numFmtId="0" fontId="29" fillId="0" borderId="22" xfId="1" applyFont="1" applyFill="1" applyBorder="1" applyAlignment="1">
      <alignment horizontal="center" vertical="center"/>
    </xf>
    <xf numFmtId="0" fontId="29" fillId="0" borderId="30" xfId="1" applyFont="1" applyFill="1" applyBorder="1" applyAlignment="1">
      <alignment horizontal="center" vertical="center"/>
    </xf>
    <xf numFmtId="0" fontId="29" fillId="11" borderId="74" xfId="1" applyFont="1" applyFill="1" applyBorder="1" applyAlignment="1">
      <alignment vertical="center"/>
    </xf>
    <xf numFmtId="0" fontId="29" fillId="12" borderId="74" xfId="1" applyFont="1" applyFill="1" applyBorder="1" applyAlignment="1">
      <alignment vertical="center"/>
    </xf>
    <xf numFmtId="0" fontId="29" fillId="13" borderId="74" xfId="1" applyFont="1" applyFill="1" applyBorder="1" applyAlignment="1">
      <alignment vertical="center"/>
    </xf>
    <xf numFmtId="0" fontId="29" fillId="14" borderId="74" xfId="1" applyFont="1" applyFill="1" applyBorder="1" applyAlignment="1">
      <alignment vertical="center"/>
    </xf>
    <xf numFmtId="0" fontId="29" fillId="14" borderId="78" xfId="1" applyFont="1" applyFill="1" applyBorder="1" applyAlignment="1">
      <alignment vertical="center"/>
    </xf>
    <xf numFmtId="0" fontId="6" fillId="0" borderId="31" xfId="4" applyFont="1" applyBorder="1" applyAlignment="1">
      <alignment horizontal="center" vertical="center"/>
    </xf>
    <xf numFmtId="0" fontId="33" fillId="0" borderId="83" xfId="1" applyFont="1" applyBorder="1" applyAlignment="1" applyProtection="1">
      <alignment horizontal="center" vertical="center" wrapText="1"/>
      <protection locked="0"/>
    </xf>
    <xf numFmtId="0" fontId="28" fillId="0" borderId="0" xfId="0" applyFont="1" applyAlignment="1">
      <alignment vertical="center"/>
    </xf>
    <xf numFmtId="0" fontId="29" fillId="0" borderId="30" xfId="0" applyFont="1" applyBorder="1" applyAlignment="1">
      <alignment horizontal="center" vertical="center"/>
    </xf>
    <xf numFmtId="165" fontId="29" fillId="5" borderId="101" xfId="1" applyNumberFormat="1" applyFont="1" applyFill="1" applyBorder="1" applyAlignment="1">
      <alignment horizontal="right" vertical="center"/>
    </xf>
    <xf numFmtId="3" fontId="29" fillId="5" borderId="16" xfId="1" applyNumberFormat="1" applyFont="1" applyFill="1" applyBorder="1" applyAlignment="1">
      <alignment horizontal="right" vertical="center"/>
    </xf>
    <xf numFmtId="3" fontId="29" fillId="5" borderId="63" xfId="1" applyNumberFormat="1" applyFont="1" applyFill="1" applyBorder="1" applyAlignment="1">
      <alignment horizontal="right" vertical="center"/>
    </xf>
    <xf numFmtId="3" fontId="29" fillId="5" borderId="40" xfId="1" applyNumberFormat="1" applyFont="1" applyFill="1" applyBorder="1" applyAlignment="1">
      <alignment horizontal="right" vertical="center"/>
    </xf>
    <xf numFmtId="3" fontId="29" fillId="6" borderId="9" xfId="1" applyNumberFormat="1" applyFont="1" applyFill="1" applyBorder="1" applyAlignment="1" applyProtection="1">
      <alignment horizontal="right" vertical="center"/>
      <protection locked="0"/>
    </xf>
    <xf numFmtId="3" fontId="29" fillId="6" borderId="10" xfId="1" applyNumberFormat="1" applyFont="1" applyFill="1" applyBorder="1" applyAlignment="1" applyProtection="1">
      <alignment horizontal="right" vertical="center"/>
      <protection locked="0"/>
    </xf>
    <xf numFmtId="3" fontId="29" fillId="15" borderId="10" xfId="1" applyNumberFormat="1" applyFont="1" applyFill="1" applyBorder="1" applyAlignment="1">
      <alignment horizontal="right" vertical="center"/>
    </xf>
    <xf numFmtId="3" fontId="29" fillId="6" borderId="22" xfId="1" applyNumberFormat="1" applyFont="1" applyFill="1" applyBorder="1" applyAlignment="1" applyProtection="1">
      <alignment horizontal="right" vertical="center"/>
      <protection locked="0"/>
    </xf>
    <xf numFmtId="3" fontId="29" fillId="6" borderId="102" xfId="1" applyNumberFormat="1" applyFont="1" applyFill="1" applyBorder="1" applyAlignment="1" applyProtection="1">
      <alignment horizontal="right" vertical="center"/>
      <protection locked="0"/>
    </xf>
    <xf numFmtId="3" fontId="29" fillId="6" borderId="103" xfId="1" applyNumberFormat="1" applyFont="1" applyFill="1" applyBorder="1" applyAlignment="1" applyProtection="1">
      <alignment horizontal="right" vertical="center"/>
      <protection locked="0"/>
    </xf>
    <xf numFmtId="3" fontId="29" fillId="15" borderId="29" xfId="1" applyNumberFormat="1" applyFont="1" applyFill="1" applyBorder="1" applyAlignment="1">
      <alignment horizontal="right" vertical="center"/>
    </xf>
    <xf numFmtId="3" fontId="29" fillId="6" borderId="104" xfId="1" applyNumberFormat="1" applyFont="1" applyFill="1" applyBorder="1" applyAlignment="1" applyProtection="1">
      <alignment horizontal="right" vertical="center"/>
      <protection locked="0"/>
    </xf>
    <xf numFmtId="3" fontId="29" fillId="0" borderId="6" xfId="1" applyNumberFormat="1" applyFont="1" applyBorder="1" applyAlignment="1" applyProtection="1">
      <alignment horizontal="right" vertical="center"/>
      <protection locked="0"/>
    </xf>
    <xf numFmtId="3" fontId="29" fillId="0" borderId="7" xfId="1" applyNumberFormat="1" applyFont="1" applyBorder="1" applyAlignment="1" applyProtection="1">
      <alignment horizontal="right" vertical="center"/>
      <protection locked="0"/>
    </xf>
    <xf numFmtId="3" fontId="29" fillId="0" borderId="105" xfId="1" applyNumberFormat="1" applyFont="1" applyFill="1" applyBorder="1" applyAlignment="1">
      <alignment horizontal="right" vertical="center"/>
    </xf>
    <xf numFmtId="3" fontId="29" fillId="0" borderId="21" xfId="1" applyNumberFormat="1" applyFont="1" applyBorder="1" applyAlignment="1" applyProtection="1">
      <alignment horizontal="right" vertical="center"/>
      <protection locked="0"/>
    </xf>
    <xf numFmtId="3" fontId="29" fillId="6" borderId="34" xfId="1" applyNumberFormat="1" applyFont="1" applyFill="1" applyBorder="1" applyAlignment="1" applyProtection="1">
      <alignment horizontal="right" vertical="center"/>
      <protection locked="0"/>
    </xf>
    <xf numFmtId="3" fontId="29" fillId="6" borderId="29" xfId="1" applyNumberFormat="1" applyFont="1" applyFill="1" applyBorder="1" applyAlignment="1" applyProtection="1">
      <alignment horizontal="right" vertical="center"/>
      <protection locked="0"/>
    </xf>
    <xf numFmtId="3" fontId="29" fillId="15" borderId="103" xfId="1" applyNumberFormat="1" applyFont="1" applyFill="1" applyBorder="1" applyAlignment="1">
      <alignment horizontal="right" vertical="center"/>
    </xf>
    <xf numFmtId="3" fontId="29" fillId="6" borderId="35" xfId="1" applyNumberFormat="1" applyFont="1" applyFill="1" applyBorder="1" applyAlignment="1" applyProtection="1">
      <alignment horizontal="right" vertical="center"/>
      <protection locked="0"/>
    </xf>
    <xf numFmtId="3" fontId="29" fillId="0" borderId="69" xfId="1" applyNumberFormat="1" applyFont="1" applyBorder="1" applyAlignment="1" applyProtection="1">
      <alignment horizontal="right" vertical="center"/>
      <protection locked="0"/>
    </xf>
    <xf numFmtId="3" fontId="29" fillId="0" borderId="58" xfId="1" applyNumberFormat="1" applyFont="1" applyBorder="1" applyAlignment="1" applyProtection="1">
      <alignment horizontal="right" vertical="center"/>
      <protection locked="0"/>
    </xf>
    <xf numFmtId="3" fontId="29" fillId="0" borderId="58" xfId="1" applyNumberFormat="1" applyFont="1" applyFill="1" applyBorder="1" applyAlignment="1">
      <alignment horizontal="right" vertical="center"/>
    </xf>
    <xf numFmtId="3" fontId="29" fillId="0" borderId="106" xfId="1" applyNumberFormat="1" applyFont="1" applyBorder="1" applyAlignment="1" applyProtection="1">
      <alignment horizontal="right" vertical="center"/>
      <protection locked="0"/>
    </xf>
    <xf numFmtId="3" fontId="29" fillId="0" borderId="100" xfId="1" applyNumberFormat="1" applyFont="1" applyBorder="1" applyAlignment="1" applyProtection="1">
      <alignment horizontal="right" vertical="center"/>
      <protection locked="0"/>
    </xf>
    <xf numFmtId="3" fontId="29" fillId="0" borderId="41" xfId="1" applyNumberFormat="1" applyFont="1" applyBorder="1" applyAlignment="1" applyProtection="1">
      <alignment horizontal="right" vertical="center"/>
      <protection locked="0"/>
    </xf>
    <xf numFmtId="3" fontId="29" fillId="0" borderId="59" xfId="1" applyNumberFormat="1" applyFont="1" applyFill="1" applyBorder="1" applyAlignment="1">
      <alignment horizontal="right" vertical="center"/>
    </xf>
    <xf numFmtId="3" fontId="29" fillId="0" borderId="42" xfId="1" applyNumberFormat="1" applyFont="1" applyBorder="1" applyAlignment="1" applyProtection="1">
      <alignment horizontal="right" vertical="center"/>
      <protection locked="0"/>
    </xf>
    <xf numFmtId="3" fontId="29" fillId="10" borderId="90" xfId="1" applyNumberFormat="1" applyFont="1" applyFill="1" applyBorder="1" applyAlignment="1">
      <alignment horizontal="right" vertical="center"/>
    </xf>
    <xf numFmtId="3" fontId="29" fillId="10" borderId="107" xfId="1" applyNumberFormat="1" applyFont="1" applyFill="1" applyBorder="1" applyAlignment="1">
      <alignment horizontal="right" vertical="center"/>
    </xf>
    <xf numFmtId="3" fontId="29" fillId="10" borderId="108" xfId="1" applyNumberFormat="1" applyFont="1" applyFill="1" applyBorder="1" applyAlignment="1">
      <alignment horizontal="right" vertical="center"/>
    </xf>
    <xf numFmtId="3" fontId="29" fillId="5" borderId="77" xfId="1" applyNumberFormat="1" applyFont="1" applyFill="1" applyBorder="1" applyAlignment="1">
      <alignment horizontal="right" vertical="center"/>
    </xf>
    <xf numFmtId="3" fontId="29" fillId="5" borderId="109" xfId="1" applyNumberFormat="1" applyFont="1" applyFill="1" applyBorder="1" applyAlignment="1">
      <alignment horizontal="right" vertical="center"/>
    </xf>
    <xf numFmtId="3" fontId="29" fillId="5" borderId="110" xfId="1" applyNumberFormat="1" applyFont="1" applyFill="1" applyBorder="1" applyAlignment="1">
      <alignment horizontal="right" vertical="center"/>
    </xf>
    <xf numFmtId="3" fontId="29" fillId="7" borderId="77" xfId="1" applyNumberFormat="1" applyFont="1" applyFill="1" applyBorder="1" applyAlignment="1">
      <alignment horizontal="right" vertical="center"/>
    </xf>
    <xf numFmtId="3" fontId="29" fillId="7" borderId="109" xfId="1" applyNumberFormat="1" applyFont="1" applyFill="1" applyBorder="1" applyAlignment="1">
      <alignment horizontal="right" vertical="center"/>
    </xf>
    <xf numFmtId="3" fontId="29" fillId="7" borderId="110" xfId="1" applyNumberFormat="1" applyFont="1" applyFill="1" applyBorder="1" applyAlignment="1">
      <alignment horizontal="right" vertical="center"/>
    </xf>
    <xf numFmtId="3" fontId="29" fillId="6" borderId="77" xfId="1" applyNumberFormat="1" applyFont="1" applyFill="1" applyBorder="1" applyAlignment="1">
      <alignment horizontal="right" vertical="center"/>
    </xf>
    <xf numFmtId="3" fontId="29" fillId="6" borderId="109" xfId="1" applyNumberFormat="1" applyFont="1" applyFill="1" applyBorder="1" applyAlignment="1">
      <alignment horizontal="right" vertical="center"/>
    </xf>
    <xf numFmtId="3" fontId="29" fillId="6" borderId="110" xfId="1" applyNumberFormat="1" applyFont="1" applyFill="1" applyBorder="1" applyAlignment="1">
      <alignment horizontal="right" vertical="center"/>
    </xf>
    <xf numFmtId="3" fontId="29" fillId="0" borderId="77" xfId="1" applyNumberFormat="1" applyFont="1" applyFill="1" applyBorder="1" applyAlignment="1">
      <alignment horizontal="right" vertical="center"/>
    </xf>
    <xf numFmtId="3" fontId="29" fillId="0" borderId="109" xfId="1" applyNumberFormat="1" applyFont="1" applyFill="1" applyBorder="1" applyAlignment="1">
      <alignment horizontal="right" vertical="center"/>
    </xf>
    <xf numFmtId="3" fontId="29" fillId="0" borderId="110" xfId="1" applyNumberFormat="1" applyFont="1" applyFill="1" applyBorder="1" applyAlignment="1">
      <alignment horizontal="right" vertical="center"/>
    </xf>
    <xf numFmtId="3" fontId="29" fillId="0" borderId="81" xfId="1" applyNumberFormat="1" applyFont="1" applyFill="1" applyBorder="1" applyAlignment="1">
      <alignment horizontal="right" vertical="center"/>
    </xf>
    <xf numFmtId="3" fontId="29" fillId="0" borderId="111" xfId="1" applyNumberFormat="1" applyFont="1" applyFill="1" applyBorder="1" applyAlignment="1">
      <alignment horizontal="right" vertical="center"/>
    </xf>
    <xf numFmtId="3" fontId="29" fillId="0" borderId="112" xfId="1" applyNumberFormat="1" applyFont="1" applyFill="1" applyBorder="1" applyAlignment="1">
      <alignment horizontal="right" vertical="center"/>
    </xf>
    <xf numFmtId="3" fontId="0" fillId="8" borderId="0" xfId="0" applyNumberFormat="1" applyFill="1" applyAlignment="1">
      <alignment horizontal="right"/>
    </xf>
    <xf numFmtId="3" fontId="29" fillId="10" borderId="77" xfId="1" applyNumberFormat="1" applyFont="1" applyFill="1" applyBorder="1" applyAlignment="1">
      <alignment horizontal="right" vertical="center"/>
    </xf>
    <xf numFmtId="3" fontId="29" fillId="10" borderId="109" xfId="1" applyNumberFormat="1" applyFont="1" applyFill="1" applyBorder="1" applyAlignment="1">
      <alignment horizontal="right" vertical="center"/>
    </xf>
    <xf numFmtId="3" fontId="29" fillId="10" borderId="110" xfId="1" applyNumberFormat="1" applyFont="1" applyFill="1" applyBorder="1" applyAlignment="1">
      <alignment horizontal="right" vertical="center"/>
    </xf>
    <xf numFmtId="3" fontId="29" fillId="9" borderId="63" xfId="1" applyNumberFormat="1" applyFont="1" applyFill="1" applyBorder="1" applyAlignment="1">
      <alignment horizontal="right" vertical="center"/>
    </xf>
    <xf numFmtId="3" fontId="29" fillId="9" borderId="113" xfId="1" applyNumberFormat="1" applyFont="1" applyFill="1" applyBorder="1" applyAlignment="1">
      <alignment horizontal="right" vertical="center"/>
    </xf>
    <xf numFmtId="3" fontId="44" fillId="0" borderId="0" xfId="0" applyNumberFormat="1" applyFont="1" applyAlignment="1">
      <alignment horizontal="right" vertical="center"/>
    </xf>
    <xf numFmtId="3" fontId="29" fillId="9" borderId="114" xfId="1" applyNumberFormat="1" applyFont="1" applyFill="1" applyBorder="1" applyAlignment="1">
      <alignment horizontal="right" vertical="center"/>
    </xf>
    <xf numFmtId="3" fontId="29" fillId="4" borderId="10" xfId="1" applyNumberFormat="1" applyFont="1" applyFill="1" applyBorder="1" applyAlignment="1">
      <alignment horizontal="right" vertical="center"/>
    </xf>
    <xf numFmtId="3" fontId="29" fillId="4" borderId="22" xfId="1" applyNumberFormat="1" applyFont="1" applyFill="1" applyBorder="1" applyAlignment="1">
      <alignment horizontal="right" vertical="center"/>
    </xf>
    <xf numFmtId="3" fontId="41" fillId="0" borderId="0" xfId="0" applyNumberFormat="1" applyFont="1" applyAlignment="1">
      <alignment horizontal="right" vertical="center"/>
    </xf>
    <xf numFmtId="3" fontId="29" fillId="4" borderId="30" xfId="1" applyNumberFormat="1" applyFont="1" applyFill="1" applyBorder="1" applyAlignment="1">
      <alignment horizontal="right" vertical="center"/>
    </xf>
    <xf numFmtId="3" fontId="29" fillId="0" borderId="10" xfId="1" applyNumberFormat="1" applyFont="1" applyFill="1" applyBorder="1" applyAlignment="1">
      <alignment horizontal="right" vertical="center"/>
    </xf>
    <xf numFmtId="3" fontId="29" fillId="0" borderId="22" xfId="1" applyNumberFormat="1" applyFont="1" applyFill="1" applyBorder="1" applyAlignment="1">
      <alignment horizontal="right" vertical="center"/>
    </xf>
    <xf numFmtId="3" fontId="0" fillId="0" borderId="0" xfId="0" applyNumberFormat="1" applyAlignment="1">
      <alignment horizontal="right" vertical="center"/>
    </xf>
    <xf numFmtId="3" fontId="29" fillId="0" borderId="30" xfId="1" applyNumberFormat="1" applyFont="1" applyFill="1" applyBorder="1" applyAlignment="1">
      <alignment horizontal="right" vertical="center"/>
    </xf>
    <xf numFmtId="3" fontId="29" fillId="9" borderId="10" xfId="1" applyNumberFormat="1" applyFont="1" applyFill="1" applyBorder="1" applyAlignment="1">
      <alignment horizontal="right" vertical="center"/>
    </xf>
    <xf numFmtId="3" fontId="29" fillId="9" borderId="22" xfId="1" applyNumberFormat="1" applyFont="1" applyFill="1" applyBorder="1" applyAlignment="1">
      <alignment horizontal="right" vertical="center"/>
    </xf>
    <xf numFmtId="3" fontId="29" fillId="9" borderId="30" xfId="1" applyNumberFormat="1" applyFont="1" applyFill="1" applyBorder="1" applyAlignment="1">
      <alignment horizontal="right" vertical="center"/>
    </xf>
    <xf numFmtId="3" fontId="29" fillId="9" borderId="115" xfId="1" applyNumberFormat="1" applyFont="1" applyFill="1" applyBorder="1" applyAlignment="1">
      <alignment horizontal="right" vertical="center"/>
    </xf>
    <xf numFmtId="3" fontId="41" fillId="0" borderId="62" xfId="0" applyNumberFormat="1" applyFont="1" applyFill="1" applyBorder="1" applyAlignment="1">
      <alignment horizontal="right" vertical="center"/>
    </xf>
    <xf numFmtId="3" fontId="29" fillId="4" borderId="92" xfId="1" applyNumberFormat="1" applyFont="1" applyFill="1" applyBorder="1" applyAlignment="1">
      <alignment horizontal="right" vertical="center"/>
    </xf>
    <xf numFmtId="3" fontId="29" fillId="0" borderId="92" xfId="1" applyNumberFormat="1" applyFont="1" applyFill="1" applyBorder="1" applyAlignment="1">
      <alignment horizontal="right" vertical="center"/>
    </xf>
    <xf numFmtId="3" fontId="29" fillId="0" borderId="117" xfId="1" applyNumberFormat="1" applyFont="1" applyFill="1" applyBorder="1" applyAlignment="1">
      <alignment horizontal="right" vertical="center"/>
    </xf>
    <xf numFmtId="3" fontId="44" fillId="0" borderId="9" xfId="0" applyNumberFormat="1" applyFont="1" applyBorder="1" applyAlignment="1">
      <alignment horizontal="right" vertical="center"/>
    </xf>
    <xf numFmtId="3" fontId="44" fillId="0" borderId="10" xfId="0" applyNumberFormat="1" applyFont="1" applyBorder="1" applyAlignment="1">
      <alignment horizontal="right" vertical="center"/>
    </xf>
    <xf numFmtId="3" fontId="44" fillId="0" borderId="62" xfId="0" applyNumberFormat="1" applyFont="1" applyFill="1" applyBorder="1" applyAlignment="1">
      <alignment horizontal="right" vertical="center"/>
    </xf>
    <xf numFmtId="3" fontId="44" fillId="0" borderId="30" xfId="0" applyNumberFormat="1" applyFont="1" applyBorder="1" applyAlignment="1">
      <alignment horizontal="right" vertical="center"/>
    </xf>
    <xf numFmtId="3" fontId="41" fillId="0" borderId="9" xfId="0" applyNumberFormat="1" applyFont="1" applyBorder="1" applyAlignment="1">
      <alignment horizontal="right" vertical="center"/>
    </xf>
    <xf numFmtId="3" fontId="41" fillId="0" borderId="10" xfId="0" applyNumberFormat="1" applyFont="1" applyBorder="1" applyAlignment="1">
      <alignment horizontal="right" vertical="center"/>
    </xf>
    <xf numFmtId="3" fontId="41" fillId="0" borderId="118" xfId="0" applyNumberFormat="1" applyFont="1" applyBorder="1" applyAlignment="1">
      <alignment horizontal="right" vertical="center"/>
    </xf>
    <xf numFmtId="3" fontId="41" fillId="0" borderId="30" xfId="0" applyNumberFormat="1" applyFont="1" applyBorder="1" applyAlignment="1">
      <alignment horizontal="right" vertical="center"/>
    </xf>
    <xf numFmtId="3" fontId="44" fillId="0" borderId="118" xfId="0" applyNumberFormat="1" applyFont="1" applyBorder="1" applyAlignment="1">
      <alignment horizontal="right" vertical="center"/>
    </xf>
    <xf numFmtId="3" fontId="41" fillId="0" borderId="34" xfId="0" applyNumberFormat="1" applyFont="1" applyBorder="1" applyAlignment="1">
      <alignment horizontal="right" vertical="center"/>
    </xf>
    <xf numFmtId="3" fontId="41" fillId="0" borderId="29" xfId="0" applyNumberFormat="1" applyFont="1" applyBorder="1" applyAlignment="1">
      <alignment horizontal="right" vertical="center"/>
    </xf>
    <xf numFmtId="3" fontId="41" fillId="0" borderId="119" xfId="0" applyNumberFormat="1" applyFont="1" applyBorder="1" applyAlignment="1">
      <alignment horizontal="right" vertical="center"/>
    </xf>
    <xf numFmtId="3" fontId="41" fillId="0" borderId="31" xfId="0" applyNumberFormat="1" applyFont="1" applyBorder="1" applyAlignment="1">
      <alignment horizontal="right" vertical="center"/>
    </xf>
    <xf numFmtId="3" fontId="29" fillId="9" borderId="92" xfId="1" applyNumberFormat="1" applyFont="1" applyFill="1" applyBorder="1" applyAlignment="1">
      <alignment horizontal="right" vertical="center"/>
    </xf>
    <xf numFmtId="3" fontId="29" fillId="9" borderId="64" xfId="1" applyNumberFormat="1" applyFont="1" applyFill="1" applyBorder="1" applyAlignment="1">
      <alignment horizontal="right" vertical="center"/>
    </xf>
    <xf numFmtId="3" fontId="29" fillId="4" borderId="9" xfId="1" applyNumberFormat="1" applyFont="1" applyFill="1" applyBorder="1" applyAlignment="1">
      <alignment horizontal="right" vertical="center"/>
    </xf>
    <xf numFmtId="3" fontId="29" fillId="0" borderId="9" xfId="1" applyNumberFormat="1" applyFont="1" applyFill="1" applyBorder="1" applyAlignment="1">
      <alignment horizontal="right" vertical="center"/>
    </xf>
    <xf numFmtId="3" fontId="29" fillId="9" borderId="9" xfId="1" applyNumberFormat="1" applyFont="1" applyFill="1" applyBorder="1" applyAlignment="1">
      <alignment horizontal="right" vertical="center"/>
    </xf>
    <xf numFmtId="3" fontId="29" fillId="0" borderId="118" xfId="1" applyNumberFormat="1" applyFont="1" applyFill="1" applyBorder="1" applyAlignment="1">
      <alignment horizontal="right" vertical="center"/>
    </xf>
    <xf numFmtId="3" fontId="29" fillId="0" borderId="31" xfId="1" applyNumberFormat="1" applyFont="1" applyFill="1" applyBorder="1" applyAlignment="1">
      <alignment horizontal="right" vertical="center"/>
    </xf>
    <xf numFmtId="3" fontId="29" fillId="0" borderId="29" xfId="1" applyNumberFormat="1" applyFont="1" applyFill="1" applyBorder="1" applyAlignment="1">
      <alignment horizontal="right" vertical="center"/>
    </xf>
    <xf numFmtId="3" fontId="29" fillId="0" borderId="122" xfId="1" applyNumberFormat="1" applyFont="1" applyFill="1" applyBorder="1" applyAlignment="1">
      <alignment horizontal="right" vertical="center"/>
    </xf>
    <xf numFmtId="3" fontId="29" fillId="0" borderId="34" xfId="1" applyNumberFormat="1" applyFont="1" applyFill="1" applyBorder="1" applyAlignment="1">
      <alignment horizontal="right" vertical="center"/>
    </xf>
    <xf numFmtId="3" fontId="29" fillId="0" borderId="35" xfId="1" applyNumberFormat="1" applyFont="1" applyFill="1" applyBorder="1" applyAlignment="1">
      <alignment horizontal="right" vertical="center"/>
    </xf>
    <xf numFmtId="3" fontId="12" fillId="0" borderId="101" xfId="4" applyNumberFormat="1" applyFont="1" applyBorder="1" applyAlignment="1" applyProtection="1">
      <alignment horizontal="right" vertical="center"/>
      <protection locked="0"/>
    </xf>
    <xf numFmtId="3" fontId="12" fillId="0" borderId="15" xfId="4" applyNumberFormat="1" applyFont="1" applyBorder="1" applyAlignment="1">
      <alignment horizontal="right" vertical="center"/>
    </xf>
    <xf numFmtId="3" fontId="12" fillId="0" borderId="16" xfId="4" applyNumberFormat="1" applyFont="1" applyBorder="1" applyAlignment="1">
      <alignment horizontal="right" vertical="center"/>
    </xf>
    <xf numFmtId="3" fontId="29" fillId="0" borderId="16" xfId="1" applyNumberFormat="1" applyFont="1" applyFill="1" applyBorder="1" applyAlignment="1">
      <alignment horizontal="right" vertical="center"/>
    </xf>
    <xf numFmtId="3" fontId="29" fillId="0" borderId="40" xfId="1" applyNumberFormat="1" applyFont="1" applyFill="1" applyBorder="1" applyAlignment="1">
      <alignment horizontal="right" vertical="center"/>
    </xf>
    <xf numFmtId="3" fontId="12" fillId="0" borderId="0" xfId="4" applyNumberFormat="1" applyFont="1" applyAlignment="1">
      <alignment horizontal="right" vertical="center"/>
    </xf>
    <xf numFmtId="3" fontId="12" fillId="0" borderId="33" xfId="4" applyNumberFormat="1" applyFont="1" applyBorder="1" applyAlignment="1">
      <alignment horizontal="right" vertical="center"/>
    </xf>
    <xf numFmtId="3" fontId="12" fillId="0" borderId="7" xfId="4" applyNumberFormat="1" applyFont="1" applyBorder="1" applyAlignment="1">
      <alignment horizontal="right" vertical="center"/>
    </xf>
    <xf numFmtId="3" fontId="6" fillId="0" borderId="6" xfId="4" applyNumberFormat="1" applyFont="1" applyBorder="1" applyAlignment="1" applyProtection="1">
      <alignment horizontal="right" vertical="center"/>
      <protection locked="0"/>
    </xf>
    <xf numFmtId="3" fontId="6" fillId="0" borderId="30" xfId="4" applyNumberFormat="1" applyFont="1" applyBorder="1" applyAlignment="1">
      <alignment horizontal="right" vertical="center"/>
    </xf>
    <xf numFmtId="3" fontId="6" fillId="0" borderId="10" xfId="4" applyNumberFormat="1" applyFont="1" applyBorder="1" applyAlignment="1">
      <alignment horizontal="right" vertical="center"/>
    </xf>
    <xf numFmtId="3" fontId="6" fillId="0" borderId="0" xfId="4" applyNumberFormat="1" applyFont="1" applyAlignment="1">
      <alignment horizontal="right" vertical="center"/>
    </xf>
    <xf numFmtId="3" fontId="6" fillId="0" borderId="34" xfId="4" applyNumberFormat="1" applyFont="1" applyBorder="1" applyAlignment="1" applyProtection="1">
      <alignment horizontal="right" vertical="center"/>
      <protection locked="0"/>
    </xf>
    <xf numFmtId="3" fontId="6" fillId="0" borderId="31" xfId="4" applyNumberFormat="1" applyFont="1" applyBorder="1" applyAlignment="1">
      <alignment horizontal="right" vertical="center"/>
    </xf>
    <xf numFmtId="3" fontId="6" fillId="0" borderId="29" xfId="4" applyNumberFormat="1" applyFont="1" applyBorder="1" applyAlignment="1">
      <alignment horizontal="right" vertical="center"/>
    </xf>
    <xf numFmtId="3" fontId="6" fillId="0" borderId="18" xfId="4" applyNumberFormat="1" applyFont="1" applyBorder="1" applyAlignment="1">
      <alignment horizontal="right" vertical="center"/>
    </xf>
    <xf numFmtId="3" fontId="6" fillId="0" borderId="13" xfId="4" applyNumberFormat="1" applyFont="1" applyBorder="1" applyAlignment="1">
      <alignment horizontal="right" vertical="center"/>
    </xf>
    <xf numFmtId="3" fontId="22" fillId="9" borderId="23" xfId="1" applyNumberFormat="1" applyFont="1" applyFill="1" applyBorder="1" applyAlignment="1" applyProtection="1">
      <alignment horizontal="right" vertical="center"/>
      <protection locked="0"/>
    </xf>
    <xf numFmtId="3" fontId="22" fillId="0" borderId="0" xfId="4" applyNumberFormat="1" applyFont="1" applyAlignment="1">
      <alignment horizontal="right" vertical="center"/>
    </xf>
    <xf numFmtId="0" fontId="12" fillId="0" borderId="0" xfId="0" applyFont="1" applyAlignment="1">
      <alignment horizontal="left" vertical="center" wrapText="1"/>
    </xf>
    <xf numFmtId="0" fontId="52" fillId="9" borderId="17" xfId="0" applyFont="1" applyFill="1" applyBorder="1" applyAlignment="1">
      <alignment vertical="center"/>
    </xf>
    <xf numFmtId="49" fontId="44" fillId="9" borderId="17" xfId="0" applyNumberFormat="1" applyFont="1" applyFill="1" applyBorder="1" applyAlignment="1">
      <alignment horizontal="right" vertical="center"/>
    </xf>
    <xf numFmtId="0" fontId="51" fillId="0" borderId="56" xfId="0" applyFont="1" applyBorder="1" applyAlignment="1">
      <alignment vertical="center"/>
    </xf>
    <xf numFmtId="49" fontId="41" fillId="0" borderId="56" xfId="0" applyNumberFormat="1" applyFont="1" applyBorder="1" applyAlignment="1">
      <alignment horizontal="right" vertical="center"/>
    </xf>
    <xf numFmtId="3" fontId="22" fillId="9" borderId="91" xfId="1" applyNumberFormat="1" applyFont="1" applyFill="1" applyBorder="1" applyAlignment="1" applyProtection="1">
      <alignment horizontal="left" vertical="center"/>
      <protection locked="0"/>
    </xf>
    <xf numFmtId="0" fontId="29" fillId="8" borderId="124" xfId="1" applyFont="1" applyFill="1" applyBorder="1" applyAlignment="1">
      <alignment horizontal="center" vertical="center" wrapText="1"/>
    </xf>
    <xf numFmtId="0" fontId="29" fillId="4" borderId="38" xfId="1" applyFont="1" applyFill="1" applyBorder="1" applyAlignment="1">
      <alignment horizontal="center" vertical="center"/>
    </xf>
    <xf numFmtId="0" fontId="29" fillId="0" borderId="125" xfId="1" applyFont="1" applyBorder="1" applyAlignment="1">
      <alignment horizontal="center" vertical="center"/>
    </xf>
    <xf numFmtId="0" fontId="29" fillId="0" borderId="126" xfId="1" applyFont="1" applyBorder="1" applyAlignment="1">
      <alignment horizontal="center" vertical="center"/>
    </xf>
    <xf numFmtId="0" fontId="29" fillId="0" borderId="127" xfId="1" applyFont="1" applyBorder="1" applyAlignment="1">
      <alignment horizontal="center" vertical="center"/>
    </xf>
    <xf numFmtId="0" fontId="29" fillId="0" borderId="30" xfId="1" applyFont="1" applyBorder="1" applyAlignment="1" applyProtection="1">
      <alignment horizontal="center" vertical="center"/>
      <protection locked="0"/>
    </xf>
    <xf numFmtId="0" fontId="6" fillId="0" borderId="128" xfId="1" applyFont="1" applyBorder="1" applyAlignment="1">
      <alignment vertical="center"/>
    </xf>
    <xf numFmtId="0" fontId="37" fillId="0" borderId="29" xfId="1" applyFont="1" applyFill="1" applyBorder="1" applyAlignment="1" applyProtection="1">
      <alignment horizontal="left" vertical="center" wrapText="1" indent="1"/>
      <protection locked="0"/>
    </xf>
    <xf numFmtId="0" fontId="37" fillId="0" borderId="10" xfId="1" applyFont="1" applyFill="1" applyBorder="1" applyAlignment="1" applyProtection="1">
      <alignment horizontal="left" vertical="center" wrapText="1" indent="1"/>
      <protection locked="0"/>
    </xf>
    <xf numFmtId="0" fontId="37" fillId="0" borderId="29" xfId="1" applyFont="1" applyBorder="1" applyAlignment="1" applyProtection="1">
      <alignment horizontal="left" vertical="center" wrapText="1" indent="1"/>
      <protection locked="0"/>
    </xf>
    <xf numFmtId="0" fontId="37" fillId="0" borderId="4" xfId="1" applyFont="1" applyBorder="1" applyAlignment="1" applyProtection="1">
      <alignment horizontal="left" vertical="center" wrapText="1" indent="1"/>
      <protection locked="0"/>
    </xf>
    <xf numFmtId="0" fontId="37" fillId="0" borderId="13" xfId="1" applyFont="1" applyBorder="1" applyAlignment="1" applyProtection="1">
      <alignment horizontal="left" vertical="center" wrapText="1" indent="1"/>
      <protection locked="0"/>
    </xf>
    <xf numFmtId="0" fontId="29" fillId="0" borderId="14" xfId="1" applyFont="1" applyBorder="1" applyAlignment="1" applyProtection="1">
      <alignment horizontal="left" vertical="center" indent="1"/>
      <protection locked="0"/>
    </xf>
    <xf numFmtId="0" fontId="29" fillId="0" borderId="8" xfId="1" applyFont="1" applyBorder="1" applyAlignment="1" applyProtection="1">
      <alignment horizontal="left" vertical="center" indent="1"/>
      <protection locked="0"/>
    </xf>
    <xf numFmtId="0" fontId="6" fillId="0" borderId="8" xfId="1" applyFont="1" applyBorder="1" applyAlignment="1" applyProtection="1">
      <alignment horizontal="left" vertical="center" indent="1"/>
      <protection locked="0"/>
    </xf>
    <xf numFmtId="0" fontId="30" fillId="0" borderId="8" xfId="1" applyFont="1" applyBorder="1" applyAlignment="1" applyProtection="1">
      <alignment horizontal="left" indent="1"/>
      <protection locked="0"/>
    </xf>
    <xf numFmtId="0" fontId="29" fillId="0" borderId="56" xfId="1" applyFont="1" applyBorder="1" applyAlignment="1" applyProtection="1">
      <alignment horizontal="left" vertical="center" indent="1"/>
      <protection locked="0"/>
    </xf>
    <xf numFmtId="0" fontId="29" fillId="0" borderId="17" xfId="1" applyFont="1" applyBorder="1" applyAlignment="1" applyProtection="1">
      <alignment horizontal="left" vertical="center" indent="1"/>
      <protection locked="0"/>
    </xf>
    <xf numFmtId="0" fontId="30" fillId="0" borderId="5" xfId="1" applyFont="1" applyBorder="1" applyAlignment="1" applyProtection="1">
      <alignment horizontal="left" vertical="top" wrapText="1" indent="1"/>
      <protection locked="0"/>
    </xf>
    <xf numFmtId="0" fontId="29" fillId="0" borderId="5" xfId="1" applyFont="1" applyBorder="1" applyAlignment="1" applyProtection="1">
      <alignment horizontal="left" vertical="top" wrapText="1" indent="1"/>
      <protection locked="0"/>
    </xf>
    <xf numFmtId="0" fontId="29" fillId="0" borderId="8" xfId="1" applyFont="1" applyBorder="1" applyAlignment="1" applyProtection="1">
      <alignment horizontal="left" vertical="top" wrapText="1" indent="1"/>
      <protection locked="0"/>
    </xf>
    <xf numFmtId="0" fontId="30" fillId="0" borderId="8" xfId="1" applyFont="1" applyBorder="1" applyAlignment="1" applyProtection="1">
      <alignment horizontal="left" vertical="top" wrapText="1" indent="1"/>
      <protection locked="0"/>
    </xf>
    <xf numFmtId="0" fontId="30" fillId="0" borderId="56" xfId="1" applyFont="1" applyBorder="1" applyAlignment="1" applyProtection="1">
      <alignment horizontal="left" vertical="top" wrapText="1" indent="1"/>
      <protection locked="0"/>
    </xf>
    <xf numFmtId="0" fontId="29" fillId="0" borderId="16" xfId="1" applyFont="1" applyBorder="1" applyAlignment="1" applyProtection="1">
      <alignment horizontal="left" vertical="center" indent="1"/>
      <protection locked="0"/>
    </xf>
    <xf numFmtId="0" fontId="29" fillId="0" borderId="10" xfId="1" applyFont="1" applyBorder="1" applyAlignment="1" applyProtection="1">
      <alignment horizontal="left" vertical="center" indent="1"/>
      <protection locked="0"/>
    </xf>
    <xf numFmtId="0" fontId="29" fillId="0" borderId="4" xfId="1" applyFont="1" applyBorder="1" applyAlignment="1" applyProtection="1">
      <alignment horizontal="left" vertical="center" indent="1"/>
      <protection locked="0"/>
    </xf>
    <xf numFmtId="0" fontId="29" fillId="0" borderId="29" xfId="1" applyFont="1" applyFill="1" applyBorder="1" applyAlignment="1" applyProtection="1">
      <alignment horizontal="left" vertical="center" indent="1"/>
      <protection locked="0"/>
    </xf>
    <xf numFmtId="0" fontId="53" fillId="0" borderId="0" xfId="1" applyFont="1" applyAlignment="1">
      <alignment vertical="center"/>
    </xf>
    <xf numFmtId="0" fontId="29" fillId="0" borderId="25" xfId="1" applyFont="1" applyBorder="1" applyAlignment="1" applyProtection="1">
      <alignment horizontal="left" vertical="center" indent="1"/>
      <protection locked="0"/>
    </xf>
    <xf numFmtId="0" fontId="29" fillId="0" borderId="91" xfId="1" applyFont="1" applyBorder="1" applyAlignment="1" applyProtection="1">
      <alignment horizontal="left" vertical="center" indent="1"/>
      <protection locked="0"/>
    </xf>
    <xf numFmtId="0" fontId="34" fillId="0" borderId="38" xfId="1" applyFont="1" applyBorder="1" applyAlignment="1" applyProtection="1">
      <alignment horizontal="left" vertical="center" indent="1"/>
      <protection locked="0"/>
    </xf>
    <xf numFmtId="0" fontId="29" fillId="0" borderId="131" xfId="1" applyFont="1" applyBorder="1" applyAlignment="1" applyProtection="1">
      <alignment horizontal="left" indent="1"/>
      <protection locked="0"/>
    </xf>
    <xf numFmtId="0" fontId="29" fillId="0" borderId="3" xfId="1" applyFont="1" applyBorder="1" applyAlignment="1" applyProtection="1">
      <alignment horizontal="left" vertical="center" indent="1"/>
      <protection locked="0"/>
    </xf>
    <xf numFmtId="0" fontId="29" fillId="0" borderId="31" xfId="1" applyFont="1" applyBorder="1" applyAlignment="1" applyProtection="1">
      <alignment horizontal="left" vertical="center" indent="1"/>
      <protection locked="0"/>
    </xf>
    <xf numFmtId="0" fontId="30" fillId="5" borderId="132" xfId="1" applyFont="1" applyFill="1" applyBorder="1" applyAlignment="1" applyProtection="1">
      <alignment horizontal="left" vertical="center" indent="1" readingOrder="1"/>
      <protection locked="0"/>
    </xf>
    <xf numFmtId="0" fontId="30" fillId="5" borderId="52" xfId="1" applyFont="1" applyFill="1" applyBorder="1" applyAlignment="1" applyProtection="1">
      <alignment horizontal="left" vertical="center" indent="1" readingOrder="1"/>
      <protection locked="0"/>
    </xf>
    <xf numFmtId="0" fontId="29" fillId="0" borderId="124" xfId="1" applyFont="1" applyBorder="1" applyAlignment="1" applyProtection="1">
      <alignment horizontal="left" vertical="center" indent="1" readingOrder="1"/>
      <protection locked="0"/>
    </xf>
    <xf numFmtId="0" fontId="29" fillId="0" borderId="21" xfId="1" applyFont="1" applyBorder="1" applyAlignment="1" applyProtection="1">
      <alignment horizontal="left" vertical="center" wrapText="1" indent="1" readingOrder="1"/>
      <protection locked="0"/>
    </xf>
    <xf numFmtId="0" fontId="29" fillId="8" borderId="133" xfId="1" applyFont="1" applyFill="1" applyBorder="1" applyAlignment="1" applyProtection="1">
      <alignment horizontal="left" vertical="center" indent="1" readingOrder="1"/>
      <protection locked="0"/>
    </xf>
    <xf numFmtId="0" fontId="29" fillId="0" borderId="106" xfId="1" applyFont="1" applyBorder="1" applyAlignment="1" applyProtection="1">
      <alignment horizontal="left" vertical="center" wrapText="1" indent="1" readingOrder="1"/>
      <protection locked="0"/>
    </xf>
    <xf numFmtId="0" fontId="29" fillId="8" borderId="134" xfId="1" applyFont="1" applyFill="1" applyBorder="1" applyAlignment="1" applyProtection="1">
      <alignment horizontal="left" vertical="center" indent="1" readingOrder="1"/>
      <protection locked="0"/>
    </xf>
    <xf numFmtId="0" fontId="29" fillId="8" borderId="124" xfId="1" applyFont="1" applyFill="1" applyBorder="1" applyAlignment="1" applyProtection="1">
      <alignment horizontal="left" vertical="center" indent="1" readingOrder="1"/>
      <protection locked="0"/>
    </xf>
    <xf numFmtId="49" fontId="46" fillId="0" borderId="21" xfId="1" applyNumberFormat="1" applyFont="1" applyBorder="1" applyAlignment="1" applyProtection="1">
      <alignment horizontal="left" vertical="center" wrapText="1" indent="1" readingOrder="1"/>
      <protection locked="0"/>
    </xf>
    <xf numFmtId="0" fontId="29" fillId="8" borderId="131" xfId="1" applyFont="1" applyFill="1" applyBorder="1" applyAlignment="1" applyProtection="1">
      <alignment horizontal="left" vertical="center" indent="1" readingOrder="1"/>
      <protection locked="0"/>
    </xf>
    <xf numFmtId="49" fontId="46" fillId="0" borderId="42" xfId="1" applyNumberFormat="1" applyFont="1" applyBorder="1" applyAlignment="1" applyProtection="1">
      <alignment horizontal="left" vertical="center" wrapText="1" indent="1" readingOrder="1"/>
      <protection locked="0"/>
    </xf>
    <xf numFmtId="0" fontId="30" fillId="9" borderId="135" xfId="1" applyFont="1" applyFill="1" applyBorder="1" applyAlignment="1" applyProtection="1">
      <alignment horizontal="left" vertical="center" wrapText="1" indent="1"/>
      <protection locked="0"/>
    </xf>
    <xf numFmtId="3" fontId="33" fillId="0" borderId="45" xfId="1" applyNumberFormat="1" applyFont="1" applyBorder="1" applyAlignment="1" applyProtection="1">
      <alignment horizontal="left" vertical="center" wrapText="1" indent="1"/>
      <protection locked="0"/>
    </xf>
    <xf numFmtId="3" fontId="29" fillId="0" borderId="45" xfId="1" applyNumberFormat="1" applyFont="1" applyBorder="1" applyAlignment="1" applyProtection="1">
      <alignment horizontal="left" vertical="center" indent="1"/>
      <protection locked="0"/>
    </xf>
    <xf numFmtId="3" fontId="29" fillId="0" borderId="45" xfId="1" applyNumberFormat="1" applyFont="1" applyBorder="1" applyAlignment="1" applyProtection="1">
      <alignment horizontal="left" vertical="center" wrapText="1" indent="1"/>
      <protection locked="0"/>
    </xf>
    <xf numFmtId="3" fontId="30" fillId="9" borderId="45" xfId="1" applyNumberFormat="1" applyFont="1" applyFill="1" applyBorder="1" applyAlignment="1" applyProtection="1">
      <alignment horizontal="left" vertical="center" wrapText="1" indent="1"/>
      <protection locked="0"/>
    </xf>
    <xf numFmtId="3" fontId="29" fillId="0" borderId="27" xfId="1" applyNumberFormat="1" applyFont="1" applyBorder="1" applyAlignment="1" applyProtection="1">
      <alignment horizontal="left" vertical="center" wrapText="1" indent="1"/>
      <protection locked="0"/>
    </xf>
    <xf numFmtId="3" fontId="29" fillId="0" borderId="10" xfId="1" applyNumberFormat="1" applyFont="1" applyBorder="1" applyAlignment="1" applyProtection="1">
      <alignment horizontal="left" vertical="center" wrapText="1" indent="1"/>
      <protection locked="0"/>
    </xf>
    <xf numFmtId="3" fontId="29" fillId="0" borderId="29" xfId="1" applyNumberFormat="1" applyFont="1" applyBorder="1" applyAlignment="1" applyProtection="1">
      <alignment horizontal="left" vertical="center" wrapText="1" indent="1"/>
      <protection locked="0"/>
    </xf>
    <xf numFmtId="3" fontId="30" fillId="0" borderId="91" xfId="1" applyNumberFormat="1" applyFont="1" applyFill="1" applyBorder="1" applyAlignment="1" applyProtection="1">
      <alignment horizontal="left" vertical="center" indent="1"/>
      <protection locked="0"/>
    </xf>
    <xf numFmtId="0" fontId="29" fillId="0" borderId="27" xfId="1" applyFont="1" applyBorder="1" applyAlignment="1" applyProtection="1">
      <alignment horizontal="left" vertical="center" wrapText="1" indent="1"/>
      <protection locked="0"/>
    </xf>
    <xf numFmtId="0" fontId="29" fillId="0" borderId="10" xfId="1" applyFont="1" applyBorder="1" applyAlignment="1" applyProtection="1">
      <alignment horizontal="left" vertical="center" wrapText="1" indent="1"/>
      <protection locked="0"/>
    </xf>
    <xf numFmtId="0" fontId="29" fillId="9" borderId="10" xfId="1" applyFont="1" applyFill="1" applyBorder="1" applyAlignment="1" applyProtection="1">
      <alignment horizontal="left" vertical="center" indent="1"/>
      <protection locked="0"/>
    </xf>
    <xf numFmtId="0" fontId="29" fillId="9" borderId="10" xfId="1" applyFont="1" applyFill="1" applyBorder="1" applyAlignment="1" applyProtection="1">
      <alignment horizontal="left" vertical="center" wrapText="1" indent="1"/>
      <protection locked="0"/>
    </xf>
    <xf numFmtId="0" fontId="29" fillId="0" borderId="9" xfId="1" applyFont="1" applyBorder="1" applyAlignment="1" applyProtection="1">
      <alignment horizontal="left" vertical="center" wrapText="1" indent="1"/>
      <protection locked="0"/>
    </xf>
    <xf numFmtId="0" fontId="30" fillId="0" borderId="17" xfId="1" applyFont="1" applyBorder="1" applyAlignment="1" applyProtection="1">
      <alignment horizontal="left" vertical="center" wrapText="1" indent="1"/>
      <protection locked="0"/>
    </xf>
    <xf numFmtId="0" fontId="29" fillId="8" borderId="136" xfId="1" applyFont="1" applyFill="1" applyBorder="1" applyAlignment="1">
      <alignment horizontal="center" vertical="center"/>
    </xf>
    <xf numFmtId="0" fontId="29" fillId="8" borderId="137" xfId="1" applyFont="1" applyFill="1" applyBorder="1" applyAlignment="1">
      <alignment horizontal="center" vertical="center" wrapText="1"/>
    </xf>
    <xf numFmtId="0" fontId="29" fillId="0" borderId="138" xfId="1" applyFont="1" applyFill="1" applyBorder="1" applyAlignment="1">
      <alignment horizontal="center" vertical="center" wrapText="1"/>
    </xf>
    <xf numFmtId="3" fontId="29" fillId="4" borderId="45" xfId="1" applyNumberFormat="1" applyFont="1" applyFill="1" applyBorder="1" applyAlignment="1">
      <alignment vertical="center"/>
    </xf>
    <xf numFmtId="3" fontId="29" fillId="4" borderId="46" xfId="1" applyNumberFormat="1" applyFont="1" applyFill="1" applyBorder="1" applyAlignment="1">
      <alignment vertical="center"/>
    </xf>
    <xf numFmtId="3" fontId="29" fillId="4" borderId="47" xfId="1" applyNumberFormat="1" applyFont="1" applyFill="1" applyBorder="1" applyAlignment="1">
      <alignment vertical="center"/>
    </xf>
    <xf numFmtId="3" fontId="29" fillId="4" borderId="48" xfId="1" applyNumberFormat="1" applyFont="1" applyFill="1" applyBorder="1" applyAlignment="1">
      <alignment vertical="center"/>
    </xf>
    <xf numFmtId="0" fontId="33" fillId="0" borderId="43" xfId="1" applyFont="1" applyFill="1" applyBorder="1" applyAlignment="1">
      <alignment horizontal="center" vertical="center" wrapText="1"/>
    </xf>
    <xf numFmtId="3" fontId="47" fillId="0" borderId="0" xfId="0" applyNumberFormat="1" applyFont="1"/>
    <xf numFmtId="0" fontId="12" fillId="0" borderId="31" xfId="0" applyFont="1" applyBorder="1" applyAlignment="1">
      <alignment horizontal="center" vertical="center" wrapText="1" shrinkToFit="1"/>
    </xf>
    <xf numFmtId="0" fontId="12" fillId="0" borderId="29" xfId="0" applyFont="1" applyBorder="1" applyAlignment="1">
      <alignment horizontal="center" vertical="center" wrapText="1" shrinkToFit="1"/>
    </xf>
    <xf numFmtId="0" fontId="12" fillId="0" borderId="29" xfId="0" applyFont="1" applyFill="1" applyBorder="1" applyAlignment="1">
      <alignment horizontal="center" vertical="center" wrapText="1" shrinkToFit="1"/>
    </xf>
    <xf numFmtId="0" fontId="12" fillId="0" borderId="35" xfId="0" applyFont="1" applyFill="1" applyBorder="1" applyAlignment="1">
      <alignment horizontal="center" vertical="center" wrapText="1" shrinkToFit="1"/>
    </xf>
    <xf numFmtId="0" fontId="44" fillId="9" borderId="129" xfId="0" applyFont="1" applyFill="1" applyBorder="1" applyAlignment="1">
      <alignment horizontal="left" vertical="center"/>
    </xf>
    <xf numFmtId="3" fontId="29" fillId="9" borderId="130" xfId="1" applyNumberFormat="1" applyFont="1" applyFill="1" applyBorder="1" applyAlignment="1">
      <alignment horizontal="right" vertical="center"/>
    </xf>
    <xf numFmtId="3" fontId="29" fillId="9" borderId="16" xfId="1" applyNumberFormat="1" applyFont="1" applyFill="1" applyBorder="1" applyAlignment="1">
      <alignment horizontal="right" vertical="center"/>
    </xf>
    <xf numFmtId="3" fontId="29" fillId="9" borderId="129" xfId="1" applyNumberFormat="1" applyFont="1" applyFill="1" applyBorder="1" applyAlignment="1">
      <alignment horizontal="right" vertical="center"/>
    </xf>
    <xf numFmtId="3" fontId="29" fillId="9" borderId="40" xfId="1" applyNumberFormat="1" applyFont="1" applyFill="1" applyBorder="1" applyAlignment="1">
      <alignment horizontal="right" vertical="center"/>
    </xf>
    <xf numFmtId="3" fontId="29" fillId="9" borderId="33" xfId="1" applyNumberFormat="1" applyFont="1" applyFill="1" applyBorder="1" applyAlignment="1">
      <alignment horizontal="right" vertical="center"/>
    </xf>
    <xf numFmtId="3" fontId="29" fillId="9" borderId="21" xfId="1" applyNumberFormat="1" applyFont="1" applyFill="1" applyBorder="1" applyAlignment="1">
      <alignment horizontal="right" vertical="center"/>
    </xf>
    <xf numFmtId="0" fontId="44" fillId="9" borderId="27" xfId="0" applyFont="1" applyFill="1" applyBorder="1" applyAlignment="1">
      <alignment horizontal="left" vertical="center"/>
    </xf>
    <xf numFmtId="3" fontId="29" fillId="9" borderId="38" xfId="1" applyNumberFormat="1" applyFont="1" applyFill="1" applyBorder="1" applyAlignment="1">
      <alignment horizontal="right" vertical="center"/>
    </xf>
    <xf numFmtId="3" fontId="29" fillId="9" borderId="27" xfId="1" applyNumberFormat="1" applyFont="1" applyFill="1" applyBorder="1" applyAlignment="1">
      <alignment horizontal="right" vertical="center"/>
    </xf>
    <xf numFmtId="3" fontId="44" fillId="0" borderId="0" xfId="0" applyNumberFormat="1" applyFont="1" applyAlignment="1">
      <alignment vertical="center"/>
    </xf>
    <xf numFmtId="3" fontId="29" fillId="9" borderId="134" xfId="1" applyNumberFormat="1" applyFont="1" applyFill="1" applyBorder="1" applyAlignment="1">
      <alignment horizontal="right" vertical="center"/>
    </xf>
    <xf numFmtId="3" fontId="29" fillId="9" borderId="53" xfId="1" applyNumberFormat="1" applyFont="1" applyFill="1" applyBorder="1" applyAlignment="1">
      <alignment horizontal="right" vertical="center"/>
    </xf>
    <xf numFmtId="0" fontId="44" fillId="6" borderId="27" xfId="0" applyFont="1" applyFill="1" applyBorder="1" applyAlignment="1">
      <alignment horizontal="left" vertical="center"/>
    </xf>
    <xf numFmtId="3" fontId="29" fillId="4" borderId="38" xfId="1" applyNumberFormat="1" applyFont="1" applyFill="1" applyBorder="1" applyAlignment="1">
      <alignment horizontal="right" vertical="center"/>
    </xf>
    <xf numFmtId="3" fontId="29" fillId="4" borderId="27" xfId="1" applyNumberFormat="1" applyFont="1" applyFill="1" applyBorder="1" applyAlignment="1">
      <alignment horizontal="right" vertical="center"/>
    </xf>
    <xf numFmtId="0" fontId="30" fillId="0" borderId="0" xfId="0" applyFont="1" applyAlignment="1">
      <alignment vertical="center"/>
    </xf>
    <xf numFmtId="0" fontId="30" fillId="4" borderId="30" xfId="0" applyFont="1" applyFill="1" applyBorder="1" applyAlignment="1">
      <alignment horizontal="center" vertical="center"/>
    </xf>
    <xf numFmtId="0" fontId="30" fillId="4" borderId="28" xfId="0" applyFont="1" applyFill="1" applyBorder="1" applyAlignment="1">
      <alignment horizontal="left" vertical="center"/>
    </xf>
    <xf numFmtId="0" fontId="29" fillId="0" borderId="0" xfId="0" applyFont="1" applyAlignment="1">
      <alignment vertical="center"/>
    </xf>
    <xf numFmtId="0" fontId="31" fillId="0" borderId="28" xfId="0" applyFont="1" applyBorder="1" applyAlignment="1">
      <alignment horizontal="right" vertical="center"/>
    </xf>
    <xf numFmtId="3" fontId="29" fillId="0" borderId="38" xfId="0" applyNumberFormat="1" applyFont="1" applyBorder="1" applyAlignment="1">
      <alignment horizontal="right" vertical="center"/>
    </xf>
    <xf numFmtId="3" fontId="29" fillId="0" borderId="10" xfId="0" applyNumberFormat="1" applyFont="1" applyBorder="1" applyAlignment="1">
      <alignment horizontal="right" vertical="center"/>
    </xf>
    <xf numFmtId="3" fontId="29" fillId="0" borderId="27" xfId="0" applyNumberFormat="1" applyFont="1" applyBorder="1" applyAlignment="1">
      <alignment horizontal="right" vertical="center"/>
    </xf>
    <xf numFmtId="3" fontId="29" fillId="0" borderId="22" xfId="0" applyNumberFormat="1" applyFont="1" applyBorder="1" applyAlignment="1">
      <alignment horizontal="right" vertical="center"/>
    </xf>
    <xf numFmtId="3" fontId="29" fillId="0" borderId="30" xfId="0" applyNumberFormat="1" applyFont="1" applyBorder="1" applyAlignment="1">
      <alignment horizontal="right" vertical="center"/>
    </xf>
    <xf numFmtId="0" fontId="31" fillId="0" borderId="27" xfId="0" applyFont="1" applyBorder="1" applyAlignment="1">
      <alignment horizontal="right" vertical="center"/>
    </xf>
    <xf numFmtId="3" fontId="29" fillId="0" borderId="31" xfId="0" applyNumberFormat="1" applyFont="1" applyBorder="1" applyAlignment="1">
      <alignment horizontal="right" vertical="center"/>
    </xf>
    <xf numFmtId="3" fontId="29" fillId="0" borderId="35" xfId="0" applyNumberFormat="1" applyFont="1" applyBorder="1" applyAlignment="1">
      <alignment horizontal="right" vertical="center"/>
    </xf>
    <xf numFmtId="0" fontId="30" fillId="4" borderId="27" xfId="0" applyFont="1" applyFill="1" applyBorder="1" applyAlignment="1">
      <alignment horizontal="left" vertical="center"/>
    </xf>
    <xf numFmtId="0" fontId="44" fillId="9" borderId="28" xfId="0" applyFont="1" applyFill="1" applyBorder="1" applyAlignment="1">
      <alignment horizontal="left" vertical="center"/>
    </xf>
    <xf numFmtId="0" fontId="44" fillId="4" borderId="27" xfId="0" applyFont="1" applyFill="1" applyBorder="1" applyAlignment="1">
      <alignment vertical="center"/>
    </xf>
    <xf numFmtId="49" fontId="41" fillId="0" borderId="45" xfId="0" applyNumberFormat="1" applyFont="1" applyBorder="1" applyAlignment="1">
      <alignment vertical="center" wrapText="1"/>
    </xf>
    <xf numFmtId="3" fontId="29" fillId="0" borderId="27" xfId="1" applyNumberFormat="1" applyFont="1" applyFill="1" applyBorder="1" applyAlignment="1">
      <alignment horizontal="right" vertical="center"/>
    </xf>
    <xf numFmtId="3" fontId="29" fillId="0" borderId="38" xfId="1" applyNumberFormat="1" applyFont="1" applyFill="1" applyBorder="1" applyAlignment="1">
      <alignment horizontal="right" vertical="center"/>
    </xf>
    <xf numFmtId="0" fontId="41" fillId="0" borderId="33" xfId="0" applyFont="1" applyBorder="1" applyAlignment="1">
      <alignment horizontal="center" vertical="center"/>
    </xf>
    <xf numFmtId="0" fontId="13" fillId="4" borderId="27" xfId="0" applyFont="1" applyFill="1" applyBorder="1" applyAlignment="1">
      <alignment vertical="center"/>
    </xf>
    <xf numFmtId="3" fontId="29" fillId="0" borderId="39" xfId="1" applyNumberFormat="1" applyFont="1" applyFill="1" applyBorder="1" applyAlignment="1">
      <alignment horizontal="right" vertical="center"/>
    </xf>
    <xf numFmtId="3" fontId="29" fillId="0" borderId="32" xfId="1" applyNumberFormat="1" applyFont="1" applyFill="1" applyBorder="1" applyAlignment="1">
      <alignment horizontal="right" vertical="center"/>
    </xf>
    <xf numFmtId="0" fontId="30" fillId="5" borderId="25" xfId="0" applyFont="1" applyFill="1" applyBorder="1" applyAlignment="1">
      <alignment vertical="center"/>
    </xf>
    <xf numFmtId="0" fontId="26" fillId="0" borderId="0" xfId="0" applyFont="1"/>
    <xf numFmtId="0" fontId="29" fillId="0" borderId="0" xfId="1" applyFont="1" applyAlignment="1">
      <alignment wrapText="1"/>
    </xf>
    <xf numFmtId="0" fontId="56" fillId="0" borderId="0" xfId="5" applyFont="1" applyFill="1" applyAlignment="1"/>
    <xf numFmtId="0" fontId="30" fillId="0" borderId="0" xfId="5" applyFont="1" applyAlignment="1">
      <alignment horizontal="justify"/>
    </xf>
    <xf numFmtId="0" fontId="29" fillId="0" borderId="0" xfId="5" applyFont="1"/>
    <xf numFmtId="0" fontId="29" fillId="0" borderId="0" xfId="5" applyFont="1" applyAlignment="1">
      <alignment horizontal="center"/>
    </xf>
    <xf numFmtId="0" fontId="37" fillId="0" borderId="0" xfId="5" applyFont="1" applyBorder="1" applyAlignment="1">
      <alignment horizontal="right" vertical="top" wrapText="1"/>
    </xf>
    <xf numFmtId="0" fontId="37" fillId="0" borderId="0" xfId="5" applyFont="1" applyFill="1" applyBorder="1" applyAlignment="1">
      <alignment horizontal="right" vertical="top" wrapText="1"/>
    </xf>
    <xf numFmtId="0" fontId="0" fillId="0" borderId="156" xfId="0" applyFill="1" applyBorder="1"/>
    <xf numFmtId="0" fontId="0" fillId="0" borderId="121" xfId="0" applyFill="1" applyBorder="1"/>
    <xf numFmtId="49" fontId="0" fillId="0" borderId="121" xfId="0" applyNumberFormat="1" applyFill="1" applyBorder="1"/>
    <xf numFmtId="0" fontId="0" fillId="0" borderId="157" xfId="0" applyFill="1" applyBorder="1" applyAlignment="1">
      <alignment horizontal="center" wrapText="1"/>
    </xf>
    <xf numFmtId="0" fontId="0" fillId="0" borderId="121" xfId="0" applyFill="1" applyBorder="1" applyAlignment="1">
      <alignment horizontal="center" wrapText="1"/>
    </xf>
    <xf numFmtId="0" fontId="0" fillId="0" borderId="97" xfId="0" applyFill="1" applyBorder="1" applyAlignment="1">
      <alignment wrapText="1"/>
    </xf>
    <xf numFmtId="0" fontId="44" fillId="0" borderId="0" xfId="0" applyFont="1" applyAlignment="1">
      <alignment horizontal="center"/>
    </xf>
    <xf numFmtId="0" fontId="0" fillId="0" borderId="158" xfId="0" applyFill="1" applyBorder="1"/>
    <xf numFmtId="0" fontId="0" fillId="0" borderId="159" xfId="0" applyFill="1" applyBorder="1"/>
    <xf numFmtId="49" fontId="0" fillId="0" borderId="159" xfId="0" applyNumberFormat="1" applyFill="1" applyBorder="1"/>
    <xf numFmtId="9" fontId="0" fillId="0" borderId="160" xfId="0" applyNumberFormat="1" applyFill="1" applyBorder="1" applyAlignment="1">
      <alignment horizontal="center"/>
    </xf>
    <xf numFmtId="0" fontId="0" fillId="0" borderId="159" xfId="0" applyFill="1" applyBorder="1" applyAlignment="1">
      <alignment horizontal="center"/>
    </xf>
    <xf numFmtId="0" fontId="0" fillId="0" borderId="161" xfId="0" applyFill="1" applyBorder="1"/>
    <xf numFmtId="0" fontId="41" fillId="0" borderId="0" xfId="0" applyFont="1"/>
    <xf numFmtId="0" fontId="0" fillId="0" borderId="162" xfId="0" applyFill="1" applyBorder="1"/>
    <xf numFmtId="0" fontId="0" fillId="0" borderId="163" xfId="0" applyFill="1" applyBorder="1"/>
    <xf numFmtId="49" fontId="0" fillId="0" borderId="163" xfId="0" applyNumberFormat="1" applyFill="1" applyBorder="1"/>
    <xf numFmtId="9" fontId="0" fillId="0" borderId="164" xfId="0" applyNumberFormat="1" applyFill="1" applyBorder="1" applyAlignment="1">
      <alignment horizontal="center"/>
    </xf>
    <xf numFmtId="0" fontId="0" fillId="0" borderId="163" xfId="0" applyFill="1" applyBorder="1" applyAlignment="1">
      <alignment horizontal="center"/>
    </xf>
    <xf numFmtId="0" fontId="0" fillId="0" borderId="165" xfId="0" applyFill="1" applyBorder="1"/>
    <xf numFmtId="0" fontId="0" fillId="0" borderId="162" xfId="0" applyFill="1" applyBorder="1" applyAlignment="1">
      <alignment vertical="center"/>
    </xf>
    <xf numFmtId="0" fontId="0" fillId="0" borderId="163" xfId="0" applyFill="1" applyBorder="1" applyAlignment="1">
      <alignment vertical="center"/>
    </xf>
    <xf numFmtId="49" fontId="0" fillId="0" borderId="163" xfId="0" applyNumberFormat="1" applyFill="1" applyBorder="1" applyAlignment="1">
      <alignment vertical="center"/>
    </xf>
    <xf numFmtId="9" fontId="0" fillId="0" borderId="164" xfId="0" applyNumberFormat="1" applyFill="1" applyBorder="1" applyAlignment="1">
      <alignment horizontal="center" vertical="center"/>
    </xf>
    <xf numFmtId="0" fontId="0" fillId="0" borderId="163" xfId="0" applyFill="1" applyBorder="1" applyAlignment="1">
      <alignment horizontal="center" vertical="center"/>
    </xf>
    <xf numFmtId="0" fontId="0" fillId="0" borderId="165" xfId="0" applyFill="1" applyBorder="1" applyAlignment="1">
      <alignment vertical="center" wrapText="1"/>
    </xf>
    <xf numFmtId="9" fontId="0" fillId="0" borderId="163" xfId="0" applyNumberFormat="1" applyFill="1" applyBorder="1" applyAlignment="1">
      <alignment horizontal="center" wrapText="1"/>
    </xf>
    <xf numFmtId="0" fontId="0" fillId="0" borderId="165" xfId="0" applyFill="1" applyBorder="1" applyAlignment="1">
      <alignment wrapText="1"/>
    </xf>
    <xf numFmtId="0" fontId="0" fillId="0" borderId="166" xfId="0" applyFill="1" applyBorder="1"/>
    <xf numFmtId="0" fontId="0" fillId="0" borderId="167" xfId="0" applyFill="1" applyBorder="1"/>
    <xf numFmtId="49" fontId="0" fillId="0" borderId="167" xfId="0" applyNumberFormat="1" applyFill="1" applyBorder="1"/>
    <xf numFmtId="9" fontId="0" fillId="0" borderId="168" xfId="0" applyNumberFormat="1" applyFill="1" applyBorder="1" applyAlignment="1">
      <alignment horizontal="center"/>
    </xf>
    <xf numFmtId="0" fontId="0" fillId="0" borderId="167" xfId="0" applyFill="1" applyBorder="1" applyAlignment="1">
      <alignment horizontal="center"/>
    </xf>
    <xf numFmtId="0" fontId="0" fillId="0" borderId="169" xfId="0" applyFill="1" applyBorder="1"/>
    <xf numFmtId="0" fontId="29" fillId="0" borderId="0" xfId="5" applyFont="1" applyAlignment="1">
      <alignment wrapText="1"/>
    </xf>
    <xf numFmtId="0" fontId="29" fillId="0" borderId="0" xfId="5" applyFont="1" applyFill="1"/>
    <xf numFmtId="0" fontId="36" fillId="0" borderId="0" xfId="5" applyFont="1"/>
    <xf numFmtId="0" fontId="34" fillId="0" borderId="0" xfId="5" applyFont="1"/>
    <xf numFmtId="0" fontId="58" fillId="0" borderId="0" xfId="0" applyFont="1" applyAlignment="1">
      <alignment horizontal="right" vertical="center" wrapText="1"/>
    </xf>
    <xf numFmtId="0" fontId="0" fillId="0" borderId="0" xfId="0" applyFont="1"/>
    <xf numFmtId="0" fontId="59" fillId="0" borderId="19" xfId="0" applyFont="1" applyBorder="1" applyAlignment="1">
      <alignment horizontal="center" vertical="center"/>
    </xf>
    <xf numFmtId="0" fontId="51" fillId="0" borderId="101" xfId="0" applyFont="1" applyBorder="1" applyAlignment="1">
      <alignment vertical="center"/>
    </xf>
    <xf numFmtId="0" fontId="58" fillId="0" borderId="123" xfId="0" applyFont="1" applyBorder="1" applyAlignment="1">
      <alignment vertical="center"/>
    </xf>
    <xf numFmtId="0" fontId="51" fillId="0" borderId="9" xfId="0" applyFont="1" applyBorder="1" applyAlignment="1">
      <alignment vertical="center"/>
    </xf>
    <xf numFmtId="0" fontId="51" fillId="0" borderId="34" xfId="0" applyFont="1" applyBorder="1" applyAlignment="1">
      <alignment vertical="center"/>
    </xf>
    <xf numFmtId="0" fontId="41" fillId="0" borderId="0" xfId="0" applyFont="1" applyAlignment="1">
      <alignment vertical="top"/>
    </xf>
    <xf numFmtId="0" fontId="51" fillId="0" borderId="6" xfId="0" applyFont="1" applyBorder="1" applyAlignment="1">
      <alignment vertical="center"/>
    </xf>
    <xf numFmtId="0" fontId="51" fillId="0" borderId="12" xfId="0" applyFont="1" applyBorder="1" applyAlignment="1">
      <alignment vertical="center"/>
    </xf>
    <xf numFmtId="0" fontId="29" fillId="0" borderId="0" xfId="1" applyFont="1" applyAlignment="1">
      <alignment horizontal="right"/>
    </xf>
    <xf numFmtId="49" fontId="30" fillId="0" borderId="13" xfId="5" applyNumberFormat="1" applyFont="1" applyFill="1" applyBorder="1" applyAlignment="1">
      <alignment horizontal="center" vertical="center" wrapText="1"/>
    </xf>
    <xf numFmtId="4" fontId="30" fillId="0" borderId="13" xfId="5" applyNumberFormat="1" applyFont="1" applyFill="1" applyBorder="1" applyAlignment="1">
      <alignment horizontal="center" vertical="center" wrapText="1"/>
    </xf>
    <xf numFmtId="0" fontId="30" fillId="0" borderId="82" xfId="5" applyFont="1" applyFill="1" applyBorder="1" applyAlignment="1">
      <alignment horizontal="center" vertical="center" wrapText="1"/>
    </xf>
    <xf numFmtId="0" fontId="30" fillId="0" borderId="134" xfId="5" applyFont="1" applyFill="1" applyBorder="1" applyAlignment="1">
      <alignment horizontal="center" vertical="center" wrapText="1"/>
    </xf>
    <xf numFmtId="49" fontId="30" fillId="0" borderId="61" xfId="5" applyNumberFormat="1" applyFont="1" applyFill="1" applyBorder="1" applyAlignment="1">
      <alignment horizontal="center" vertical="center" wrapText="1"/>
    </xf>
    <xf numFmtId="0" fontId="30" fillId="0" borderId="62" xfId="5" applyFont="1" applyFill="1" applyBorder="1" applyAlignment="1">
      <alignment horizontal="center" vertical="center" wrapText="1"/>
    </xf>
    <xf numFmtId="0" fontId="30" fillId="0" borderId="123" xfId="5" applyFont="1" applyFill="1" applyBorder="1" applyAlignment="1">
      <alignment horizontal="center" vertical="center" wrapText="1"/>
    </xf>
    <xf numFmtId="0" fontId="30" fillId="0" borderId="2" xfId="5" applyFont="1" applyBorder="1" applyAlignment="1">
      <alignment vertical="top"/>
    </xf>
    <xf numFmtId="0" fontId="30" fillId="0" borderId="23" xfId="5" applyFont="1" applyBorder="1" applyAlignment="1">
      <alignment horizontal="justify" vertical="top" wrapText="1"/>
    </xf>
    <xf numFmtId="3" fontId="30" fillId="0" borderId="4" xfId="5" applyNumberFormat="1" applyFont="1" applyFill="1" applyBorder="1" applyAlignment="1">
      <alignment horizontal="right" vertical="center" wrapText="1"/>
    </xf>
    <xf numFmtId="3" fontId="30" fillId="0" borderId="25" xfId="5" applyNumberFormat="1" applyFont="1" applyFill="1" applyBorder="1" applyAlignment="1">
      <alignment horizontal="right" vertical="center" wrapText="1"/>
    </xf>
    <xf numFmtId="3" fontId="30" fillId="0" borderId="17" xfId="5" applyNumberFormat="1" applyFont="1" applyFill="1" applyBorder="1" applyAlignment="1">
      <alignment horizontal="right" vertical="center" wrapText="1"/>
    </xf>
    <xf numFmtId="0" fontId="29" fillId="0" borderId="134" xfId="5" applyFont="1" applyBorder="1"/>
    <xf numFmtId="0" fontId="29" fillId="0" borderId="49" xfId="5" applyFont="1" applyBorder="1" applyAlignment="1">
      <alignment vertical="top"/>
    </xf>
    <xf numFmtId="3" fontId="29" fillId="0" borderId="28" xfId="5" applyNumberFormat="1" applyFont="1" applyFill="1" applyBorder="1" applyAlignment="1">
      <alignment horizontal="right" vertical="center" wrapText="1"/>
    </xf>
    <xf numFmtId="3" fontId="29" fillId="0" borderId="7" xfId="5" applyNumberFormat="1" applyFont="1" applyFill="1" applyBorder="1" applyAlignment="1">
      <alignment horizontal="right" vertical="center" wrapText="1"/>
    </xf>
    <xf numFmtId="3" fontId="29" fillId="0" borderId="5" xfId="5" applyNumberFormat="1" applyFont="1" applyFill="1" applyBorder="1" applyAlignment="1">
      <alignment horizontal="right" vertical="center" wrapText="1"/>
    </xf>
    <xf numFmtId="0" fontId="29" fillId="0" borderId="50" xfId="5" applyFont="1" applyBorder="1" applyAlignment="1">
      <alignment vertical="top"/>
    </xf>
    <xf numFmtId="3" fontId="29" fillId="0" borderId="27" xfId="5" applyNumberFormat="1" applyFont="1" applyFill="1" applyBorder="1" applyAlignment="1">
      <alignment horizontal="right" vertical="center" wrapText="1"/>
    </xf>
    <xf numFmtId="3" fontId="29" fillId="0" borderId="10" xfId="5" applyNumberFormat="1" applyFont="1" applyFill="1" applyBorder="1" applyAlignment="1">
      <alignment horizontal="right" vertical="center" wrapText="1"/>
    </xf>
    <xf numFmtId="3" fontId="29" fillId="0" borderId="8" xfId="5" applyNumberFormat="1" applyFont="1" applyFill="1" applyBorder="1" applyAlignment="1">
      <alignment horizontal="right" vertical="center" wrapText="1"/>
    </xf>
    <xf numFmtId="0" fontId="29" fillId="0" borderId="124" xfId="5" applyFont="1" applyBorder="1"/>
    <xf numFmtId="0" fontId="29" fillId="0" borderId="22" xfId="5" applyFont="1" applyBorder="1" applyAlignment="1">
      <alignment vertical="top"/>
    </xf>
    <xf numFmtId="0" fontId="29" fillId="0" borderId="35" xfId="5" applyFont="1" applyBorder="1" applyAlignment="1">
      <alignment vertical="top"/>
    </xf>
    <xf numFmtId="3" fontId="29" fillId="0" borderId="32" xfId="5" applyNumberFormat="1" applyFont="1" applyFill="1" applyBorder="1" applyAlignment="1">
      <alignment horizontal="right" vertical="center" wrapText="1"/>
    </xf>
    <xf numFmtId="3" fontId="29" fillId="0" borderId="29" xfId="5" applyNumberFormat="1" applyFont="1" applyFill="1" applyBorder="1" applyAlignment="1">
      <alignment horizontal="right" vertical="center" wrapText="1"/>
    </xf>
    <xf numFmtId="3" fontId="29" fillId="0" borderId="56" xfId="5" applyNumberFormat="1" applyFont="1" applyFill="1" applyBorder="1" applyAlignment="1">
      <alignment horizontal="right" vertical="center" wrapText="1"/>
    </xf>
    <xf numFmtId="0" fontId="30" fillId="0" borderId="23" xfId="5" applyFont="1" applyBorder="1" applyAlignment="1">
      <alignment vertical="top" wrapText="1"/>
    </xf>
    <xf numFmtId="3" fontId="30" fillId="0" borderId="4" xfId="5" applyNumberFormat="1" applyFont="1" applyFill="1" applyBorder="1" applyAlignment="1">
      <alignment vertical="center" wrapText="1"/>
    </xf>
    <xf numFmtId="0" fontId="29" fillId="0" borderId="134" xfId="5" applyFont="1" applyBorder="1" applyAlignment="1">
      <alignment vertical="top" wrapText="1"/>
    </xf>
    <xf numFmtId="0" fontId="29" fillId="0" borderId="49" xfId="5" applyFont="1" applyBorder="1" applyAlignment="1">
      <alignment vertical="top" wrapText="1"/>
    </xf>
    <xf numFmtId="3" fontId="29" fillId="0" borderId="7" xfId="5" applyNumberFormat="1" applyFont="1" applyFill="1" applyBorder="1" applyAlignment="1">
      <alignment vertical="center" wrapText="1"/>
    </xf>
    <xf numFmtId="0" fontId="29" fillId="0" borderId="134" xfId="5" applyFont="1" applyBorder="1" applyAlignment="1">
      <alignment horizontal="justify" vertical="top" wrapText="1"/>
    </xf>
    <xf numFmtId="0" fontId="29" fillId="0" borderId="50" xfId="5" applyFont="1" applyBorder="1" applyAlignment="1">
      <alignment horizontal="justify" vertical="top" wrapText="1"/>
    </xf>
    <xf numFmtId="0" fontId="29" fillId="0" borderId="50" xfId="5" applyFont="1" applyBorder="1" applyAlignment="1">
      <alignment horizontal="left" vertical="top" wrapText="1"/>
    </xf>
    <xf numFmtId="0" fontId="29" fillId="0" borderId="50" xfId="5" applyFont="1" applyFill="1" applyBorder="1" applyAlignment="1">
      <alignment horizontal="left" vertical="top" wrapText="1"/>
    </xf>
    <xf numFmtId="0" fontId="29" fillId="0" borderId="86" xfId="5" applyFont="1" applyBorder="1" applyAlignment="1">
      <alignment horizontal="left" vertical="top" wrapText="1"/>
    </xf>
    <xf numFmtId="3" fontId="29" fillId="0" borderId="13" xfId="5" applyNumberFormat="1" applyFont="1" applyFill="1" applyBorder="1" applyAlignment="1">
      <alignment horizontal="right" vertical="center" wrapText="1"/>
    </xf>
    <xf numFmtId="3" fontId="29" fillId="0" borderId="1" xfId="5" applyNumberFormat="1" applyFont="1" applyFill="1" applyBorder="1" applyAlignment="1">
      <alignment horizontal="right" vertical="center" wrapText="1"/>
    </xf>
    <xf numFmtId="3" fontId="29" fillId="0" borderId="11" xfId="5" applyNumberFormat="1" applyFont="1" applyFill="1" applyBorder="1" applyAlignment="1">
      <alignment horizontal="right" vertical="center" wrapText="1"/>
    </xf>
    <xf numFmtId="0" fontId="40" fillId="0" borderId="0" xfId="5" applyFont="1" applyAlignment="1">
      <alignment horizontal="left"/>
    </xf>
    <xf numFmtId="0" fontId="29" fillId="0" borderId="0" xfId="5" applyFont="1" applyAlignment="1">
      <alignment horizontal="justify"/>
    </xf>
    <xf numFmtId="0" fontId="29" fillId="0" borderId="0" xfId="5" applyFont="1" applyAlignment="1"/>
    <xf numFmtId="0" fontId="30" fillId="0" borderId="26" xfId="5" applyFont="1" applyBorder="1" applyAlignment="1">
      <alignment horizontal="center" vertical="top" wrapText="1"/>
    </xf>
    <xf numFmtId="0" fontId="30" fillId="0" borderId="4" xfId="5" applyFont="1" applyBorder="1" applyAlignment="1">
      <alignment horizontal="center" vertical="top" wrapText="1"/>
    </xf>
    <xf numFmtId="0" fontId="30" fillId="0" borderId="19" xfId="5" applyFont="1" applyBorder="1" applyAlignment="1">
      <alignment horizontal="center" vertical="top" wrapText="1"/>
    </xf>
    <xf numFmtId="3" fontId="30" fillId="0" borderId="4" xfId="5" applyNumberFormat="1" applyFont="1" applyBorder="1" applyAlignment="1">
      <alignment vertical="top" wrapText="1"/>
    </xf>
    <xf numFmtId="3" fontId="30" fillId="0" borderId="19" xfId="5" applyNumberFormat="1" applyFont="1" applyBorder="1" applyAlignment="1">
      <alignment vertical="top"/>
    </xf>
    <xf numFmtId="3" fontId="29" fillId="0" borderId="61" xfId="5" applyNumberFormat="1" applyFont="1" applyBorder="1" applyAlignment="1">
      <alignment vertical="top" wrapText="1"/>
    </xf>
    <xf numFmtId="3" fontId="30" fillId="0" borderId="19" xfId="5" applyNumberFormat="1" applyFont="1" applyBorder="1" applyAlignment="1">
      <alignment horizontal="right" vertical="top"/>
    </xf>
    <xf numFmtId="0" fontId="29" fillId="0" borderId="21" xfId="5" applyFont="1" applyBorder="1" applyAlignment="1">
      <alignment horizontal="justify" vertical="top" wrapText="1"/>
    </xf>
    <xf numFmtId="3" fontId="29" fillId="0" borderId="7" xfId="5" applyNumberFormat="1" applyFont="1" applyBorder="1" applyAlignment="1">
      <alignment vertical="top" wrapText="1"/>
    </xf>
    <xf numFmtId="3" fontId="29" fillId="0" borderId="21" xfId="5" applyNumberFormat="1" applyFont="1" applyBorder="1" applyAlignment="1">
      <alignment horizontal="right" vertical="top"/>
    </xf>
    <xf numFmtId="0" fontId="29" fillId="0" borderId="35" xfId="5" applyFont="1" applyBorder="1" applyAlignment="1">
      <alignment horizontal="justify" vertical="top" wrapText="1"/>
    </xf>
    <xf numFmtId="3" fontId="29" fillId="0" borderId="29" xfId="5" applyNumberFormat="1" applyFont="1" applyBorder="1" applyAlignment="1">
      <alignment vertical="top" wrapText="1"/>
    </xf>
    <xf numFmtId="3" fontId="29" fillId="0" borderId="22" xfId="5" applyNumberFormat="1" applyFont="1" applyBorder="1" applyAlignment="1">
      <alignment horizontal="right" vertical="top"/>
    </xf>
    <xf numFmtId="0" fontId="29" fillId="0" borderId="1" xfId="5" applyFont="1" applyBorder="1" applyAlignment="1">
      <alignment horizontal="justify" vertical="top" wrapText="1"/>
    </xf>
    <xf numFmtId="3" fontId="29" fillId="0" borderId="13" xfId="5" applyNumberFormat="1" applyFont="1" applyFill="1" applyBorder="1" applyAlignment="1">
      <alignment vertical="top" wrapText="1"/>
    </xf>
    <xf numFmtId="3" fontId="29" fillId="0" borderId="1" xfId="5" applyNumberFormat="1" applyFont="1" applyBorder="1" applyAlignment="1">
      <alignment horizontal="right" vertical="top"/>
    </xf>
    <xf numFmtId="0" fontId="29" fillId="0" borderId="0" xfId="5" applyFont="1" applyBorder="1" applyAlignment="1">
      <alignment vertical="top" wrapText="1"/>
    </xf>
    <xf numFmtId="0" fontId="29" fillId="0" borderId="0" xfId="5" applyFont="1" applyBorder="1"/>
    <xf numFmtId="0" fontId="30" fillId="0" borderId="26" xfId="5" applyFont="1" applyFill="1" applyBorder="1" applyAlignment="1">
      <alignment horizontal="center" vertical="top" wrapText="1"/>
    </xf>
    <xf numFmtId="3" fontId="30" fillId="0" borderId="4" xfId="5" applyNumberFormat="1" applyFont="1" applyBorder="1" applyAlignment="1">
      <alignment horizontal="right" vertical="top"/>
    </xf>
    <xf numFmtId="3" fontId="30" fillId="0" borderId="23" xfId="5" applyNumberFormat="1" applyFont="1" applyBorder="1" applyAlignment="1">
      <alignment horizontal="right" vertical="top" wrapText="1"/>
    </xf>
    <xf numFmtId="0" fontId="29" fillId="0" borderId="6" xfId="5" applyFont="1" applyBorder="1" applyAlignment="1">
      <alignment horizontal="justify" vertical="top" wrapText="1"/>
    </xf>
    <xf numFmtId="3" fontId="29" fillId="0" borderId="7" xfId="5" applyNumberFormat="1" applyFont="1" applyBorder="1" applyAlignment="1">
      <alignment horizontal="right" vertical="top" wrapText="1"/>
    </xf>
    <xf numFmtId="3" fontId="29" fillId="0" borderId="49" xfId="5" applyNumberFormat="1" applyFont="1" applyBorder="1" applyAlignment="1">
      <alignment horizontal="right" vertical="top" wrapText="1"/>
    </xf>
    <xf numFmtId="0" fontId="29" fillId="0" borderId="9" xfId="5" applyFont="1" applyBorder="1" applyAlignment="1">
      <alignment horizontal="justify" vertical="top" wrapText="1"/>
    </xf>
    <xf numFmtId="3" fontId="29" fillId="0" borderId="10" xfId="5" applyNumberFormat="1" applyFont="1" applyBorder="1" applyAlignment="1">
      <alignment horizontal="right" vertical="top"/>
    </xf>
    <xf numFmtId="3" fontId="29" fillId="0" borderId="49" xfId="5" applyNumberFormat="1" applyFont="1" applyFill="1" applyBorder="1" applyAlignment="1">
      <alignment horizontal="right" vertical="top" wrapText="1"/>
    </xf>
    <xf numFmtId="3" fontId="29" fillId="0" borderId="10" xfId="5" applyNumberFormat="1" applyFont="1" applyBorder="1" applyAlignment="1">
      <alignment horizontal="right" vertical="top" wrapText="1"/>
    </xf>
    <xf numFmtId="3" fontId="29" fillId="0" borderId="10" xfId="5" applyNumberFormat="1" applyFont="1" applyFill="1" applyBorder="1" applyAlignment="1">
      <alignment horizontal="right" vertical="top"/>
    </xf>
    <xf numFmtId="0" fontId="29" fillId="0" borderId="12" xfId="5" applyFont="1" applyBorder="1" applyAlignment="1">
      <alignment horizontal="justify" vertical="top" wrapText="1"/>
    </xf>
    <xf numFmtId="3" fontId="29" fillId="0" borderId="13" xfId="5" applyNumberFormat="1" applyFont="1" applyBorder="1" applyAlignment="1">
      <alignment horizontal="right" vertical="top" wrapText="1"/>
    </xf>
    <xf numFmtId="3" fontId="29" fillId="0" borderId="86" xfId="5" applyNumberFormat="1" applyFont="1" applyBorder="1" applyAlignment="1">
      <alignment horizontal="right" vertical="top" wrapText="1"/>
    </xf>
    <xf numFmtId="0" fontId="29" fillId="0" borderId="0" xfId="5" applyFont="1" applyBorder="1" applyAlignment="1">
      <alignment horizontal="justify" vertical="top" wrapText="1"/>
    </xf>
    <xf numFmtId="166" fontId="45" fillId="0" borderId="0" xfId="5" applyNumberFormat="1" applyFont="1" applyBorder="1" applyAlignment="1">
      <alignment horizontal="right" vertical="top" wrapText="1"/>
    </xf>
    <xf numFmtId="166" fontId="35" fillId="0" borderId="0" xfId="5" applyNumberFormat="1" applyFont="1" applyBorder="1" applyAlignment="1">
      <alignment horizontal="right" vertical="top" wrapText="1"/>
    </xf>
    <xf numFmtId="0" fontId="28" fillId="0" borderId="0" xfId="5" applyFont="1" applyAlignment="1">
      <alignment horizontal="justify" vertical="center"/>
    </xf>
    <xf numFmtId="0" fontId="29" fillId="0" borderId="0" xfId="5" applyFont="1" applyAlignment="1">
      <alignment vertical="center"/>
    </xf>
    <xf numFmtId="4" fontId="30" fillId="0" borderId="91" xfId="5" applyNumberFormat="1" applyFont="1" applyBorder="1" applyAlignment="1">
      <alignment horizontal="center" vertical="top" wrapText="1"/>
    </xf>
    <xf numFmtId="4" fontId="30" fillId="0" borderId="4" xfId="5" applyNumberFormat="1" applyFont="1" applyBorder="1" applyAlignment="1">
      <alignment horizontal="center" vertical="top" wrapText="1"/>
    </xf>
    <xf numFmtId="3" fontId="30" fillId="0" borderId="23" xfId="5" applyNumberFormat="1" applyFont="1" applyBorder="1" applyAlignment="1">
      <alignment vertical="top" wrapText="1"/>
    </xf>
    <xf numFmtId="0" fontId="29" fillId="0" borderId="7" xfId="5" applyFont="1" applyBorder="1" applyAlignment="1">
      <alignment horizontal="justify" vertical="top" wrapText="1"/>
    </xf>
    <xf numFmtId="3" fontId="29" fillId="0" borderId="49" xfId="5" applyNumberFormat="1" applyFont="1" applyFill="1" applyBorder="1" applyAlignment="1">
      <alignment vertical="top" wrapText="1"/>
    </xf>
    <xf numFmtId="0" fontId="29" fillId="0" borderId="10" xfId="5" applyFont="1" applyBorder="1" applyAlignment="1">
      <alignment horizontal="justify" vertical="top" wrapText="1"/>
    </xf>
    <xf numFmtId="0" fontId="29" fillId="0" borderId="29" xfId="5" applyFont="1" applyBorder="1" applyAlignment="1">
      <alignment horizontal="justify" vertical="top" wrapText="1"/>
    </xf>
    <xf numFmtId="3" fontId="29" fillId="0" borderId="83" xfId="5" applyNumberFormat="1" applyFont="1" applyFill="1" applyBorder="1" applyAlignment="1">
      <alignment vertical="top" wrapText="1"/>
    </xf>
    <xf numFmtId="3" fontId="30" fillId="0" borderId="23" xfId="5" applyNumberFormat="1" applyFont="1" applyFill="1" applyBorder="1" applyAlignment="1">
      <alignment vertical="top" wrapText="1"/>
    </xf>
    <xf numFmtId="0" fontId="29" fillId="0" borderId="114" xfId="5" applyFont="1" applyBorder="1" applyAlignment="1">
      <alignment vertical="top"/>
    </xf>
    <xf numFmtId="3" fontId="29" fillId="0" borderId="49" xfId="5" applyNumberFormat="1" applyFont="1" applyBorder="1" applyAlignment="1">
      <alignment vertical="top" wrapText="1"/>
    </xf>
    <xf numFmtId="0" fontId="29" fillId="0" borderId="134" xfId="5" applyFont="1" applyBorder="1" applyAlignment="1">
      <alignment vertical="top"/>
    </xf>
    <xf numFmtId="0" fontId="29" fillId="0" borderId="10" xfId="5" applyFont="1" applyBorder="1" applyAlignment="1">
      <alignment vertical="top" wrapText="1"/>
    </xf>
    <xf numFmtId="0" fontId="29" fillId="0" borderId="10" xfId="5" applyFont="1" applyFill="1" applyBorder="1" applyAlignment="1">
      <alignment horizontal="justify" vertical="top" wrapText="1"/>
    </xf>
    <xf numFmtId="3" fontId="29" fillId="0" borderId="7" xfId="5" applyNumberFormat="1" applyFont="1" applyFill="1" applyBorder="1" applyAlignment="1">
      <alignment vertical="top" wrapText="1"/>
    </xf>
    <xf numFmtId="3" fontId="30" fillId="0" borderId="4" xfId="5" applyNumberFormat="1" applyFont="1" applyFill="1" applyBorder="1" applyAlignment="1">
      <alignment vertical="top" wrapText="1"/>
    </xf>
    <xf numFmtId="0" fontId="29" fillId="0" borderId="0" xfId="5" applyFont="1" applyAlignment="1">
      <alignment horizontal="justify" vertical="center"/>
    </xf>
    <xf numFmtId="0" fontId="29" fillId="0" borderId="0" xfId="5" applyFont="1" applyBorder="1" applyAlignment="1">
      <alignment vertical="center"/>
    </xf>
    <xf numFmtId="0" fontId="60" fillId="0" borderId="0" xfId="0" applyFont="1"/>
    <xf numFmtId="0" fontId="29" fillId="0" borderId="29" xfId="1" applyFont="1" applyBorder="1" applyAlignment="1" applyProtection="1">
      <alignment horizontal="left" vertical="center" indent="1"/>
      <protection locked="0"/>
    </xf>
    <xf numFmtId="0" fontId="29" fillId="0" borderId="7" xfId="1" applyFont="1" applyBorder="1" applyAlignment="1" applyProtection="1">
      <alignment horizontal="left" vertical="center" indent="1"/>
      <protection locked="0"/>
    </xf>
    <xf numFmtId="0" fontId="30" fillId="0" borderId="23" xfId="5" applyFont="1" applyBorder="1" applyAlignment="1">
      <alignment horizontal="center" vertical="top" wrapText="1"/>
    </xf>
    <xf numFmtId="0" fontId="29" fillId="0" borderId="134" xfId="5" applyFont="1" applyBorder="1" applyAlignment="1">
      <alignment horizontal="left" vertical="top" wrapText="1"/>
    </xf>
    <xf numFmtId="0" fontId="29" fillId="0" borderId="65" xfId="5" applyFont="1" applyBorder="1" applyAlignment="1">
      <alignment horizontal="left" vertical="top" wrapText="1"/>
    </xf>
    <xf numFmtId="0" fontId="36" fillId="0" borderId="0" xfId="5" applyFont="1" applyAlignment="1">
      <alignment vertical="center" wrapText="1"/>
    </xf>
    <xf numFmtId="0" fontId="34" fillId="0" borderId="0" xfId="5" applyFont="1" applyAlignment="1">
      <alignment vertical="center"/>
    </xf>
    <xf numFmtId="0" fontId="57" fillId="0" borderId="0" xfId="0" applyFont="1" applyAlignment="1">
      <alignment vertical="center" wrapText="1"/>
    </xf>
    <xf numFmtId="0" fontId="57" fillId="0" borderId="0" xfId="0" applyFont="1" applyAlignment="1">
      <alignment vertical="center"/>
    </xf>
    <xf numFmtId="0" fontId="59" fillId="0" borderId="20" xfId="0" applyFont="1" applyBorder="1" applyAlignment="1">
      <alignment vertical="center" wrapText="1"/>
    </xf>
    <xf numFmtId="0" fontId="44" fillId="0" borderId="23" xfId="0" applyFont="1" applyBorder="1" applyAlignment="1">
      <alignment horizontal="center" vertical="center"/>
    </xf>
    <xf numFmtId="0" fontId="58" fillId="0" borderId="20" xfId="0" applyFont="1" applyBorder="1" applyAlignment="1">
      <alignment vertical="center" wrapText="1"/>
    </xf>
    <xf numFmtId="3" fontId="51" fillId="0" borderId="40" xfId="0" applyNumberFormat="1" applyFont="1" applyBorder="1" applyAlignment="1">
      <alignment horizontal="right" vertical="center"/>
    </xf>
    <xf numFmtId="0" fontId="41" fillId="0" borderId="52" xfId="0" applyFont="1" applyBorder="1" applyAlignment="1">
      <alignment vertical="center"/>
    </xf>
    <xf numFmtId="0" fontId="58" fillId="0" borderId="17" xfId="0" applyFont="1" applyBorder="1" applyAlignment="1">
      <alignment vertical="center" wrapText="1"/>
    </xf>
    <xf numFmtId="0" fontId="51" fillId="0" borderId="26" xfId="0" applyFont="1" applyBorder="1" applyAlignment="1">
      <alignment vertical="center"/>
    </xf>
    <xf numFmtId="3" fontId="51" fillId="0" borderId="19" xfId="0" applyNumberFormat="1" applyFont="1" applyBorder="1" applyAlignment="1">
      <alignment horizontal="right" vertical="center"/>
    </xf>
    <xf numFmtId="0" fontId="41" fillId="0" borderId="23" xfId="0" applyFont="1" applyBorder="1" applyAlignment="1">
      <alignment vertical="center"/>
    </xf>
    <xf numFmtId="0" fontId="58" fillId="0" borderId="123" xfId="0" applyFont="1" applyBorder="1" applyAlignment="1">
      <alignment vertical="center" wrapText="1"/>
    </xf>
    <xf numFmtId="3" fontId="51" fillId="0" borderId="21" xfId="0" applyNumberFormat="1" applyFont="1" applyBorder="1" applyAlignment="1">
      <alignment horizontal="right" vertical="center"/>
    </xf>
    <xf numFmtId="0" fontId="41" fillId="0" borderId="49" xfId="0" applyFont="1" applyBorder="1" applyAlignment="1">
      <alignment vertical="center"/>
    </xf>
    <xf numFmtId="3" fontId="51" fillId="0" borderId="22" xfId="0" applyNumberFormat="1" applyFont="1" applyBorder="1" applyAlignment="1">
      <alignment horizontal="right" vertical="center"/>
    </xf>
    <xf numFmtId="0" fontId="41" fillId="0" borderId="50" xfId="0" applyFont="1" applyBorder="1" applyAlignment="1">
      <alignment vertical="center"/>
    </xf>
    <xf numFmtId="3" fontId="51" fillId="0" borderId="35" xfId="0" applyNumberFormat="1" applyFont="1" applyBorder="1" applyAlignment="1">
      <alignment horizontal="right" vertical="center"/>
    </xf>
    <xf numFmtId="0" fontId="41" fillId="0" borderId="51" xfId="0" applyFont="1" applyBorder="1" applyAlignment="1">
      <alignment vertical="center"/>
    </xf>
    <xf numFmtId="0" fontId="29" fillId="0" borderId="23" xfId="0" applyFont="1" applyBorder="1" applyAlignment="1" applyProtection="1">
      <alignment vertical="center" wrapText="1"/>
      <protection locked="0"/>
    </xf>
    <xf numFmtId="0" fontId="58" fillId="0" borderId="0" xfId="0" applyFont="1" applyBorder="1" applyAlignment="1">
      <alignment vertical="center" wrapText="1"/>
    </xf>
    <xf numFmtId="0" fontId="51" fillId="0" borderId="0" xfId="0" applyFont="1" applyBorder="1" applyAlignment="1">
      <alignment vertical="center"/>
    </xf>
    <xf numFmtId="3" fontId="51" fillId="0" borderId="0" xfId="0" applyNumberFormat="1" applyFont="1" applyBorder="1" applyAlignment="1">
      <alignment horizontal="right" vertical="center"/>
    </xf>
    <xf numFmtId="0" fontId="29" fillId="0" borderId="0" xfId="0" applyFont="1" applyBorder="1" applyAlignment="1" applyProtection="1">
      <alignment vertical="center" wrapText="1"/>
      <protection locked="0"/>
    </xf>
    <xf numFmtId="0" fontId="58" fillId="0" borderId="132" xfId="0" applyFont="1" applyBorder="1" applyAlignment="1">
      <alignment vertical="center" wrapText="1"/>
    </xf>
    <xf numFmtId="0" fontId="58" fillId="0" borderId="15" xfId="0" applyFont="1" applyBorder="1" applyAlignment="1">
      <alignment vertical="center"/>
    </xf>
    <xf numFmtId="3" fontId="58" fillId="0" borderId="40" xfId="0" applyNumberFormat="1" applyFont="1" applyBorder="1" applyAlignment="1">
      <alignment horizontal="right" vertical="center"/>
    </xf>
    <xf numFmtId="0" fontId="29" fillId="0" borderId="14" xfId="0" applyFont="1" applyBorder="1" applyAlignment="1" applyProtection="1">
      <alignment vertical="center"/>
      <protection locked="0"/>
    </xf>
    <xf numFmtId="0" fontId="58" fillId="0" borderId="124" xfId="0" applyFont="1" applyBorder="1" applyAlignment="1">
      <alignment vertical="center" wrapText="1"/>
    </xf>
    <xf numFmtId="0" fontId="58" fillId="0" borderId="30" xfId="0" applyFont="1" applyBorder="1" applyAlignment="1">
      <alignment vertical="center"/>
    </xf>
    <xf numFmtId="3" fontId="58" fillId="0" borderId="22" xfId="0" applyNumberFormat="1" applyFont="1" applyBorder="1" applyAlignment="1">
      <alignment horizontal="right" vertical="center"/>
    </xf>
    <xf numFmtId="0" fontId="29" fillId="0" borderId="8" xfId="0" applyFont="1" applyBorder="1" applyAlignment="1" applyProtection="1">
      <alignment vertical="center"/>
      <protection locked="0"/>
    </xf>
    <xf numFmtId="0" fontId="58" fillId="0" borderId="131" xfId="0" applyFont="1" applyBorder="1" applyAlignment="1">
      <alignment vertical="center" wrapText="1"/>
    </xf>
    <xf numFmtId="0" fontId="58" fillId="0" borderId="18" xfId="0" applyFont="1" applyBorder="1" applyAlignment="1">
      <alignment vertical="center"/>
    </xf>
    <xf numFmtId="3" fontId="58" fillId="0" borderId="1" xfId="0" applyNumberFormat="1" applyFont="1" applyBorder="1" applyAlignment="1">
      <alignment horizontal="right" vertical="center"/>
    </xf>
    <xf numFmtId="0" fontId="29" fillId="0" borderId="11" xfId="0" applyFont="1" applyBorder="1" applyAlignment="1" applyProtection="1">
      <alignment vertical="center"/>
      <protection locked="0"/>
    </xf>
    <xf numFmtId="0" fontId="29" fillId="0" borderId="49" xfId="5" applyFont="1" applyBorder="1" applyAlignment="1">
      <alignment vertical="center"/>
    </xf>
    <xf numFmtId="0" fontId="29" fillId="0" borderId="50" xfId="5" applyFont="1" applyBorder="1" applyAlignment="1">
      <alignment vertical="center"/>
    </xf>
    <xf numFmtId="0" fontId="51" fillId="0" borderId="123" xfId="0" applyFont="1" applyBorder="1" applyAlignment="1">
      <alignment vertical="center" wrapText="1"/>
    </xf>
    <xf numFmtId="0" fontId="51" fillId="0" borderId="36" xfId="0" applyFont="1" applyBorder="1" applyAlignment="1">
      <alignment vertical="center" wrapText="1"/>
    </xf>
    <xf numFmtId="3" fontId="51" fillId="0" borderId="1" xfId="0" applyNumberFormat="1" applyFont="1" applyBorder="1" applyAlignment="1">
      <alignment horizontal="right" vertical="center"/>
    </xf>
    <xf numFmtId="0" fontId="29" fillId="0" borderId="86" xfId="5" applyFont="1" applyBorder="1" applyAlignment="1">
      <alignment vertical="center"/>
    </xf>
    <xf numFmtId="0" fontId="29" fillId="0" borderId="0" xfId="5" applyFont="1" applyAlignment="1">
      <alignment vertical="center" wrapText="1"/>
    </xf>
    <xf numFmtId="0" fontId="41" fillId="0" borderId="45" xfId="0" applyFont="1" applyBorder="1" applyAlignment="1">
      <alignment horizontal="left" vertical="center"/>
    </xf>
    <xf numFmtId="0" fontId="41" fillId="0" borderId="87" xfId="0" applyFont="1" applyBorder="1" applyAlignment="1">
      <alignment horizontal="left" vertical="center"/>
    </xf>
    <xf numFmtId="3" fontId="29" fillId="0" borderId="10" xfId="2" applyNumberFormat="1" applyFont="1" applyFill="1" applyBorder="1" applyAlignment="1">
      <alignment horizontal="center" vertical="center"/>
    </xf>
    <xf numFmtId="3" fontId="44" fillId="9" borderId="17" xfId="0" applyNumberFormat="1" applyFont="1" applyFill="1" applyBorder="1" applyAlignment="1">
      <alignment horizontal="right" vertical="center"/>
    </xf>
    <xf numFmtId="3" fontId="44" fillId="0" borderId="17" xfId="0" applyNumberFormat="1" applyFont="1" applyFill="1" applyBorder="1" applyAlignment="1">
      <alignment horizontal="right" vertical="center"/>
    </xf>
    <xf numFmtId="3" fontId="41" fillId="0" borderId="56" xfId="0" applyNumberFormat="1" applyFont="1" applyBorder="1" applyAlignment="1">
      <alignment horizontal="right" vertical="center"/>
    </xf>
    <xf numFmtId="0" fontId="52" fillId="0" borderId="17" xfId="0" applyFont="1" applyFill="1" applyBorder="1" applyAlignment="1">
      <alignment vertical="center"/>
    </xf>
    <xf numFmtId="49" fontId="44" fillId="0" borderId="17" xfId="0" applyNumberFormat="1" applyFont="1" applyFill="1" applyBorder="1" applyAlignment="1">
      <alignment horizontal="right" vertical="center"/>
    </xf>
    <xf numFmtId="0" fontId="44" fillId="0" borderId="17" xfId="0" applyFont="1" applyFill="1" applyBorder="1" applyAlignment="1">
      <alignment horizontal="center" vertical="center"/>
    </xf>
    <xf numFmtId="3" fontId="52" fillId="0" borderId="17" xfId="0" applyNumberFormat="1" applyFont="1" applyFill="1" applyBorder="1" applyAlignment="1">
      <alignment horizontal="center" vertical="center"/>
    </xf>
    <xf numFmtId="0" fontId="51" fillId="0" borderId="17" xfId="0" applyFont="1" applyFill="1" applyBorder="1" applyAlignment="1">
      <alignment vertical="center"/>
    </xf>
    <xf numFmtId="49" fontId="41" fillId="0" borderId="17" xfId="0" applyNumberFormat="1" applyFont="1" applyFill="1" applyBorder="1" applyAlignment="1">
      <alignment horizontal="right" vertical="center"/>
    </xf>
    <xf numFmtId="3" fontId="41" fillId="0" borderId="17" xfId="0" applyNumberFormat="1" applyFont="1" applyFill="1" applyBorder="1" applyAlignment="1">
      <alignment horizontal="right" vertical="center"/>
    </xf>
    <xf numFmtId="0" fontId="51" fillId="0" borderId="8" xfId="0" applyFont="1" applyFill="1" applyBorder="1" applyAlignment="1">
      <alignment vertical="center"/>
    </xf>
    <xf numFmtId="49" fontId="41" fillId="0" borderId="8" xfId="0" applyNumberFormat="1" applyFont="1" applyFill="1" applyBorder="1" applyAlignment="1">
      <alignment horizontal="right" vertical="center"/>
    </xf>
    <xf numFmtId="3" fontId="41" fillId="0" borderId="8" xfId="0" applyNumberFormat="1" applyFont="1" applyFill="1" applyBorder="1" applyAlignment="1">
      <alignment horizontal="right" vertical="center"/>
    </xf>
    <xf numFmtId="0" fontId="51" fillId="0" borderId="123" xfId="0" applyFont="1" applyFill="1" applyBorder="1" applyAlignment="1">
      <alignment vertical="center"/>
    </xf>
    <xf numFmtId="49" fontId="41" fillId="0" borderId="123" xfId="0" applyNumberFormat="1" applyFont="1" applyFill="1" applyBorder="1" applyAlignment="1">
      <alignment horizontal="right" vertical="center"/>
    </xf>
    <xf numFmtId="3" fontId="41" fillId="0" borderId="123" xfId="0" applyNumberFormat="1" applyFont="1" applyFill="1" applyBorder="1" applyAlignment="1">
      <alignment horizontal="right" vertical="center"/>
    </xf>
    <xf numFmtId="0" fontId="51" fillId="0" borderId="56" xfId="0" applyFont="1" applyFill="1" applyBorder="1" applyAlignment="1">
      <alignment vertical="center"/>
    </xf>
    <xf numFmtId="49" fontId="41" fillId="0" borderId="56" xfId="0" applyNumberFormat="1" applyFont="1" applyFill="1" applyBorder="1" applyAlignment="1">
      <alignment horizontal="right" vertical="center"/>
    </xf>
    <xf numFmtId="3" fontId="41" fillId="0" borderId="56" xfId="0" applyNumberFormat="1" applyFont="1" applyFill="1" applyBorder="1" applyAlignment="1">
      <alignment horizontal="right" vertical="center"/>
    </xf>
    <xf numFmtId="3" fontId="0" fillId="0" borderId="0" xfId="0" applyNumberFormat="1" applyAlignment="1">
      <alignment vertical="center"/>
    </xf>
    <xf numFmtId="3" fontId="12" fillId="0" borderId="40" xfId="4" applyNumberFormat="1" applyFont="1" applyBorder="1" applyAlignment="1" applyProtection="1">
      <alignment horizontal="center" vertical="center" wrapText="1"/>
      <protection locked="0"/>
    </xf>
    <xf numFmtId="3" fontId="6" fillId="0" borderId="21" xfId="4" applyNumberFormat="1" applyFont="1" applyBorder="1" applyAlignment="1" applyProtection="1">
      <alignment horizontal="center" vertical="center" wrapText="1"/>
      <protection locked="0"/>
    </xf>
    <xf numFmtId="3" fontId="6" fillId="0" borderId="35" xfId="4" applyNumberFormat="1" applyFont="1" applyBorder="1" applyAlignment="1" applyProtection="1">
      <alignment horizontal="center" vertical="center" wrapText="1"/>
      <protection locked="0"/>
    </xf>
    <xf numFmtId="0" fontId="29" fillId="0" borderId="124" xfId="5" applyFont="1" applyBorder="1" applyAlignment="1">
      <alignment horizontal="left" vertical="center" wrapText="1"/>
    </xf>
    <xf numFmtId="0" fontId="29" fillId="0" borderId="53" xfId="5" applyFont="1" applyBorder="1" applyAlignment="1">
      <alignment horizontal="left" vertical="center" wrapText="1"/>
    </xf>
    <xf numFmtId="3" fontId="29" fillId="0" borderId="61" xfId="5" applyNumberFormat="1" applyFont="1" applyBorder="1" applyAlignment="1">
      <alignment vertical="center" wrapText="1"/>
    </xf>
    <xf numFmtId="3" fontId="29" fillId="0" borderId="53" xfId="5" applyNumberFormat="1" applyFont="1" applyBorder="1" applyAlignment="1">
      <alignment vertical="center"/>
    </xf>
    <xf numFmtId="3" fontId="29" fillId="0" borderId="7" xfId="5" applyNumberFormat="1" applyFont="1" applyBorder="1" applyAlignment="1">
      <alignment vertical="center" wrapText="1"/>
    </xf>
    <xf numFmtId="3" fontId="29" fillId="0" borderId="49" xfId="5" applyNumberFormat="1" applyFont="1" applyFill="1" applyBorder="1" applyAlignment="1">
      <alignment vertical="center" wrapText="1"/>
    </xf>
    <xf numFmtId="3" fontId="29" fillId="0" borderId="49" xfId="5" applyNumberFormat="1" applyFont="1" applyBorder="1" applyAlignment="1">
      <alignment vertical="center" wrapText="1"/>
    </xf>
    <xf numFmtId="0" fontId="41" fillId="0" borderId="45" xfId="0" applyFont="1" applyFill="1" applyBorder="1" applyAlignment="1">
      <alignment vertical="center"/>
    </xf>
    <xf numFmtId="49" fontId="41" fillId="0" borderId="0" xfId="0" applyNumberFormat="1" applyFont="1" applyFill="1" applyBorder="1" applyAlignment="1">
      <alignment vertical="center" wrapText="1"/>
    </xf>
    <xf numFmtId="49" fontId="41" fillId="0" borderId="45" xfId="0" applyNumberFormat="1" applyFont="1" applyFill="1" applyBorder="1" applyAlignment="1">
      <alignment vertical="center" wrapText="1"/>
    </xf>
    <xf numFmtId="3" fontId="30" fillId="9" borderId="63" xfId="1" applyNumberFormat="1" applyFont="1" applyFill="1" applyBorder="1" applyAlignment="1">
      <alignment horizontal="right" vertical="center"/>
    </xf>
    <xf numFmtId="3" fontId="30" fillId="9" borderId="115" xfId="1" applyNumberFormat="1" applyFont="1" applyFill="1" applyBorder="1" applyAlignment="1">
      <alignment horizontal="right" vertical="center"/>
    </xf>
    <xf numFmtId="3" fontId="30" fillId="9" borderId="116" xfId="1" applyNumberFormat="1" applyFont="1" applyFill="1" applyBorder="1" applyAlignment="1">
      <alignment horizontal="right" vertical="center"/>
    </xf>
    <xf numFmtId="3" fontId="30" fillId="9" borderId="64" xfId="1" applyNumberFormat="1" applyFont="1" applyFill="1" applyBorder="1" applyAlignment="1">
      <alignment horizontal="right" vertical="center"/>
    </xf>
    <xf numFmtId="3" fontId="30" fillId="9" borderId="113" xfId="1" applyNumberFormat="1" applyFont="1" applyFill="1" applyBorder="1" applyAlignment="1">
      <alignment horizontal="right" vertical="center"/>
    </xf>
    <xf numFmtId="3" fontId="30" fillId="9" borderId="114" xfId="1" applyNumberFormat="1" applyFont="1" applyFill="1" applyBorder="1" applyAlignment="1">
      <alignment horizontal="right" vertical="center"/>
    </xf>
    <xf numFmtId="3" fontId="30" fillId="4" borderId="10" xfId="1" applyNumberFormat="1" applyFont="1" applyFill="1" applyBorder="1" applyAlignment="1">
      <alignment horizontal="right" vertical="center"/>
    </xf>
    <xf numFmtId="3" fontId="30" fillId="4" borderId="92" xfId="1" applyNumberFormat="1" applyFont="1" applyFill="1" applyBorder="1" applyAlignment="1">
      <alignment horizontal="right" vertical="center"/>
    </xf>
    <xf numFmtId="3" fontId="30" fillId="4" borderId="117" xfId="1" applyNumberFormat="1" applyFont="1" applyFill="1" applyBorder="1" applyAlignment="1">
      <alignment horizontal="right" vertical="center"/>
    </xf>
    <xf numFmtId="3" fontId="30" fillId="4" borderId="118" xfId="1" applyNumberFormat="1" applyFont="1" applyFill="1" applyBorder="1" applyAlignment="1">
      <alignment horizontal="right" vertical="center"/>
    </xf>
    <xf numFmtId="3" fontId="30" fillId="4" borderId="9" xfId="1" applyNumberFormat="1" applyFont="1" applyFill="1" applyBorder="1" applyAlignment="1">
      <alignment horizontal="right" vertical="center"/>
    </xf>
    <xf numFmtId="3" fontId="30" fillId="4" borderId="22" xfId="1" applyNumberFormat="1" applyFont="1" applyFill="1" applyBorder="1" applyAlignment="1">
      <alignment horizontal="right" vertical="center"/>
    </xf>
    <xf numFmtId="3" fontId="30" fillId="4" borderId="30" xfId="1" applyNumberFormat="1" applyFont="1" applyFill="1" applyBorder="1" applyAlignment="1">
      <alignment horizontal="right" vertical="center"/>
    </xf>
    <xf numFmtId="3" fontId="30" fillId="0" borderId="10" xfId="1" applyNumberFormat="1" applyFont="1" applyFill="1" applyBorder="1" applyAlignment="1">
      <alignment horizontal="right" vertical="center"/>
    </xf>
    <xf numFmtId="3" fontId="30" fillId="0" borderId="92" xfId="1" applyNumberFormat="1" applyFont="1" applyFill="1" applyBorder="1" applyAlignment="1">
      <alignment horizontal="right" vertical="center"/>
    </xf>
    <xf numFmtId="3" fontId="30" fillId="0" borderId="117" xfId="1" applyNumberFormat="1" applyFont="1" applyFill="1" applyBorder="1" applyAlignment="1">
      <alignment horizontal="right" vertical="center"/>
    </xf>
    <xf numFmtId="3" fontId="30" fillId="0" borderId="22" xfId="1" applyNumberFormat="1" applyFont="1" applyFill="1" applyBorder="1" applyAlignment="1">
      <alignment horizontal="right" vertical="center"/>
    </xf>
    <xf numFmtId="3" fontId="30" fillId="9" borderId="30" xfId="1" applyNumberFormat="1" applyFont="1" applyFill="1" applyBorder="1" applyAlignment="1">
      <alignment horizontal="right" vertical="center"/>
    </xf>
    <xf numFmtId="3" fontId="30" fillId="9" borderId="10" xfId="1" applyNumberFormat="1" applyFont="1" applyFill="1" applyBorder="1" applyAlignment="1">
      <alignment horizontal="right" vertical="center"/>
    </xf>
    <xf numFmtId="3" fontId="30" fillId="9" borderId="92" xfId="1" applyNumberFormat="1" applyFont="1" applyFill="1" applyBorder="1" applyAlignment="1">
      <alignment horizontal="right" vertical="center"/>
    </xf>
    <xf numFmtId="3" fontId="30" fillId="9" borderId="118" xfId="1" applyNumberFormat="1" applyFont="1" applyFill="1" applyBorder="1" applyAlignment="1">
      <alignment horizontal="right" vertical="center"/>
    </xf>
    <xf numFmtId="3" fontId="30" fillId="9" borderId="9" xfId="1" applyNumberFormat="1" applyFont="1" applyFill="1" applyBorder="1" applyAlignment="1">
      <alignment horizontal="right" vertical="center"/>
    </xf>
    <xf numFmtId="3" fontId="30" fillId="9" borderId="22" xfId="1" applyNumberFormat="1" applyFont="1" applyFill="1" applyBorder="1" applyAlignment="1">
      <alignment horizontal="right" vertical="center"/>
    </xf>
    <xf numFmtId="0" fontId="49" fillId="0" borderId="21" xfId="0" applyFont="1" applyBorder="1" applyAlignment="1">
      <alignment horizontal="right" vertical="center"/>
    </xf>
    <xf numFmtId="3" fontId="41" fillId="0" borderId="9" xfId="0" applyNumberFormat="1" applyFont="1" applyFill="1" applyBorder="1" applyAlignment="1">
      <alignment horizontal="right" vertical="center"/>
    </xf>
    <xf numFmtId="3" fontId="41" fillId="0" borderId="10" xfId="0" applyNumberFormat="1" applyFont="1" applyFill="1" applyBorder="1" applyAlignment="1">
      <alignment horizontal="right" vertical="center"/>
    </xf>
    <xf numFmtId="3" fontId="41" fillId="0" borderId="118" xfId="0" applyNumberFormat="1" applyFont="1" applyFill="1" applyBorder="1" applyAlignment="1">
      <alignment horizontal="right" vertical="center"/>
    </xf>
    <xf numFmtId="3" fontId="41" fillId="0" borderId="34" xfId="0" applyNumberFormat="1" applyFont="1" applyFill="1" applyBorder="1" applyAlignment="1">
      <alignment horizontal="right" vertical="center"/>
    </xf>
    <xf numFmtId="3" fontId="41" fillId="0" borderId="29" xfId="0" applyNumberFormat="1" applyFont="1" applyFill="1" applyBorder="1" applyAlignment="1">
      <alignment horizontal="right" vertical="center"/>
    </xf>
    <xf numFmtId="3" fontId="41" fillId="0" borderId="119" xfId="0" applyNumberFormat="1" applyFont="1" applyFill="1" applyBorder="1" applyAlignment="1">
      <alignment horizontal="right" vertical="center"/>
    </xf>
    <xf numFmtId="0" fontId="24" fillId="0" borderId="22" xfId="0" applyFont="1" applyFill="1" applyBorder="1" applyAlignment="1">
      <alignment horizontal="right" vertical="center"/>
    </xf>
    <xf numFmtId="0" fontId="44" fillId="5" borderId="3" xfId="0" applyFont="1" applyFill="1" applyBorder="1" applyAlignment="1">
      <alignment horizontal="center" vertical="center"/>
    </xf>
    <xf numFmtId="3" fontId="30" fillId="5" borderId="3" xfId="1" applyNumberFormat="1" applyFont="1" applyFill="1" applyBorder="1" applyAlignment="1">
      <alignment horizontal="right" vertical="center"/>
    </xf>
    <xf numFmtId="3" fontId="30" fillId="5" borderId="4" xfId="1" applyNumberFormat="1" applyFont="1" applyFill="1" applyBorder="1" applyAlignment="1">
      <alignment horizontal="right" vertical="center"/>
    </xf>
    <xf numFmtId="3" fontId="30" fillId="5" borderId="120" xfId="1" applyNumberFormat="1" applyFont="1" applyFill="1" applyBorder="1" applyAlignment="1">
      <alignment horizontal="right" vertical="center"/>
    </xf>
    <xf numFmtId="3" fontId="30" fillId="5" borderId="121" xfId="1" applyNumberFormat="1" applyFont="1" applyFill="1" applyBorder="1" applyAlignment="1">
      <alignment horizontal="right" vertical="center"/>
    </xf>
    <xf numFmtId="3" fontId="30" fillId="5" borderId="26" xfId="1" applyNumberFormat="1" applyFont="1" applyFill="1" applyBorder="1" applyAlignment="1">
      <alignment horizontal="right" vertical="center"/>
    </xf>
    <xf numFmtId="3" fontId="30" fillId="5" borderId="19" xfId="1" applyNumberFormat="1" applyFont="1" applyFill="1" applyBorder="1" applyAlignment="1">
      <alignment horizontal="right" vertical="center"/>
    </xf>
    <xf numFmtId="3" fontId="26" fillId="0" borderId="0" xfId="0" applyNumberFormat="1" applyFont="1" applyFill="1" applyBorder="1" applyAlignment="1">
      <alignment horizontal="right" vertical="center"/>
    </xf>
    <xf numFmtId="0" fontId="29" fillId="0" borderId="13" xfId="1" applyFont="1" applyBorder="1" applyAlignment="1" applyProtection="1">
      <alignment horizontal="center" vertical="center" wrapText="1"/>
      <protection locked="0"/>
    </xf>
    <xf numFmtId="0" fontId="29" fillId="0" borderId="29" xfId="1" applyFont="1" applyBorder="1" applyAlignment="1" applyProtection="1">
      <alignment horizontal="left" vertical="center" indent="1"/>
      <protection locked="0"/>
    </xf>
    <xf numFmtId="0" fontId="29" fillId="0" borderId="36" xfId="1" applyFont="1" applyBorder="1" applyAlignment="1" applyProtection="1">
      <alignment horizontal="center" vertical="center"/>
      <protection locked="0"/>
    </xf>
    <xf numFmtId="0" fontId="29" fillId="0" borderId="101" xfId="1" applyFont="1" applyBorder="1" applyAlignment="1" applyProtection="1">
      <alignment horizontal="center" vertical="center"/>
      <protection locked="0"/>
    </xf>
    <xf numFmtId="0" fontId="29" fillId="0" borderId="15" xfId="1" applyFont="1" applyBorder="1" applyAlignment="1" applyProtection="1">
      <alignment horizontal="left" vertical="center" indent="1"/>
      <protection locked="0"/>
    </xf>
    <xf numFmtId="0" fontId="29" fillId="0" borderId="30" xfId="1" applyFont="1" applyBorder="1" applyAlignment="1" applyProtection="1">
      <alignment horizontal="left" vertical="center" indent="1"/>
      <protection locked="0"/>
    </xf>
    <xf numFmtId="0" fontId="29" fillId="0" borderId="2" xfId="1" applyFont="1" applyBorder="1" applyAlignment="1" applyProtection="1">
      <alignment horizontal="left" vertical="center" indent="1"/>
      <protection locked="0"/>
    </xf>
    <xf numFmtId="0" fontId="29" fillId="0" borderId="130" xfId="1" applyFont="1" applyBorder="1" applyAlignment="1" applyProtection="1">
      <alignment horizontal="left" vertical="center" indent="1"/>
      <protection locked="0"/>
    </xf>
    <xf numFmtId="0" fontId="29" fillId="0" borderId="38" xfId="1" applyFont="1" applyBorder="1" applyAlignment="1" applyProtection="1">
      <alignment horizontal="left" vertical="center" indent="1"/>
      <protection locked="0"/>
    </xf>
    <xf numFmtId="0" fontId="29" fillId="0" borderId="114" xfId="1" applyFont="1" applyFill="1" applyBorder="1" applyAlignment="1" applyProtection="1">
      <alignment horizontal="left" vertical="center" indent="1"/>
      <protection locked="0"/>
    </xf>
    <xf numFmtId="3" fontId="30" fillId="0" borderId="0" xfId="0" applyNumberFormat="1" applyFont="1" applyFill="1" applyAlignment="1">
      <alignment vertical="center"/>
    </xf>
    <xf numFmtId="0" fontId="29" fillId="0" borderId="0" xfId="0" applyFont="1" applyFill="1" applyAlignment="1">
      <alignment vertical="center"/>
    </xf>
    <xf numFmtId="0" fontId="12" fillId="0" borderId="45" xfId="0" applyFont="1" applyFill="1" applyBorder="1" applyAlignment="1">
      <alignment horizontal="left" vertical="center"/>
    </xf>
    <xf numFmtId="0" fontId="12" fillId="0" borderId="50" xfId="0" applyFont="1" applyFill="1" applyBorder="1" applyAlignment="1">
      <alignment horizontal="left" vertical="center"/>
    </xf>
    <xf numFmtId="3" fontId="41" fillId="0" borderId="0" xfId="0" applyNumberFormat="1" applyFont="1" applyFill="1" applyAlignment="1">
      <alignment horizontal="right" vertical="center"/>
    </xf>
    <xf numFmtId="0" fontId="41" fillId="0" borderId="31" xfId="0" applyFont="1" applyBorder="1" applyAlignment="1">
      <alignment horizontal="center" vertical="center"/>
    </xf>
    <xf numFmtId="0" fontId="12" fillId="0" borderId="27" xfId="0" applyFont="1" applyFill="1" applyBorder="1" applyAlignment="1">
      <alignment horizontal="center" vertical="center"/>
    </xf>
    <xf numFmtId="0" fontId="41" fillId="0" borderId="31" xfId="0" applyFont="1" applyFill="1" applyBorder="1" applyAlignment="1">
      <alignment horizontal="center" vertical="center"/>
    </xf>
    <xf numFmtId="0" fontId="12" fillId="0" borderId="32" xfId="0" applyFont="1" applyFill="1" applyBorder="1" applyAlignment="1">
      <alignment horizontal="center" vertical="center"/>
    </xf>
    <xf numFmtId="0" fontId="44" fillId="9" borderId="3" xfId="0" applyFont="1" applyFill="1" applyBorder="1" applyAlignment="1">
      <alignment horizontal="center" vertical="center"/>
    </xf>
    <xf numFmtId="3" fontId="30" fillId="9" borderId="26" xfId="1" applyNumberFormat="1" applyFont="1" applyFill="1" applyBorder="1" applyAlignment="1">
      <alignment horizontal="right" vertical="center"/>
    </xf>
    <xf numFmtId="3" fontId="30" fillId="9" borderId="4" xfId="1" applyNumberFormat="1" applyFont="1" applyFill="1" applyBorder="1" applyAlignment="1">
      <alignment horizontal="right" vertical="center"/>
    </xf>
    <xf numFmtId="3" fontId="30" fillId="9" borderId="19" xfId="1" applyNumberFormat="1" applyFont="1" applyFill="1" applyBorder="1" applyAlignment="1">
      <alignment horizontal="right" vertical="center"/>
    </xf>
    <xf numFmtId="3" fontId="26" fillId="0" borderId="0" xfId="0" applyNumberFormat="1" applyFont="1" applyAlignment="1">
      <alignment horizontal="right" vertical="center"/>
    </xf>
    <xf numFmtId="3" fontId="30" fillId="9" borderId="3" xfId="1" applyNumberFormat="1" applyFont="1" applyFill="1" applyBorder="1" applyAlignment="1">
      <alignment horizontal="right" vertical="center"/>
    </xf>
    <xf numFmtId="3" fontId="0" fillId="0" borderId="0" xfId="0" applyNumberFormat="1" applyFill="1" applyAlignment="1">
      <alignment horizontal="right" vertical="center"/>
    </xf>
    <xf numFmtId="0" fontId="41" fillId="0" borderId="30" xfId="0" applyFont="1" applyFill="1" applyBorder="1" applyAlignment="1">
      <alignment horizontal="center" vertical="center"/>
    </xf>
    <xf numFmtId="0" fontId="41" fillId="0" borderId="95" xfId="0" applyFont="1" applyFill="1" applyBorder="1" applyAlignment="1">
      <alignment horizontal="left" vertical="center"/>
    </xf>
    <xf numFmtId="0" fontId="41" fillId="0" borderId="87" xfId="0" applyFont="1" applyFill="1" applyBorder="1" applyAlignment="1">
      <alignment vertical="center"/>
    </xf>
    <xf numFmtId="0" fontId="41" fillId="0" borderId="96" xfId="0" applyFont="1" applyFill="1" applyBorder="1" applyAlignment="1">
      <alignment horizontal="left" vertical="center"/>
    </xf>
    <xf numFmtId="0" fontId="44" fillId="9" borderId="33" xfId="0" applyFont="1" applyFill="1" applyBorder="1" applyAlignment="1">
      <alignment horizontal="center" vertical="center"/>
    </xf>
    <xf numFmtId="3" fontId="29" fillId="9" borderId="61" xfId="1" applyNumberFormat="1" applyFont="1" applyFill="1" applyBorder="1" applyAlignment="1">
      <alignment horizontal="right" vertical="center"/>
    </xf>
    <xf numFmtId="3" fontId="29" fillId="9" borderId="170" xfId="1" applyNumberFormat="1" applyFont="1" applyFill="1" applyBorder="1" applyAlignment="1">
      <alignment horizontal="right" vertical="center"/>
    </xf>
    <xf numFmtId="3" fontId="29" fillId="9" borderId="128" xfId="1" applyNumberFormat="1" applyFont="1" applyFill="1" applyBorder="1" applyAlignment="1">
      <alignment horizontal="right" vertical="center"/>
    </xf>
    <xf numFmtId="3" fontId="30" fillId="9" borderId="120" xfId="1" applyNumberFormat="1" applyFont="1" applyFill="1" applyBorder="1" applyAlignment="1">
      <alignment horizontal="right" vertical="center"/>
    </xf>
    <xf numFmtId="0" fontId="44" fillId="4" borderId="94" xfId="0" applyFont="1" applyFill="1" applyBorder="1" applyAlignment="1">
      <alignment horizontal="left" vertical="center"/>
    </xf>
    <xf numFmtId="3" fontId="29" fillId="8" borderId="0" xfId="1" applyNumberFormat="1" applyFont="1" applyFill="1" applyAlignment="1">
      <alignment vertical="center"/>
    </xf>
    <xf numFmtId="3" fontId="29" fillId="0" borderId="0" xfId="1" applyNumberFormat="1" applyFont="1" applyAlignment="1">
      <alignment vertical="center"/>
    </xf>
    <xf numFmtId="3" fontId="0" fillId="0" borderId="0" xfId="0" applyNumberFormat="1"/>
    <xf numFmtId="0" fontId="29" fillId="0" borderId="8" xfId="1" applyFont="1" applyBorder="1" applyAlignment="1" applyProtection="1">
      <alignment vertical="center" wrapText="1"/>
      <protection locked="0"/>
    </xf>
    <xf numFmtId="0" fontId="29" fillId="0" borderId="56" xfId="1" applyFont="1" applyBorder="1" applyAlignment="1" applyProtection="1">
      <alignment vertical="center" wrapText="1"/>
      <protection locked="0"/>
    </xf>
    <xf numFmtId="0" fontId="29" fillId="0" borderId="10" xfId="1" applyFont="1" applyBorder="1" applyAlignment="1" applyProtection="1">
      <alignment horizontal="right" vertical="center" wrapText="1"/>
      <protection locked="0"/>
    </xf>
    <xf numFmtId="3" fontId="29" fillId="0" borderId="0" xfId="1" applyNumberFormat="1" applyFont="1" applyFill="1" applyBorder="1" applyAlignment="1" applyProtection="1">
      <alignment horizontal="center" vertical="center"/>
      <protection locked="0"/>
    </xf>
    <xf numFmtId="3" fontId="30" fillId="0" borderId="0" xfId="1" applyNumberFormat="1" applyFont="1" applyFill="1" applyBorder="1" applyAlignment="1" applyProtection="1">
      <alignment horizontal="left" vertical="center" indent="1"/>
      <protection locked="0"/>
    </xf>
    <xf numFmtId="3" fontId="30" fillId="0" borderId="0" xfId="1" applyNumberFormat="1" applyFont="1" applyFill="1" applyBorder="1" applyAlignment="1" applyProtection="1">
      <alignment vertical="center"/>
      <protection hidden="1"/>
    </xf>
    <xf numFmtId="164" fontId="30" fillId="2" borderId="0" xfId="1" applyNumberFormat="1" applyFont="1" applyFill="1" applyBorder="1" applyAlignment="1">
      <alignment horizontal="center" vertical="center"/>
    </xf>
    <xf numFmtId="3" fontId="29" fillId="0" borderId="10" xfId="1" applyNumberFormat="1" applyFont="1" applyBorder="1" applyAlignment="1">
      <alignment vertical="center"/>
    </xf>
    <xf numFmtId="164" fontId="30" fillId="9" borderId="40" xfId="1" applyNumberFormat="1" applyFont="1" applyFill="1" applyBorder="1" applyAlignment="1">
      <alignment horizontal="right" vertical="center"/>
    </xf>
    <xf numFmtId="164" fontId="30" fillId="9" borderId="21" xfId="1" applyNumberFormat="1" applyFont="1" applyFill="1" applyBorder="1" applyAlignment="1">
      <alignment horizontal="right" vertical="center"/>
    </xf>
    <xf numFmtId="164" fontId="30" fillId="2" borderId="19" xfId="1" applyNumberFormat="1" applyFont="1" applyFill="1" applyBorder="1" applyAlignment="1">
      <alignment horizontal="right" vertical="center"/>
    </xf>
    <xf numFmtId="3" fontId="29" fillId="0" borderId="23" xfId="1" applyNumberFormat="1" applyFont="1" applyBorder="1" applyAlignment="1" applyProtection="1">
      <alignment vertical="center"/>
      <protection locked="0"/>
    </xf>
    <xf numFmtId="0" fontId="29" fillId="0" borderId="123" xfId="1" applyFont="1" applyBorder="1" applyAlignment="1" applyProtection="1">
      <alignment horizontal="right" vertical="center"/>
      <protection locked="0"/>
    </xf>
    <xf numFmtId="3" fontId="29" fillId="0" borderId="123" xfId="1" applyNumberFormat="1" applyFont="1" applyBorder="1" applyAlignment="1" applyProtection="1">
      <alignment horizontal="right" vertical="center"/>
      <protection locked="0"/>
    </xf>
    <xf numFmtId="3" fontId="29" fillId="0" borderId="123" xfId="1" applyNumberFormat="1" applyFont="1" applyBorder="1" applyAlignment="1">
      <alignment horizontal="right" vertical="center"/>
    </xf>
    <xf numFmtId="3" fontId="29" fillId="0" borderId="36" xfId="1" applyNumberFormat="1" applyFont="1" applyBorder="1" applyAlignment="1">
      <alignment horizontal="right" vertical="center"/>
    </xf>
    <xf numFmtId="0" fontId="29" fillId="0" borderId="30" xfId="0" applyFont="1" applyFill="1" applyBorder="1" applyAlignment="1">
      <alignment horizontal="center" vertical="center"/>
    </xf>
    <xf numFmtId="0" fontId="9" fillId="0" borderId="22" xfId="0" applyFont="1" applyFill="1" applyBorder="1" applyAlignment="1">
      <alignment horizontal="right" vertical="center"/>
    </xf>
    <xf numFmtId="3" fontId="29" fillId="0" borderId="9" xfId="0" applyNumberFormat="1" applyFont="1" applyFill="1" applyBorder="1" applyAlignment="1">
      <alignment horizontal="right" vertical="center"/>
    </xf>
    <xf numFmtId="3" fontId="29" fillId="0" borderId="10" xfId="0" applyNumberFormat="1" applyFont="1" applyFill="1" applyBorder="1" applyAlignment="1">
      <alignment horizontal="right" vertical="center"/>
    </xf>
    <xf numFmtId="3" fontId="29" fillId="0" borderId="118" xfId="0" applyNumberFormat="1" applyFont="1" applyFill="1" applyBorder="1" applyAlignment="1">
      <alignment horizontal="right" vertical="center"/>
    </xf>
    <xf numFmtId="3" fontId="29" fillId="0" borderId="62" xfId="0" applyNumberFormat="1" applyFont="1" applyFill="1" applyBorder="1" applyAlignment="1">
      <alignment horizontal="right" vertical="center"/>
    </xf>
    <xf numFmtId="3" fontId="29" fillId="0" borderId="30" xfId="0" applyNumberFormat="1" applyFont="1" applyFill="1" applyBorder="1" applyAlignment="1">
      <alignment horizontal="right" vertical="center"/>
    </xf>
    <xf numFmtId="0" fontId="29" fillId="0" borderId="16" xfId="1" applyFont="1" applyBorder="1" applyAlignment="1" applyProtection="1">
      <alignment horizontal="center" vertical="center" wrapText="1"/>
      <protection locked="0"/>
    </xf>
    <xf numFmtId="0" fontId="29" fillId="0" borderId="41" xfId="1" applyFont="1" applyBorder="1" applyAlignment="1" applyProtection="1">
      <alignment horizontal="center" vertical="center" wrapText="1"/>
      <protection locked="0"/>
    </xf>
    <xf numFmtId="0" fontId="0" fillId="0" borderId="0" xfId="0" applyFill="1" applyAlignment="1">
      <alignment vertical="center"/>
    </xf>
    <xf numFmtId="0" fontId="22" fillId="9" borderId="3" xfId="4" applyFont="1" applyFill="1" applyBorder="1" applyAlignment="1">
      <alignment horizontal="center" vertical="center"/>
    </xf>
    <xf numFmtId="0" fontId="30" fillId="5" borderId="3" xfId="0" applyFont="1" applyFill="1" applyBorder="1" applyAlignment="1">
      <alignment horizontal="center" vertical="center"/>
    </xf>
    <xf numFmtId="3" fontId="30" fillId="5" borderId="25" xfId="1" applyNumberFormat="1" applyFont="1" applyFill="1" applyBorder="1" applyAlignment="1">
      <alignment horizontal="right" vertical="center"/>
    </xf>
    <xf numFmtId="0" fontId="29" fillId="9" borderId="114" xfId="1" applyFont="1" applyFill="1" applyBorder="1" applyAlignment="1">
      <alignment horizontal="center" vertical="center"/>
    </xf>
    <xf numFmtId="0" fontId="29" fillId="9" borderId="33" xfId="1" applyFont="1" applyFill="1" applyBorder="1" applyAlignment="1">
      <alignment horizontal="center" vertical="center"/>
    </xf>
    <xf numFmtId="49" fontId="29" fillId="0" borderId="21" xfId="1" applyNumberFormat="1" applyFont="1" applyBorder="1" applyAlignment="1" applyProtection="1">
      <alignment horizontal="left" vertical="center" wrapText="1" indent="1" readingOrder="1"/>
      <protection locked="0"/>
    </xf>
    <xf numFmtId="0" fontId="6" fillId="0" borderId="0" xfId="1" applyFont="1" applyFill="1" applyAlignment="1" applyProtection="1">
      <alignment horizontal="left" vertical="center" wrapText="1"/>
      <protection locked="0"/>
    </xf>
    <xf numFmtId="0" fontId="29" fillId="0" borderId="171" xfId="1" applyFont="1" applyFill="1" applyBorder="1" applyAlignment="1">
      <alignment horizontal="center" vertical="center" wrapText="1"/>
    </xf>
    <xf numFmtId="3" fontId="30" fillId="4" borderId="27" xfId="1" applyNumberFormat="1" applyFont="1" applyFill="1" applyBorder="1" applyAlignment="1">
      <alignment vertical="center"/>
    </xf>
    <xf numFmtId="3" fontId="29" fillId="7" borderId="71" xfId="1" applyNumberFormat="1" applyFont="1" applyFill="1" applyBorder="1" applyAlignment="1">
      <alignment vertical="center"/>
    </xf>
    <xf numFmtId="3" fontId="29" fillId="7" borderId="66" xfId="1" applyNumberFormat="1" applyFont="1" applyFill="1" applyBorder="1" applyAlignment="1">
      <alignment vertical="center"/>
    </xf>
    <xf numFmtId="3" fontId="29" fillId="7" borderId="67" xfId="1" applyNumberFormat="1" applyFont="1" applyFill="1" applyBorder="1" applyAlignment="1">
      <alignment vertical="center"/>
    </xf>
    <xf numFmtId="0" fontId="29" fillId="0" borderId="5" xfId="1" applyFont="1" applyBorder="1" applyAlignment="1" applyProtection="1">
      <alignment horizontal="center" vertical="center" wrapText="1"/>
      <protection locked="0"/>
    </xf>
    <xf numFmtId="0" fontId="59" fillId="0" borderId="26" xfId="0" applyFont="1" applyBorder="1" applyAlignment="1">
      <alignment horizontal="left" vertical="center"/>
    </xf>
    <xf numFmtId="0" fontId="30" fillId="0" borderId="0" xfId="1" applyFont="1" applyFill="1" applyAlignment="1" applyProtection="1">
      <alignment horizontal="left" vertical="center"/>
      <protection locked="0"/>
    </xf>
    <xf numFmtId="0" fontId="62" fillId="0" borderId="0" xfId="0" applyFont="1" applyAlignment="1">
      <alignment vertical="center"/>
    </xf>
    <xf numFmtId="0" fontId="29" fillId="0" borderId="0" xfId="0" applyFont="1" applyAlignment="1">
      <alignment horizontal="right" vertical="center"/>
    </xf>
    <xf numFmtId="0" fontId="29" fillId="0" borderId="18" xfId="1" applyFont="1" applyFill="1" applyBorder="1" applyAlignment="1" applyProtection="1">
      <alignment horizontal="center" vertical="center" wrapText="1"/>
      <protection locked="0"/>
    </xf>
    <xf numFmtId="0" fontId="29" fillId="0" borderId="12" xfId="1" applyFont="1" applyFill="1" applyBorder="1" applyAlignment="1" applyProtection="1">
      <alignment horizontal="center" vertical="center" wrapText="1"/>
      <protection locked="0"/>
    </xf>
    <xf numFmtId="0" fontId="29" fillId="0" borderId="13" xfId="1" applyFont="1" applyFill="1" applyBorder="1" applyAlignment="1" applyProtection="1">
      <alignment horizontal="center" vertical="center" wrapText="1"/>
      <protection locked="0"/>
    </xf>
    <xf numFmtId="0" fontId="29" fillId="0" borderId="1" xfId="1" applyFont="1" applyFill="1" applyBorder="1" applyAlignment="1" applyProtection="1">
      <alignment horizontal="center" vertical="center" wrapText="1"/>
      <protection locked="0"/>
    </xf>
    <xf numFmtId="0" fontId="29" fillId="3" borderId="18" xfId="1" applyFont="1" applyFill="1" applyBorder="1" applyAlignment="1" applyProtection="1">
      <alignment horizontal="center" vertical="center" wrapText="1"/>
      <protection locked="0"/>
    </xf>
    <xf numFmtId="0" fontId="29" fillId="3" borderId="1" xfId="1" applyFont="1" applyFill="1" applyBorder="1" applyAlignment="1" applyProtection="1">
      <alignment horizontal="center" vertical="center" wrapText="1"/>
      <protection locked="0"/>
    </xf>
    <xf numFmtId="0" fontId="62" fillId="0" borderId="0" xfId="0" applyFont="1" applyAlignment="1">
      <alignment horizontal="center" vertical="center"/>
    </xf>
    <xf numFmtId="0" fontId="29" fillId="0" borderId="28" xfId="1" applyFont="1" applyBorder="1" applyAlignment="1" applyProtection="1">
      <alignment horizontal="center" vertical="center" wrapText="1"/>
      <protection locked="0"/>
    </xf>
    <xf numFmtId="3" fontId="29" fillId="0" borderId="33" xfId="1" applyNumberFormat="1" applyFont="1" applyFill="1" applyBorder="1" applyAlignment="1" applyProtection="1">
      <alignment horizontal="right" vertical="center" wrapText="1"/>
      <protection locked="0"/>
    </xf>
    <xf numFmtId="3" fontId="29" fillId="0" borderId="6" xfId="1" applyNumberFormat="1" applyFont="1" applyFill="1" applyBorder="1" applyAlignment="1" applyProtection="1">
      <alignment horizontal="right" vertical="center" wrapText="1"/>
      <protection locked="0"/>
    </xf>
    <xf numFmtId="3" fontId="29" fillId="0" borderId="7" xfId="1" applyNumberFormat="1" applyFont="1" applyFill="1" applyBorder="1" applyAlignment="1" applyProtection="1">
      <alignment horizontal="right" vertical="center" wrapText="1"/>
      <protection locked="0"/>
    </xf>
    <xf numFmtId="3" fontId="29" fillId="0" borderId="21" xfId="1" applyNumberFormat="1" applyFont="1" applyFill="1" applyBorder="1" applyAlignment="1" applyProtection="1">
      <alignment horizontal="right" vertical="center" wrapText="1"/>
      <protection locked="0"/>
    </xf>
    <xf numFmtId="3" fontId="29" fillId="0" borderId="37" xfId="0" applyNumberFormat="1" applyFont="1" applyFill="1" applyBorder="1" applyAlignment="1">
      <alignment horizontal="right" vertical="center"/>
    </xf>
    <xf numFmtId="3" fontId="29" fillId="0" borderId="21" xfId="0" applyNumberFormat="1" applyFont="1" applyFill="1" applyBorder="1" applyAlignment="1">
      <alignment horizontal="right" vertical="center"/>
    </xf>
    <xf numFmtId="3" fontId="29" fillId="3" borderId="33" xfId="1" applyNumberFormat="1" applyFont="1" applyFill="1" applyBorder="1" applyAlignment="1" applyProtection="1">
      <alignment horizontal="right" vertical="center"/>
      <protection locked="0"/>
    </xf>
    <xf numFmtId="3" fontId="29" fillId="3" borderId="21" xfId="0" applyNumberFormat="1" applyFont="1" applyFill="1" applyBorder="1" applyAlignment="1">
      <alignment horizontal="right" vertical="center"/>
    </xf>
    <xf numFmtId="3" fontId="62" fillId="0" borderId="0" xfId="0" applyNumberFormat="1" applyFont="1" applyAlignment="1">
      <alignment vertical="center"/>
    </xf>
    <xf numFmtId="3" fontId="29" fillId="0" borderId="30" xfId="1" applyNumberFormat="1" applyFont="1" applyFill="1" applyBorder="1" applyAlignment="1" applyProtection="1">
      <alignment horizontal="right" vertical="center" wrapText="1"/>
      <protection locked="0"/>
    </xf>
    <xf numFmtId="3" fontId="29" fillId="0" borderId="9" xfId="1" applyNumberFormat="1" applyFont="1" applyFill="1" applyBorder="1" applyAlignment="1" applyProtection="1">
      <alignment horizontal="right" vertical="center" wrapText="1"/>
      <protection locked="0"/>
    </xf>
    <xf numFmtId="3" fontId="29" fillId="0" borderId="22" xfId="1" applyNumberFormat="1" applyFont="1" applyFill="1" applyBorder="1" applyAlignment="1" applyProtection="1">
      <alignment horizontal="right" vertical="center" wrapText="1"/>
      <protection locked="0"/>
    </xf>
    <xf numFmtId="3" fontId="29" fillId="0" borderId="38" xfId="0" applyNumberFormat="1" applyFont="1" applyFill="1" applyBorder="1" applyAlignment="1">
      <alignment horizontal="right" vertical="center"/>
    </xf>
    <xf numFmtId="3" fontId="29" fillId="0" borderId="22" xfId="0" applyNumberFormat="1" applyFont="1" applyFill="1" applyBorder="1" applyAlignment="1">
      <alignment horizontal="right" vertical="center"/>
    </xf>
    <xf numFmtId="3" fontId="29" fillId="3" borderId="30" xfId="1" applyNumberFormat="1" applyFont="1" applyFill="1" applyBorder="1" applyAlignment="1" applyProtection="1">
      <alignment horizontal="right" vertical="center"/>
      <protection locked="0"/>
    </xf>
    <xf numFmtId="3" fontId="29" fillId="3" borderId="22" xfId="0" applyNumberFormat="1" applyFont="1" applyFill="1" applyBorder="1" applyAlignment="1">
      <alignment horizontal="right" vertical="center"/>
    </xf>
    <xf numFmtId="0" fontId="29" fillId="0" borderId="27" xfId="1" applyFont="1" applyBorder="1" applyAlignment="1" applyProtection="1">
      <alignment horizontal="center" vertical="center" wrapText="1"/>
      <protection locked="0"/>
    </xf>
    <xf numFmtId="0" fontId="29" fillId="0" borderId="32" xfId="1" applyFont="1" applyBorder="1" applyAlignment="1" applyProtection="1">
      <alignment horizontal="center" vertical="center" wrapText="1"/>
      <protection locked="0"/>
    </xf>
    <xf numFmtId="3" fontId="29" fillId="0" borderId="31" xfId="1" applyNumberFormat="1" applyFont="1" applyFill="1" applyBorder="1" applyAlignment="1" applyProtection="1">
      <alignment horizontal="right" vertical="center" wrapText="1"/>
      <protection locked="0"/>
    </xf>
    <xf numFmtId="3" fontId="29" fillId="0" borderId="34" xfId="1" applyNumberFormat="1" applyFont="1" applyFill="1" applyBorder="1" applyAlignment="1" applyProtection="1">
      <alignment horizontal="right" vertical="center" wrapText="1"/>
      <protection locked="0"/>
    </xf>
    <xf numFmtId="3" fontId="29" fillId="0" borderId="29" xfId="1" applyNumberFormat="1" applyFont="1" applyFill="1" applyBorder="1" applyAlignment="1" applyProtection="1">
      <alignment horizontal="right" vertical="center" wrapText="1"/>
      <protection locked="0"/>
    </xf>
    <xf numFmtId="3" fontId="29" fillId="0" borderId="35" xfId="1" applyNumberFormat="1" applyFont="1" applyFill="1" applyBorder="1" applyAlignment="1" applyProtection="1">
      <alignment horizontal="right" vertical="center" wrapText="1"/>
      <protection locked="0"/>
    </xf>
    <xf numFmtId="3" fontId="62" fillId="0" borderId="31" xfId="0" applyNumberFormat="1" applyFont="1" applyFill="1" applyBorder="1" applyAlignment="1">
      <alignment horizontal="right" vertical="center"/>
    </xf>
    <xf numFmtId="3" fontId="62" fillId="0" borderId="35" xfId="0" applyNumberFormat="1" applyFont="1" applyFill="1" applyBorder="1" applyAlignment="1">
      <alignment horizontal="right" vertical="center"/>
    </xf>
    <xf numFmtId="3" fontId="29" fillId="0" borderId="39" xfId="0" applyNumberFormat="1" applyFont="1" applyFill="1" applyBorder="1" applyAlignment="1">
      <alignment horizontal="right" vertical="center"/>
    </xf>
    <xf numFmtId="3" fontId="29" fillId="0" borderId="35" xfId="0" applyNumberFormat="1" applyFont="1" applyFill="1" applyBorder="1" applyAlignment="1">
      <alignment horizontal="right" vertical="center"/>
    </xf>
    <xf numFmtId="3" fontId="29" fillId="3" borderId="31" xfId="1" applyNumberFormat="1" applyFont="1" applyFill="1" applyBorder="1" applyAlignment="1" applyProtection="1">
      <alignment horizontal="right" vertical="center" wrapText="1"/>
      <protection locked="0"/>
    </xf>
    <xf numFmtId="3" fontId="29" fillId="3" borderId="35" xfId="0" applyNumberFormat="1" applyFont="1" applyFill="1" applyBorder="1" applyAlignment="1">
      <alignment horizontal="right" vertical="center"/>
    </xf>
    <xf numFmtId="0" fontId="30" fillId="0" borderId="2" xfId="1" applyFont="1" applyBorder="1" applyAlignment="1" applyProtection="1">
      <alignment horizontal="center" vertical="center" wrapText="1"/>
      <protection locked="0"/>
    </xf>
    <xf numFmtId="3" fontId="30" fillId="0" borderId="3" xfId="1" applyNumberFormat="1" applyFont="1" applyFill="1" applyBorder="1" applyAlignment="1" applyProtection="1">
      <alignment horizontal="right" vertical="center" wrapText="1"/>
      <protection locked="0"/>
    </xf>
    <xf numFmtId="3" fontId="30" fillId="0" borderId="4" xfId="1" applyNumberFormat="1" applyFont="1" applyFill="1" applyBorder="1" applyAlignment="1" applyProtection="1">
      <alignment horizontal="right" vertical="center" wrapText="1"/>
      <protection locked="0"/>
    </xf>
    <xf numFmtId="3" fontId="30" fillId="0" borderId="19" xfId="1" applyNumberFormat="1" applyFont="1" applyFill="1" applyBorder="1" applyAlignment="1" applyProtection="1">
      <alignment horizontal="right" vertical="center" wrapText="1"/>
      <protection locked="0"/>
    </xf>
    <xf numFmtId="3" fontId="30" fillId="3" borderId="3" xfId="1" applyNumberFormat="1" applyFont="1" applyFill="1" applyBorder="1" applyAlignment="1" applyProtection="1">
      <alignment horizontal="right" vertical="center" wrapText="1"/>
      <protection locked="0"/>
    </xf>
    <xf numFmtId="3" fontId="30" fillId="3" borderId="19" xfId="0" applyNumberFormat="1" applyFont="1" applyFill="1" applyBorder="1" applyAlignment="1">
      <alignment horizontal="right" vertical="center"/>
    </xf>
    <xf numFmtId="0" fontId="42" fillId="0" borderId="0" xfId="0" applyFont="1" applyAlignment="1">
      <alignment vertical="center"/>
    </xf>
    <xf numFmtId="0" fontId="30" fillId="0" borderId="0" xfId="1" applyFont="1" applyAlignment="1" applyProtection="1">
      <alignment vertical="center"/>
      <protection locked="0"/>
    </xf>
    <xf numFmtId="0" fontId="29" fillId="0" borderId="30" xfId="1" applyFont="1" applyFill="1" applyBorder="1" applyAlignment="1" applyProtection="1">
      <alignment vertical="center" wrapText="1"/>
      <protection locked="0"/>
    </xf>
    <xf numFmtId="0" fontId="29" fillId="0" borderId="10" xfId="1" applyFont="1" applyFill="1" applyBorder="1" applyAlignment="1" applyProtection="1">
      <alignment vertical="center" wrapText="1"/>
      <protection locked="0"/>
    </xf>
    <xf numFmtId="0" fontId="29" fillId="0" borderId="22" xfId="1" applyFont="1" applyFill="1" applyBorder="1" applyAlignment="1" applyProtection="1">
      <alignment vertical="center" wrapText="1"/>
      <protection locked="0"/>
    </xf>
    <xf numFmtId="0" fontId="29" fillId="0" borderId="9" xfId="1" applyFont="1" applyFill="1" applyBorder="1" applyAlignment="1" applyProtection="1">
      <alignment vertical="center" wrapText="1"/>
      <protection locked="0"/>
    </xf>
    <xf numFmtId="0" fontId="29" fillId="0" borderId="0" xfId="1" applyFont="1" applyBorder="1" applyAlignment="1">
      <alignment vertical="center"/>
    </xf>
    <xf numFmtId="0" fontId="29" fillId="0" borderId="13" xfId="1" applyFont="1" applyBorder="1" applyAlignment="1">
      <alignment horizontal="center" vertical="center"/>
    </xf>
    <xf numFmtId="0" fontId="29" fillId="0" borderId="28" xfId="1" applyFont="1" applyFill="1" applyBorder="1" applyAlignment="1" applyProtection="1">
      <alignment vertical="center"/>
      <protection locked="0"/>
    </xf>
    <xf numFmtId="167" fontId="29" fillId="0" borderId="21" xfId="1" applyNumberFormat="1" applyFont="1" applyFill="1" applyBorder="1" applyAlignment="1" applyProtection="1">
      <alignment vertical="center" wrapText="1"/>
      <protection locked="0"/>
    </xf>
    <xf numFmtId="3" fontId="29" fillId="0" borderId="33" xfId="1" applyNumberFormat="1" applyFont="1" applyFill="1" applyBorder="1" applyAlignment="1" applyProtection="1">
      <alignment vertical="center" wrapText="1"/>
      <protection locked="0"/>
    </xf>
    <xf numFmtId="3" fontId="29" fillId="0" borderId="6" xfId="1" applyNumberFormat="1" applyFont="1" applyFill="1" applyBorder="1" applyAlignment="1" applyProtection="1">
      <alignment vertical="center" wrapText="1"/>
      <protection locked="0"/>
    </xf>
    <xf numFmtId="0" fontId="29" fillId="0" borderId="8" xfId="1" applyFont="1" applyBorder="1" applyAlignment="1" applyProtection="1">
      <alignment horizontal="center" vertical="center" wrapText="1"/>
      <protection locked="0"/>
    </xf>
    <xf numFmtId="0" fontId="29" fillId="0" borderId="27" xfId="1" applyFont="1" applyFill="1" applyBorder="1" applyAlignment="1" applyProtection="1">
      <alignment horizontal="left" vertical="center"/>
      <protection locked="0"/>
    </xf>
    <xf numFmtId="3" fontId="29" fillId="0" borderId="30" xfId="1" applyNumberFormat="1" applyFont="1" applyFill="1" applyBorder="1" applyAlignment="1" applyProtection="1">
      <alignment vertical="center" wrapText="1"/>
      <protection locked="0"/>
    </xf>
    <xf numFmtId="0" fontId="29" fillId="0" borderId="30" xfId="1" applyFont="1" applyFill="1" applyBorder="1" applyAlignment="1" applyProtection="1">
      <alignment horizontal="right" vertical="center" wrapText="1"/>
      <protection locked="0"/>
    </xf>
    <xf numFmtId="0" fontId="29" fillId="0" borderId="11" xfId="1" applyFont="1" applyBorder="1" applyAlignment="1" applyProtection="1">
      <alignment horizontal="center" vertical="center" wrapText="1"/>
      <protection locked="0"/>
    </xf>
    <xf numFmtId="0" fontId="29" fillId="0" borderId="31" xfId="1" applyFont="1" applyFill="1" applyBorder="1" applyAlignment="1" applyProtection="1">
      <alignment horizontal="right" vertical="center" wrapText="1"/>
      <protection locked="0"/>
    </xf>
    <xf numFmtId="3" fontId="29" fillId="0" borderId="31" xfId="1" applyNumberFormat="1" applyFont="1" applyFill="1" applyBorder="1" applyAlignment="1" applyProtection="1">
      <alignment vertical="center" wrapText="1"/>
      <protection locked="0"/>
    </xf>
    <xf numFmtId="167" fontId="29" fillId="0" borderId="53" xfId="1" applyNumberFormat="1" applyFont="1" applyFill="1" applyBorder="1" applyAlignment="1" applyProtection="1">
      <alignment vertical="center" wrapText="1"/>
      <protection locked="0"/>
    </xf>
    <xf numFmtId="3" fontId="29" fillId="0" borderId="128" xfId="1" applyNumberFormat="1" applyFont="1" applyFill="1" applyBorder="1" applyAlignment="1" applyProtection="1">
      <alignment vertical="center" wrapText="1"/>
      <protection locked="0"/>
    </xf>
    <xf numFmtId="3" fontId="29" fillId="0" borderId="61" xfId="1" applyNumberFormat="1" applyFont="1" applyFill="1" applyBorder="1" applyAlignment="1" applyProtection="1">
      <alignment horizontal="right" vertical="center" wrapText="1"/>
      <protection locked="0"/>
    </xf>
    <xf numFmtId="0" fontId="30" fillId="0" borderId="36" xfId="1" applyFont="1" applyBorder="1" applyAlignment="1" applyProtection="1">
      <alignment horizontal="center" vertical="center" wrapText="1"/>
      <protection locked="0"/>
    </xf>
    <xf numFmtId="3" fontId="30" fillId="0" borderId="2" xfId="1" applyNumberFormat="1" applyFont="1" applyFill="1" applyBorder="1" applyAlignment="1" applyProtection="1">
      <alignment horizontal="right" vertical="center" wrapText="1"/>
      <protection locked="0"/>
    </xf>
    <xf numFmtId="3" fontId="30" fillId="0" borderId="25" xfId="1" applyNumberFormat="1" applyFont="1" applyFill="1" applyBorder="1" applyAlignment="1" applyProtection="1">
      <alignment horizontal="right" vertical="center" wrapText="1"/>
      <protection locked="0"/>
    </xf>
    <xf numFmtId="167" fontId="30" fillId="0" borderId="19" xfId="1" applyNumberFormat="1" applyFont="1" applyFill="1" applyBorder="1" applyAlignment="1" applyProtection="1">
      <alignment vertical="center" wrapText="1"/>
      <protection locked="0"/>
    </xf>
    <xf numFmtId="3" fontId="30" fillId="0" borderId="2" xfId="1" applyNumberFormat="1" applyFont="1" applyFill="1" applyBorder="1" applyAlignment="1" applyProtection="1">
      <alignment vertical="center" wrapText="1"/>
      <protection locked="0"/>
    </xf>
    <xf numFmtId="0" fontId="29" fillId="0" borderId="0" xfId="1" applyFont="1" applyBorder="1" applyAlignment="1" applyProtection="1">
      <alignment horizontal="left" vertical="center" wrapText="1"/>
      <protection locked="0"/>
    </xf>
    <xf numFmtId="0" fontId="29" fillId="0" borderId="0" xfId="1" applyFont="1" applyBorder="1" applyAlignment="1" applyProtection="1">
      <alignment vertical="center" wrapText="1"/>
      <protection locked="0"/>
    </xf>
    <xf numFmtId="0" fontId="29" fillId="0" borderId="0" xfId="1" applyFont="1" applyBorder="1" applyAlignment="1">
      <alignment horizontal="left" vertical="center"/>
    </xf>
    <xf numFmtId="0" fontId="33" fillId="0" borderId="2" xfId="2" applyFont="1" applyBorder="1" applyAlignment="1">
      <alignment vertical="center" wrapText="1"/>
    </xf>
    <xf numFmtId="0" fontId="33" fillId="0" borderId="91" xfId="2" applyFont="1" applyBorder="1" applyAlignment="1">
      <alignment vertical="center" wrapText="1"/>
    </xf>
    <xf numFmtId="0" fontId="33" fillId="0" borderId="23" xfId="2" applyFont="1" applyBorder="1" applyAlignment="1">
      <alignment vertical="center" wrapText="1"/>
    </xf>
    <xf numFmtId="0" fontId="28" fillId="0" borderId="2" xfId="2" applyFont="1" applyFill="1" applyBorder="1" applyAlignment="1">
      <alignment horizontal="center" vertical="center" wrapText="1"/>
    </xf>
    <xf numFmtId="0" fontId="28" fillId="0" borderId="91" xfId="2" applyFont="1" applyFill="1" applyBorder="1" applyAlignment="1">
      <alignment horizontal="center" vertical="center" wrapText="1"/>
    </xf>
    <xf numFmtId="0" fontId="28" fillId="0" borderId="23" xfId="2" applyFont="1" applyFill="1" applyBorder="1" applyAlignment="1">
      <alignment horizontal="center" vertical="center" wrapText="1"/>
    </xf>
    <xf numFmtId="49" fontId="29" fillId="0" borderId="2" xfId="2" applyNumberFormat="1" applyFont="1" applyBorder="1" applyAlignment="1">
      <alignment horizontal="center" vertical="center" wrapText="1"/>
    </xf>
    <xf numFmtId="49" fontId="29" fillId="0" borderId="26" xfId="2" applyNumberFormat="1" applyFont="1" applyBorder="1" applyAlignment="1">
      <alignment horizontal="center" vertical="center" wrapText="1"/>
    </xf>
    <xf numFmtId="49" fontId="29" fillId="0" borderId="130" xfId="2" applyNumberFormat="1" applyFont="1" applyBorder="1" applyAlignment="1">
      <alignment horizontal="center" vertical="center" wrapText="1"/>
    </xf>
    <xf numFmtId="49" fontId="29" fillId="0" borderId="101" xfId="2" applyNumberFormat="1" applyFont="1" applyBorder="1" applyAlignment="1">
      <alignment horizontal="center" vertical="center" wrapText="1"/>
    </xf>
    <xf numFmtId="0" fontId="28" fillId="0" borderId="0" xfId="1" applyFont="1" applyAlignment="1" applyProtection="1">
      <alignment horizontal="left" vertical="center"/>
      <protection locked="0"/>
    </xf>
    <xf numFmtId="0" fontId="29" fillId="0" borderId="85" xfId="2" applyFont="1" applyBorder="1" applyAlignment="1">
      <alignment horizontal="center" vertical="center"/>
    </xf>
    <xf numFmtId="0" fontId="28" fillId="0" borderId="0" xfId="2" applyFont="1" applyBorder="1" applyAlignment="1">
      <alignment horizontal="left" vertical="center" wrapText="1"/>
    </xf>
    <xf numFmtId="0" fontId="29" fillId="0" borderId="85" xfId="2" applyFont="1" applyBorder="1" applyAlignment="1">
      <alignment horizontal="center" vertical="center" wrapText="1"/>
    </xf>
    <xf numFmtId="0" fontId="30" fillId="0" borderId="130" xfId="2" applyFont="1" applyBorder="1" applyAlignment="1">
      <alignment horizontal="center" vertical="center" wrapText="1"/>
    </xf>
    <xf numFmtId="0" fontId="30" fillId="0" borderId="135" xfId="2" applyFont="1" applyBorder="1" applyAlignment="1">
      <alignment horizontal="center" vertical="center" wrapText="1"/>
    </xf>
    <xf numFmtId="3" fontId="29" fillId="0" borderId="28" xfId="2" applyNumberFormat="1" applyFont="1" applyBorder="1" applyAlignment="1">
      <alignment horizontal="center" vertical="center"/>
    </xf>
    <xf numFmtId="3" fontId="29" fillId="0" borderId="49" xfId="2" applyNumberFormat="1" applyFont="1" applyBorder="1" applyAlignment="1">
      <alignment horizontal="center" vertical="center"/>
    </xf>
    <xf numFmtId="3" fontId="29" fillId="0" borderId="82" xfId="2" applyNumberFormat="1" applyFont="1" applyBorder="1" applyAlignment="1">
      <alignment horizontal="center" vertical="center"/>
    </xf>
    <xf numFmtId="3" fontId="29" fillId="0" borderId="86" xfId="2" applyNumberFormat="1" applyFont="1" applyBorder="1" applyAlignment="1">
      <alignment horizontal="center" vertical="center"/>
    </xf>
    <xf numFmtId="0" fontId="28" fillId="0" borderId="2" xfId="2" applyFont="1" applyBorder="1" applyAlignment="1">
      <alignment horizontal="center" vertical="center" wrapText="1"/>
    </xf>
    <xf numFmtId="0" fontId="28" fillId="0" borderId="91" xfId="2" applyFont="1" applyBorder="1" applyAlignment="1">
      <alignment horizontal="center" vertical="center" wrapText="1"/>
    </xf>
    <xf numFmtId="0" fontId="28" fillId="0" borderId="23" xfId="2" applyFont="1" applyBorder="1" applyAlignment="1">
      <alignment horizontal="center" vertical="center" wrapText="1"/>
    </xf>
    <xf numFmtId="0" fontId="30" fillId="0" borderId="2" xfId="2" applyFont="1" applyBorder="1" applyAlignment="1">
      <alignment horizontal="left" vertical="center" wrapText="1"/>
    </xf>
    <xf numFmtId="0" fontId="30" fillId="0" borderId="91" xfId="2" applyFont="1" applyBorder="1" applyAlignment="1">
      <alignment horizontal="left" vertical="center" wrapText="1"/>
    </xf>
    <xf numFmtId="0" fontId="30" fillId="0" borderId="23" xfId="2" applyFont="1" applyBorder="1" applyAlignment="1">
      <alignment horizontal="left" vertical="center" wrapText="1"/>
    </xf>
    <xf numFmtId="3" fontId="30" fillId="0" borderId="27" xfId="2" applyNumberFormat="1" applyFont="1" applyBorder="1" applyAlignment="1">
      <alignment horizontal="center" vertical="center" wrapText="1"/>
    </xf>
    <xf numFmtId="3" fontId="30" fillId="0" borderId="50" xfId="2" applyNumberFormat="1" applyFont="1" applyBorder="1" applyAlignment="1">
      <alignment horizontal="center" vertical="center" wrapText="1"/>
    </xf>
    <xf numFmtId="0" fontId="29" fillId="0" borderId="38" xfId="2" applyFont="1" applyBorder="1" applyAlignment="1">
      <alignment horizontal="center" vertical="center" wrapText="1"/>
    </xf>
    <xf numFmtId="0" fontId="29" fillId="0" borderId="45" xfId="2" applyFont="1" applyBorder="1" applyAlignment="1">
      <alignment horizontal="center" vertical="center" wrapText="1"/>
    </xf>
    <xf numFmtId="0" fontId="29" fillId="0" borderId="9" xfId="2" applyFont="1" applyBorder="1" applyAlignment="1">
      <alignment horizontal="center" vertical="center" wrapText="1"/>
    </xf>
    <xf numFmtId="0" fontId="28" fillId="0" borderId="0" xfId="2" applyFont="1" applyFill="1" applyBorder="1" applyAlignment="1">
      <alignment horizontal="left" vertical="center" wrapText="1"/>
    </xf>
    <xf numFmtId="0" fontId="29" fillId="0" borderId="0" xfId="1" applyFont="1" applyAlignment="1" applyProtection="1">
      <alignment vertical="center" wrapText="1"/>
      <protection locked="0"/>
    </xf>
    <xf numFmtId="0" fontId="52" fillId="0" borderId="130" xfId="0" applyFont="1" applyBorder="1" applyAlignment="1">
      <alignment horizontal="center" vertical="center"/>
    </xf>
    <xf numFmtId="0" fontId="52" fillId="0" borderId="135" xfId="0" applyFont="1" applyBorder="1" applyAlignment="1">
      <alignment horizontal="center" vertical="center"/>
    </xf>
    <xf numFmtId="0" fontId="52" fillId="0" borderId="52" xfId="0" applyFont="1" applyBorder="1" applyAlignment="1">
      <alignment horizontal="center" vertical="center"/>
    </xf>
    <xf numFmtId="0" fontId="52" fillId="0" borderId="130" xfId="0" applyFont="1" applyFill="1" applyBorder="1" applyAlignment="1">
      <alignment horizontal="center" vertical="center"/>
    </xf>
    <xf numFmtId="0" fontId="52" fillId="0" borderId="135" xfId="0" applyFont="1" applyFill="1" applyBorder="1" applyAlignment="1">
      <alignment horizontal="center" vertical="center"/>
    </xf>
    <xf numFmtId="0" fontId="52" fillId="0" borderId="52" xfId="0" applyFont="1" applyFill="1" applyBorder="1" applyAlignment="1">
      <alignment horizontal="center" vertical="center"/>
    </xf>
    <xf numFmtId="0" fontId="52" fillId="0" borderId="132" xfId="0" applyFont="1" applyFill="1" applyBorder="1" applyAlignment="1">
      <alignment horizontal="center" vertical="center"/>
    </xf>
    <xf numFmtId="0" fontId="52" fillId="0" borderId="24" xfId="0" applyFont="1" applyFill="1" applyBorder="1" applyAlignment="1">
      <alignment horizontal="center" vertical="center"/>
    </xf>
    <xf numFmtId="0" fontId="52" fillId="0" borderId="142" xfId="0" applyFont="1" applyFill="1" applyBorder="1" applyAlignment="1">
      <alignment horizontal="center" vertical="center"/>
    </xf>
    <xf numFmtId="0" fontId="29" fillId="5" borderId="75" xfId="3" applyFont="1" applyFill="1" applyBorder="1" applyAlignment="1">
      <alignment horizontal="left" vertical="center"/>
    </xf>
    <xf numFmtId="0" fontId="29" fillId="5" borderId="76" xfId="3" applyFont="1" applyFill="1" applyBorder="1" applyAlignment="1">
      <alignment horizontal="left" vertical="center"/>
    </xf>
    <xf numFmtId="0" fontId="6" fillId="8" borderId="0" xfId="1" applyFont="1" applyFill="1" applyAlignment="1">
      <alignment horizontal="left" vertical="center" wrapText="1"/>
    </xf>
    <xf numFmtId="0" fontId="30" fillId="10" borderId="144" xfId="3" applyFont="1" applyFill="1" applyBorder="1" applyAlignment="1">
      <alignment horizontal="left" vertical="center"/>
    </xf>
    <xf numFmtId="0" fontId="30" fillId="10" borderId="145" xfId="3" applyFont="1" applyFill="1" applyBorder="1" applyAlignment="1">
      <alignment horizontal="left" vertical="center"/>
    </xf>
    <xf numFmtId="0" fontId="30" fillId="10" borderId="146" xfId="3" applyFont="1" applyFill="1" applyBorder="1" applyAlignment="1">
      <alignment horizontal="left" vertical="center"/>
    </xf>
    <xf numFmtId="0" fontId="30" fillId="10" borderId="139" xfId="3" applyFont="1" applyFill="1" applyBorder="1" applyAlignment="1">
      <alignment horizontal="left" vertical="center"/>
    </xf>
    <xf numFmtId="0" fontId="30" fillId="10" borderId="140" xfId="3" applyFont="1" applyFill="1" applyBorder="1" applyAlignment="1">
      <alignment horizontal="left" vertical="center"/>
    </xf>
    <xf numFmtId="0" fontId="30" fillId="10" borderId="141" xfId="3" applyFont="1" applyFill="1" applyBorder="1" applyAlignment="1">
      <alignment horizontal="left" vertical="center"/>
    </xf>
    <xf numFmtId="0" fontId="30" fillId="10" borderId="15" xfId="1" applyFont="1" applyFill="1" applyBorder="1" applyAlignment="1">
      <alignment horizontal="center" vertical="center"/>
    </xf>
    <xf numFmtId="0" fontId="30" fillId="10" borderId="40" xfId="1" applyFont="1" applyFill="1" applyBorder="1" applyAlignment="1">
      <alignment horizontal="center" vertical="center"/>
    </xf>
    <xf numFmtId="0" fontId="30" fillId="0" borderId="132" xfId="1" applyFont="1" applyFill="1" applyBorder="1" applyAlignment="1">
      <alignment horizontal="center" vertical="center"/>
    </xf>
    <xf numFmtId="0" fontId="30" fillId="0" borderId="24" xfId="1" applyFont="1" applyFill="1" applyBorder="1" applyAlignment="1">
      <alignment horizontal="center" vertical="center"/>
    </xf>
    <xf numFmtId="0" fontId="30" fillId="0" borderId="142" xfId="1" applyFont="1" applyFill="1" applyBorder="1" applyAlignment="1">
      <alignment horizontal="center" vertical="center"/>
    </xf>
    <xf numFmtId="0" fontId="30" fillId="0" borderId="124" xfId="1" applyFont="1" applyFill="1" applyBorder="1" applyAlignment="1">
      <alignment horizontal="center" vertical="center"/>
    </xf>
    <xf numFmtId="0" fontId="30" fillId="0" borderId="0" xfId="1" applyFont="1" applyFill="1" applyBorder="1" applyAlignment="1">
      <alignment horizontal="center" vertical="center"/>
    </xf>
    <xf numFmtId="0" fontId="30" fillId="0" borderId="83" xfId="1" applyFont="1" applyFill="1" applyBorder="1" applyAlignment="1">
      <alignment horizontal="center" vertical="center"/>
    </xf>
    <xf numFmtId="0" fontId="30" fillId="0" borderId="131" xfId="1" applyFont="1" applyFill="1" applyBorder="1" applyAlignment="1">
      <alignment horizontal="center" vertical="center"/>
    </xf>
    <xf numFmtId="0" fontId="30" fillId="0" borderId="85" xfId="1" applyFont="1" applyFill="1" applyBorder="1" applyAlignment="1">
      <alignment horizontal="center" vertical="center"/>
    </xf>
    <xf numFmtId="0" fontId="30" fillId="0" borderId="72" xfId="1" applyFont="1" applyFill="1" applyBorder="1" applyAlignment="1">
      <alignment horizontal="center" vertical="center"/>
    </xf>
    <xf numFmtId="0" fontId="29" fillId="0" borderId="130" xfId="1" applyFont="1" applyFill="1" applyBorder="1" applyAlignment="1">
      <alignment horizontal="center" vertical="center" wrapText="1"/>
    </xf>
    <xf numFmtId="0" fontId="29" fillId="0" borderId="38" xfId="1" applyFont="1" applyFill="1" applyBorder="1" applyAlignment="1">
      <alignment horizontal="center" vertical="center" wrapText="1"/>
    </xf>
    <xf numFmtId="0" fontId="29" fillId="0" borderId="143" xfId="1" applyFont="1" applyFill="1" applyBorder="1" applyAlignment="1">
      <alignment horizontal="center" vertical="center" wrapText="1"/>
    </xf>
    <xf numFmtId="0" fontId="30" fillId="10" borderId="16" xfId="1" applyFont="1" applyFill="1" applyBorder="1" applyAlignment="1">
      <alignment horizontal="center" vertical="center"/>
    </xf>
    <xf numFmtId="0" fontId="12" fillId="0" borderId="101" xfId="0" applyFont="1" applyBorder="1" applyAlignment="1">
      <alignment horizontal="center" vertical="center" wrapText="1" shrinkToFit="1"/>
    </xf>
    <xf numFmtId="0" fontId="12" fillId="0" borderId="16" xfId="0" applyFont="1" applyBorder="1" applyAlignment="1">
      <alignment horizontal="center" vertical="center" wrapText="1" shrinkToFit="1"/>
    </xf>
    <xf numFmtId="0" fontId="12" fillId="0" borderId="0" xfId="0" applyFont="1" applyAlignment="1">
      <alignment horizontal="left" vertical="center" wrapText="1"/>
    </xf>
    <xf numFmtId="0" fontId="12" fillId="0" borderId="136" xfId="0" applyFont="1" applyBorder="1" applyAlignment="1">
      <alignment horizontal="center" vertical="center" wrapText="1" shrinkToFit="1"/>
    </xf>
    <xf numFmtId="0" fontId="12" fillId="0" borderId="24" xfId="0" applyFont="1" applyBorder="1" applyAlignment="1">
      <alignment horizontal="center" vertical="center" wrapText="1" shrinkToFit="1"/>
    </xf>
    <xf numFmtId="0" fontId="12" fillId="0" borderId="64" xfId="0" applyFont="1" applyBorder="1" applyAlignment="1">
      <alignment horizontal="center" vertical="center" wrapText="1" shrinkToFit="1"/>
    </xf>
    <xf numFmtId="0" fontId="13" fillId="0" borderId="113" xfId="0" applyFont="1" applyBorder="1" applyAlignment="1">
      <alignment horizontal="center" vertical="center" wrapText="1" shrinkToFit="1"/>
    </xf>
    <xf numFmtId="0" fontId="13" fillId="0" borderId="21" xfId="0" applyFont="1" applyBorder="1" applyAlignment="1">
      <alignment horizontal="center" vertical="center" wrapText="1" shrinkToFit="1"/>
    </xf>
    <xf numFmtId="0" fontId="12" fillId="0" borderId="114" xfId="0" applyFont="1" applyFill="1" applyBorder="1" applyAlignment="1">
      <alignment horizontal="center" vertical="center" wrapText="1" shrinkToFit="1"/>
    </xf>
    <xf numFmtId="0" fontId="12" fillId="0" borderId="33" xfId="0" applyFont="1" applyFill="1" applyBorder="1" applyAlignment="1">
      <alignment horizontal="center" vertical="center" wrapText="1" shrinkToFit="1"/>
    </xf>
    <xf numFmtId="0" fontId="12" fillId="0" borderId="113" xfId="0" applyFont="1" applyBorder="1" applyAlignment="1">
      <alignment horizontal="center" vertical="center" wrapText="1" shrinkToFit="1"/>
    </xf>
    <xf numFmtId="0" fontId="12" fillId="0" borderId="21" xfId="0" applyFont="1" applyBorder="1" applyAlignment="1">
      <alignment horizontal="center" vertical="center" wrapText="1" shrinkToFit="1"/>
    </xf>
    <xf numFmtId="0" fontId="41" fillId="0" borderId="114" xfId="0" applyFont="1" applyBorder="1" applyAlignment="1">
      <alignment horizontal="center" vertical="center" wrapText="1"/>
    </xf>
    <xf numFmtId="0" fontId="41" fillId="0" borderId="134" xfId="0" applyFont="1" applyBorder="1" applyAlignment="1">
      <alignment horizontal="center" vertical="center" wrapText="1"/>
    </xf>
    <xf numFmtId="0" fontId="41" fillId="0" borderId="65" xfId="0" applyFont="1" applyBorder="1" applyAlignment="1">
      <alignment horizontal="center" vertical="center" wrapText="1"/>
    </xf>
    <xf numFmtId="0" fontId="13" fillId="4" borderId="10" xfId="0" applyFont="1" applyFill="1" applyBorder="1" applyAlignment="1">
      <alignment horizontal="left" vertical="center"/>
    </xf>
    <xf numFmtId="0" fontId="13" fillId="4" borderId="22" xfId="0" applyFont="1" applyFill="1" applyBorder="1" applyAlignment="1">
      <alignment horizontal="left" vertical="center"/>
    </xf>
    <xf numFmtId="0" fontId="41" fillId="0" borderId="24" xfId="0" applyFont="1" applyBorder="1" applyAlignment="1">
      <alignment horizontal="center" vertical="center"/>
    </xf>
    <xf numFmtId="0" fontId="41" fillId="0" borderId="142" xfId="0" applyFont="1" applyBorder="1" applyAlignment="1">
      <alignment horizontal="center" vertical="center"/>
    </xf>
    <xf numFmtId="0" fontId="41" fillId="0" borderId="0" xfId="0" applyFont="1" applyBorder="1" applyAlignment="1">
      <alignment horizontal="center" vertical="center"/>
    </xf>
    <xf numFmtId="0" fontId="41" fillId="0" borderId="83" xfId="0" applyFont="1" applyBorder="1" applyAlignment="1">
      <alignment horizontal="center" vertical="center"/>
    </xf>
    <xf numFmtId="0" fontId="41" fillId="0" borderId="85" xfId="0" applyFont="1" applyBorder="1" applyAlignment="1">
      <alignment horizontal="center" vertical="center"/>
    </xf>
    <xf numFmtId="0" fontId="41" fillId="0" borderId="72" xfId="0" applyFont="1" applyBorder="1" applyAlignment="1">
      <alignment horizontal="center" vertical="center"/>
    </xf>
    <xf numFmtId="0" fontId="13" fillId="4" borderId="45" xfId="0" applyFont="1" applyFill="1" applyBorder="1" applyAlignment="1">
      <alignment horizontal="left" vertical="center"/>
    </xf>
    <xf numFmtId="0" fontId="13" fillId="4" borderId="50" xfId="0" applyFont="1" applyFill="1" applyBorder="1" applyAlignment="1">
      <alignment horizontal="left" vertical="center"/>
    </xf>
    <xf numFmtId="0" fontId="13" fillId="4" borderId="27" xfId="0" applyFont="1" applyFill="1" applyBorder="1" applyAlignment="1">
      <alignment horizontal="left" vertical="center"/>
    </xf>
    <xf numFmtId="0" fontId="21" fillId="9" borderId="25" xfId="0" applyFont="1" applyFill="1" applyBorder="1" applyAlignment="1">
      <alignment horizontal="left" vertical="center"/>
    </xf>
    <xf numFmtId="0" fontId="21" fillId="9" borderId="23" xfId="0" applyFont="1" applyFill="1" applyBorder="1" applyAlignment="1">
      <alignment horizontal="left" vertical="center"/>
    </xf>
    <xf numFmtId="0" fontId="13" fillId="9" borderId="45" xfId="0" applyFont="1" applyFill="1" applyBorder="1" applyAlignment="1">
      <alignment horizontal="left" vertical="center"/>
    </xf>
    <xf numFmtId="0" fontId="13" fillId="9" borderId="50" xfId="0" applyFont="1" applyFill="1" applyBorder="1" applyAlignment="1">
      <alignment horizontal="left" vertical="center"/>
    </xf>
    <xf numFmtId="0" fontId="37" fillId="0" borderId="64" xfId="0" applyFont="1" applyBorder="1" applyAlignment="1">
      <alignment horizontal="left" wrapText="1" shrinkToFit="1"/>
    </xf>
    <xf numFmtId="0" fontId="37" fillId="0" borderId="6" xfId="0" applyFont="1" applyBorder="1" applyAlignment="1">
      <alignment horizontal="left" wrapText="1" shrinkToFit="1"/>
    </xf>
    <xf numFmtId="0" fontId="37" fillId="0" borderId="129" xfId="0" applyFont="1" applyBorder="1" applyAlignment="1">
      <alignment horizontal="center" vertical="center" wrapText="1" shrinkToFit="1"/>
    </xf>
    <xf numFmtId="0" fontId="37" fillId="0" borderId="148" xfId="0" applyFont="1" applyBorder="1" applyAlignment="1">
      <alignment horizontal="center" vertical="center" wrapText="1" shrinkToFit="1"/>
    </xf>
    <xf numFmtId="0" fontId="37" fillId="0" borderId="116" xfId="0" applyFont="1" applyFill="1" applyBorder="1" applyAlignment="1">
      <alignment horizontal="left" wrapText="1"/>
    </xf>
    <xf numFmtId="0" fontId="37" fillId="0" borderId="147" xfId="0" applyFont="1" applyFill="1" applyBorder="1" applyAlignment="1">
      <alignment horizontal="left" wrapText="1"/>
    </xf>
    <xf numFmtId="0" fontId="54" fillId="0" borderId="113" xfId="0" applyFont="1" applyBorder="1" applyAlignment="1">
      <alignment horizontal="center" vertical="center" wrapText="1" shrinkToFit="1"/>
    </xf>
    <xf numFmtId="0" fontId="54" fillId="0" borderId="21" xfId="0" applyFont="1" applyBorder="1" applyAlignment="1">
      <alignment horizontal="center" vertical="center" wrapText="1" shrinkToFit="1"/>
    </xf>
    <xf numFmtId="0" fontId="41" fillId="0" borderId="0" xfId="0" applyFont="1" applyAlignment="1">
      <alignment horizontal="left" vertical="center" wrapText="1"/>
    </xf>
    <xf numFmtId="0" fontId="41" fillId="0" borderId="15" xfId="0" applyFont="1" applyBorder="1" applyAlignment="1">
      <alignment horizontal="center" vertical="center" wrapText="1"/>
    </xf>
    <xf numFmtId="0" fontId="41" fillId="0" borderId="30" xfId="0" applyFont="1" applyBorder="1" applyAlignment="1">
      <alignment horizontal="center" vertical="center" wrapText="1"/>
    </xf>
    <xf numFmtId="0" fontId="41" fillId="0" borderId="18" xfId="0" applyFont="1" applyBorder="1" applyAlignment="1">
      <alignment horizontal="center" vertical="center" wrapText="1"/>
    </xf>
    <xf numFmtId="0" fontId="41" fillId="0" borderId="40" xfId="0" applyFont="1" applyBorder="1" applyAlignment="1">
      <alignment horizontal="center" vertical="center"/>
    </xf>
    <xf numFmtId="0" fontId="41" fillId="0" borderId="22" xfId="0" applyFont="1" applyBorder="1" applyAlignment="1">
      <alignment horizontal="center" vertical="center"/>
    </xf>
    <xf numFmtId="0" fontId="41" fillId="0" borderId="1" xfId="0" applyFont="1" applyBorder="1" applyAlignment="1">
      <alignment horizontal="center" vertical="center"/>
    </xf>
    <xf numFmtId="0" fontId="37" fillId="0" borderId="101" xfId="0" applyFont="1" applyBorder="1" applyAlignment="1">
      <alignment horizontal="center" vertical="center" wrapText="1" shrinkToFit="1"/>
    </xf>
    <xf numFmtId="0" fontId="37" fillId="0" borderId="16" xfId="0" applyFont="1" applyBorder="1" applyAlignment="1">
      <alignment horizontal="center" vertical="center" wrapText="1" shrinkToFit="1"/>
    </xf>
    <xf numFmtId="0" fontId="37" fillId="0" borderId="113" xfId="0" applyFont="1" applyBorder="1" applyAlignment="1">
      <alignment horizontal="center" vertical="center" wrapText="1" shrinkToFit="1"/>
    </xf>
    <xf numFmtId="0" fontId="37" fillId="0" borderId="21" xfId="0" applyFont="1" applyBorder="1" applyAlignment="1">
      <alignment horizontal="center" vertical="center" wrapText="1" shrinkToFit="1"/>
    </xf>
    <xf numFmtId="0" fontId="37" fillId="0" borderId="114" xfId="0" applyFont="1" applyBorder="1" applyAlignment="1">
      <alignment horizontal="center" vertical="center" wrapText="1" shrinkToFit="1"/>
    </xf>
    <xf numFmtId="0" fontId="37" fillId="0" borderId="33" xfId="0" applyFont="1" applyBorder="1" applyAlignment="1">
      <alignment horizontal="center" vertical="center" wrapText="1" shrinkToFit="1"/>
    </xf>
    <xf numFmtId="0" fontId="6" fillId="0" borderId="0" xfId="4" applyFont="1" applyFill="1" applyAlignment="1" applyProtection="1">
      <alignment horizontal="left" vertical="center" wrapText="1"/>
      <protection locked="0"/>
    </xf>
    <xf numFmtId="0" fontId="12" fillId="0" borderId="63" xfId="0" applyFont="1" applyBorder="1" applyAlignment="1">
      <alignment horizontal="center" vertical="center" wrapText="1" shrinkToFit="1"/>
    </xf>
    <xf numFmtId="0" fontId="12" fillId="0" borderId="7" xfId="0" applyFont="1" applyBorder="1" applyAlignment="1">
      <alignment horizontal="center" vertical="center" wrapText="1" shrinkToFit="1"/>
    </xf>
    <xf numFmtId="0" fontId="54" fillId="0" borderId="113" xfId="0" applyFont="1" applyFill="1" applyBorder="1" applyAlignment="1">
      <alignment horizontal="center" vertical="center" wrapText="1" shrinkToFit="1"/>
    </xf>
    <xf numFmtId="0" fontId="54" fillId="0" borderId="21" xfId="0" applyFont="1" applyFill="1" applyBorder="1" applyAlignment="1">
      <alignment horizontal="center" vertical="center" wrapText="1" shrinkToFit="1"/>
    </xf>
    <xf numFmtId="0" fontId="6" fillId="0" borderId="15" xfId="4" applyFont="1" applyBorder="1" applyAlignment="1">
      <alignment horizontal="center" vertical="center" wrapText="1"/>
    </xf>
    <xf numFmtId="0" fontId="6" fillId="0" borderId="30" xfId="4" applyFont="1" applyBorder="1" applyAlignment="1">
      <alignment horizontal="center" vertical="center" wrapText="1"/>
    </xf>
    <xf numFmtId="0" fontId="6" fillId="0" borderId="18" xfId="4" applyFont="1" applyBorder="1" applyAlignment="1">
      <alignment horizontal="center" vertical="center" wrapText="1"/>
    </xf>
    <xf numFmtId="0" fontId="6" fillId="0" borderId="64" xfId="4" applyFont="1" applyFill="1" applyBorder="1" applyAlignment="1" applyProtection="1">
      <alignment horizontal="center" vertical="center" wrapText="1" shrinkToFit="1"/>
      <protection locked="0"/>
    </xf>
    <xf numFmtId="0" fontId="6" fillId="0" borderId="128" xfId="4" applyFont="1" applyFill="1" applyBorder="1" applyAlignment="1" applyProtection="1">
      <alignment horizontal="center" vertical="center" wrapText="1" shrinkToFit="1"/>
      <protection locked="0"/>
    </xf>
    <xf numFmtId="0" fontId="6" fillId="0" borderId="100" xfId="4" applyFont="1" applyFill="1" applyBorder="1" applyAlignment="1" applyProtection="1">
      <alignment horizontal="center" vertical="center" wrapText="1" shrinkToFit="1"/>
      <protection locked="0"/>
    </xf>
    <xf numFmtId="0" fontId="6" fillId="0" borderId="113" xfId="1" applyFont="1" applyFill="1" applyBorder="1" applyAlignment="1" applyProtection="1">
      <alignment horizontal="center" vertical="center"/>
      <protection locked="0"/>
    </xf>
    <xf numFmtId="0" fontId="6" fillId="0" borderId="53" xfId="1" applyFont="1" applyFill="1" applyBorder="1" applyAlignment="1" applyProtection="1">
      <alignment horizontal="center" vertical="center"/>
      <protection locked="0"/>
    </xf>
    <xf numFmtId="0" fontId="6" fillId="0" borderId="42" xfId="1" applyFont="1" applyFill="1" applyBorder="1" applyAlignment="1" applyProtection="1">
      <alignment horizontal="center" vertical="center"/>
      <protection locked="0"/>
    </xf>
    <xf numFmtId="0" fontId="12" fillId="0" borderId="114" xfId="0" applyFont="1" applyBorder="1" applyAlignment="1">
      <alignment horizontal="center" vertical="center" wrapText="1" shrinkToFit="1"/>
    </xf>
    <xf numFmtId="0" fontId="12" fillId="0" borderId="33" xfId="0" applyFont="1" applyBorder="1" applyAlignment="1">
      <alignment horizontal="center" vertical="center" wrapText="1" shrinkToFit="1"/>
    </xf>
    <xf numFmtId="0" fontId="13" fillId="4" borderId="113" xfId="0" applyFont="1" applyFill="1" applyBorder="1" applyAlignment="1">
      <alignment horizontal="center" vertical="center" wrapText="1" shrinkToFit="1"/>
    </xf>
    <xf numFmtId="0" fontId="13" fillId="4" borderId="21" xfId="0" applyFont="1" applyFill="1" applyBorder="1" applyAlignment="1">
      <alignment horizontal="center" vertical="center" wrapText="1" shrinkToFit="1"/>
    </xf>
    <xf numFmtId="0" fontId="44" fillId="4" borderId="27" xfId="0" applyFont="1" applyFill="1" applyBorder="1" applyAlignment="1">
      <alignment horizontal="left" vertical="center"/>
    </xf>
    <xf numFmtId="0" fontId="44" fillId="4" borderId="45" xfId="0" applyFont="1" applyFill="1" applyBorder="1" applyAlignment="1">
      <alignment horizontal="left" vertical="center"/>
    </xf>
    <xf numFmtId="0" fontId="44" fillId="4" borderId="117" xfId="0" applyFont="1" applyFill="1" applyBorder="1" applyAlignment="1">
      <alignment horizontal="left" vertical="center"/>
    </xf>
    <xf numFmtId="0" fontId="37" fillId="0" borderId="150" xfId="0" applyFont="1" applyFill="1" applyBorder="1" applyAlignment="1">
      <alignment horizontal="left" wrapText="1"/>
    </xf>
    <xf numFmtId="0" fontId="37" fillId="0" borderId="151" xfId="0" applyFont="1" applyFill="1" applyBorder="1" applyAlignment="1">
      <alignment horizontal="left" wrapText="1"/>
    </xf>
    <xf numFmtId="0" fontId="41" fillId="0" borderId="152" xfId="0" applyFont="1" applyFill="1" applyBorder="1" applyAlignment="1">
      <alignment horizontal="center" vertical="center" wrapText="1"/>
    </xf>
    <xf numFmtId="0" fontId="41" fillId="0" borderId="94" xfId="0" applyFont="1" applyFill="1" applyBorder="1" applyAlignment="1">
      <alignment horizontal="center" vertical="center" wrapText="1"/>
    </xf>
    <xf numFmtId="0" fontId="41" fillId="0" borderId="153" xfId="0" applyFont="1" applyFill="1" applyBorder="1" applyAlignment="1">
      <alignment horizontal="center" vertical="center" wrapText="1"/>
    </xf>
    <xf numFmtId="0" fontId="44" fillId="9" borderId="129" xfId="0" applyFont="1" applyFill="1" applyBorder="1" applyAlignment="1">
      <alignment horizontal="left" vertical="center"/>
    </xf>
    <xf numFmtId="0" fontId="44" fillId="9" borderId="135" xfId="0" applyFont="1" applyFill="1" applyBorder="1" applyAlignment="1">
      <alignment horizontal="left" vertical="center"/>
    </xf>
    <xf numFmtId="0" fontId="44" fillId="9" borderId="148" xfId="0" applyFont="1" applyFill="1" applyBorder="1" applyAlignment="1">
      <alignment horizontal="left" vertical="center"/>
    </xf>
    <xf numFmtId="0" fontId="12" fillId="0" borderId="149" xfId="0" applyFont="1" applyBorder="1" applyAlignment="1">
      <alignment horizontal="center" vertical="center" wrapText="1" shrinkToFit="1"/>
    </xf>
    <xf numFmtId="0" fontId="49" fillId="0" borderId="45" xfId="0" applyFont="1" applyBorder="1" applyAlignment="1">
      <alignment horizontal="right" vertical="center"/>
    </xf>
    <xf numFmtId="0" fontId="13" fillId="9" borderId="27" xfId="0" applyFont="1" applyFill="1" applyBorder="1" applyAlignment="1">
      <alignment horizontal="left" vertical="center"/>
    </xf>
    <xf numFmtId="0" fontId="13" fillId="9" borderId="117" xfId="0" applyFont="1" applyFill="1" applyBorder="1" applyAlignment="1">
      <alignment horizontal="left" vertical="center"/>
    </xf>
    <xf numFmtId="0" fontId="6" fillId="0" borderId="0" xfId="0" applyFont="1" applyAlignment="1">
      <alignment horizontal="left" vertical="center" wrapText="1"/>
    </xf>
    <xf numFmtId="0" fontId="29" fillId="0" borderId="0" xfId="0" applyFont="1" applyAlignment="1">
      <alignment horizontal="left" vertical="center" wrapText="1"/>
    </xf>
    <xf numFmtId="0" fontId="13" fillId="4" borderId="117" xfId="0" applyFont="1" applyFill="1" applyBorder="1" applyAlignment="1">
      <alignment horizontal="left" vertical="center"/>
    </xf>
    <xf numFmtId="0" fontId="44" fillId="9" borderId="27" xfId="0" applyFont="1" applyFill="1" applyBorder="1" applyAlignment="1">
      <alignment horizontal="left" vertical="center"/>
    </xf>
    <xf numFmtId="0" fontId="44" fillId="9" borderId="45" xfId="0" applyFont="1" applyFill="1" applyBorder="1" applyAlignment="1">
      <alignment horizontal="left" vertical="center"/>
    </xf>
    <xf numFmtId="0" fontId="44" fillId="9" borderId="117" xfId="0" applyFont="1" applyFill="1" applyBorder="1" applyAlignment="1">
      <alignment horizontal="left" vertical="center"/>
    </xf>
    <xf numFmtId="0" fontId="41" fillId="0" borderId="45" xfId="0" applyFont="1" applyBorder="1" applyAlignment="1">
      <alignment horizontal="left" vertical="center"/>
    </xf>
    <xf numFmtId="49" fontId="41" fillId="0" borderId="45" xfId="0" applyNumberFormat="1" applyFont="1" applyBorder="1" applyAlignment="1">
      <alignment horizontal="left" vertical="center" wrapText="1"/>
    </xf>
    <xf numFmtId="49" fontId="41" fillId="0" borderId="117" xfId="0" applyNumberFormat="1" applyFont="1" applyBorder="1" applyAlignment="1">
      <alignment horizontal="left" vertical="center" wrapText="1"/>
    </xf>
    <xf numFmtId="16" fontId="41" fillId="0" borderId="45" xfId="0" applyNumberFormat="1" applyFont="1" applyFill="1" applyBorder="1" applyAlignment="1">
      <alignment horizontal="left" vertical="center"/>
    </xf>
    <xf numFmtId="16" fontId="41" fillId="0" borderId="117" xfId="0" applyNumberFormat="1" applyFont="1" applyFill="1" applyBorder="1" applyAlignment="1">
      <alignment horizontal="left" vertical="center"/>
    </xf>
    <xf numFmtId="0" fontId="41" fillId="0" borderId="117" xfId="0" applyFont="1" applyBorder="1" applyAlignment="1">
      <alignment horizontal="left" vertical="center"/>
    </xf>
    <xf numFmtId="0" fontId="41" fillId="0" borderId="45" xfId="0" applyFont="1" applyFill="1" applyBorder="1" applyAlignment="1">
      <alignment horizontal="left" vertical="center"/>
    </xf>
    <xf numFmtId="0" fontId="41" fillId="0" borderId="117" xfId="0" applyFont="1" applyFill="1" applyBorder="1" applyAlignment="1">
      <alignment horizontal="left" vertical="center"/>
    </xf>
    <xf numFmtId="0" fontId="12" fillId="0" borderId="28" xfId="0" applyFont="1" applyBorder="1" applyAlignment="1">
      <alignment horizontal="center" vertical="center" wrapText="1" shrinkToFit="1"/>
    </xf>
    <xf numFmtId="0" fontId="12" fillId="0" borderId="40" xfId="0" applyFont="1" applyBorder="1" applyAlignment="1">
      <alignment horizontal="center" vertical="center" wrapText="1" shrinkToFit="1"/>
    </xf>
    <xf numFmtId="0" fontId="12" fillId="0" borderId="22" xfId="0" applyFont="1" applyBorder="1" applyAlignment="1">
      <alignment horizontal="center" vertical="center" wrapText="1" shrinkToFit="1"/>
    </xf>
    <xf numFmtId="0" fontId="41" fillId="0" borderId="31" xfId="0" applyFont="1" applyBorder="1" applyAlignment="1">
      <alignment horizontal="center" vertical="center" wrapText="1"/>
    </xf>
    <xf numFmtId="0" fontId="41" fillId="0" borderId="129" xfId="0" applyFont="1" applyBorder="1" applyAlignment="1">
      <alignment horizontal="center" vertical="center"/>
    </xf>
    <xf numFmtId="0" fontId="41" fillId="0" borderId="62" xfId="0" applyFont="1" applyBorder="1" applyAlignment="1">
      <alignment horizontal="center" vertical="center"/>
    </xf>
    <xf numFmtId="0" fontId="41" fillId="0" borderId="32" xfId="0" applyFont="1" applyBorder="1" applyAlignment="1">
      <alignment horizontal="center" vertical="center"/>
    </xf>
    <xf numFmtId="0" fontId="12" fillId="0" borderId="15" xfId="0" applyFont="1" applyBorder="1" applyAlignment="1">
      <alignment horizontal="center" vertical="center" wrapText="1" shrinkToFit="1"/>
    </xf>
    <xf numFmtId="0" fontId="29" fillId="0" borderId="15" xfId="1" applyFont="1" applyBorder="1" applyAlignment="1" applyProtection="1">
      <alignment horizontal="center" vertical="center"/>
      <protection locked="0"/>
    </xf>
    <xf numFmtId="0" fontId="29" fillId="0" borderId="18" xfId="1" applyFont="1" applyBorder="1" applyAlignment="1" applyProtection="1">
      <alignment horizontal="center" vertical="center"/>
      <protection locked="0"/>
    </xf>
    <xf numFmtId="0" fontId="29" fillId="0" borderId="16" xfId="1" applyFont="1" applyBorder="1" applyAlignment="1" applyProtection="1">
      <alignment horizontal="center" vertical="center" wrapText="1"/>
      <protection locked="0"/>
    </xf>
    <xf numFmtId="0" fontId="29" fillId="0" borderId="13" xfId="1" applyFont="1" applyBorder="1" applyAlignment="1" applyProtection="1">
      <alignment horizontal="center" vertical="center" wrapText="1"/>
      <protection locked="0"/>
    </xf>
    <xf numFmtId="0" fontId="29" fillId="0" borderId="16" xfId="1" applyFont="1" applyBorder="1" applyAlignment="1" applyProtection="1">
      <alignment horizontal="center" vertical="center"/>
      <protection locked="0"/>
    </xf>
    <xf numFmtId="0" fontId="29" fillId="0" borderId="40" xfId="1" applyFont="1" applyBorder="1" applyAlignment="1" applyProtection="1">
      <alignment horizontal="center" vertical="center"/>
      <protection locked="0"/>
    </xf>
    <xf numFmtId="0" fontId="29" fillId="9" borderId="7" xfId="1" applyFont="1" applyFill="1" applyBorder="1" applyAlignment="1" applyProtection="1">
      <alignment horizontal="left" vertical="center" wrapText="1"/>
      <protection locked="0"/>
    </xf>
    <xf numFmtId="0" fontId="29" fillId="0" borderId="29" xfId="1" applyFont="1" applyBorder="1" applyAlignment="1" applyProtection="1">
      <alignment horizontal="left" vertical="center" indent="1"/>
      <protection locked="0"/>
    </xf>
    <xf numFmtId="0" fontId="29" fillId="0" borderId="61" xfId="1" applyFont="1" applyBorder="1" applyAlignment="1" applyProtection="1">
      <alignment horizontal="left" vertical="center" indent="1"/>
      <protection locked="0"/>
    </xf>
    <xf numFmtId="0" fontId="29" fillId="0" borderId="7" xfId="1" applyFont="1" applyBorder="1" applyAlignment="1" applyProtection="1">
      <alignment horizontal="left" vertical="center" indent="1"/>
      <protection locked="0"/>
    </xf>
    <xf numFmtId="0" fontId="12" fillId="0" borderId="0" xfId="0" applyFont="1" applyFill="1" applyAlignment="1">
      <alignment horizontal="left" vertical="center" wrapText="1"/>
    </xf>
    <xf numFmtId="0" fontId="55" fillId="0" borderId="0" xfId="0" applyFont="1" applyFill="1" applyAlignment="1">
      <alignment horizontal="left" vertical="center" wrapText="1"/>
    </xf>
    <xf numFmtId="0" fontId="29" fillId="9" borderId="27" xfId="1" applyFont="1" applyFill="1" applyBorder="1" applyAlignment="1" applyProtection="1">
      <alignment horizontal="left" vertical="center" indent="1"/>
      <protection locked="0"/>
    </xf>
    <xf numFmtId="0" fontId="29" fillId="9" borderId="9" xfId="1" applyFont="1" applyFill="1" applyBorder="1" applyAlignment="1" applyProtection="1">
      <alignment horizontal="left" vertical="center" indent="1"/>
      <protection locked="0"/>
    </xf>
    <xf numFmtId="0" fontId="29" fillId="9" borderId="82" xfId="1" applyFont="1" applyFill="1" applyBorder="1" applyAlignment="1" applyProtection="1">
      <alignment horizontal="left" vertical="center" indent="1"/>
      <protection locked="0"/>
    </xf>
    <xf numFmtId="0" fontId="29" fillId="9" borderId="12" xfId="1" applyFont="1" applyFill="1" applyBorder="1" applyAlignment="1" applyProtection="1">
      <alignment horizontal="left" vertical="center" indent="1"/>
      <protection locked="0"/>
    </xf>
    <xf numFmtId="0" fontId="6" fillId="0" borderId="0" xfId="1" applyFont="1" applyBorder="1" applyAlignment="1" applyProtection="1">
      <alignment horizontal="left" wrapText="1"/>
      <protection locked="0"/>
    </xf>
    <xf numFmtId="0" fontId="29" fillId="0" borderId="0" xfId="1" applyFont="1" applyBorder="1" applyAlignment="1" applyProtection="1">
      <alignment horizontal="left" wrapText="1"/>
      <protection locked="0"/>
    </xf>
    <xf numFmtId="0" fontId="55" fillId="0" borderId="0" xfId="0" applyFont="1" applyAlignment="1">
      <alignment horizontal="left" vertical="center" wrapText="1"/>
    </xf>
    <xf numFmtId="0" fontId="6" fillId="0" borderId="0" xfId="1" applyFont="1" applyAlignment="1" applyProtection="1">
      <alignment horizontal="left" vertical="center" wrapText="1"/>
      <protection locked="0"/>
    </xf>
    <xf numFmtId="0" fontId="29" fillId="0" borderId="114" xfId="1" applyFont="1" applyBorder="1" applyAlignment="1" applyProtection="1">
      <alignment horizontal="center" vertical="center" wrapText="1"/>
      <protection locked="0"/>
    </xf>
    <xf numFmtId="0" fontId="29" fillId="0" borderId="65" xfId="1" applyFont="1" applyBorder="1" applyAlignment="1" applyProtection="1">
      <alignment horizontal="center" vertical="center" wrapText="1"/>
      <protection locked="0"/>
    </xf>
    <xf numFmtId="0" fontId="29" fillId="0" borderId="63" xfId="1" applyFont="1" applyBorder="1" applyAlignment="1" applyProtection="1">
      <alignment horizontal="center" vertical="center" wrapText="1"/>
      <protection locked="0"/>
    </xf>
    <xf numFmtId="0" fontId="29" fillId="0" borderId="41" xfId="1" applyFont="1" applyBorder="1" applyAlignment="1" applyProtection="1">
      <alignment horizontal="center" vertical="center" wrapText="1"/>
      <protection locked="0"/>
    </xf>
    <xf numFmtId="0" fontId="30" fillId="0" borderId="114" xfId="1" applyFont="1" applyFill="1" applyBorder="1" applyAlignment="1" applyProtection="1">
      <alignment horizontal="center" vertical="center" wrapText="1"/>
      <protection locked="0"/>
    </xf>
    <xf numFmtId="0" fontId="30" fillId="0" borderId="63" xfId="1" applyFont="1" applyFill="1" applyBorder="1" applyAlignment="1" applyProtection="1">
      <alignment horizontal="center" vertical="center" wrapText="1"/>
      <protection locked="0"/>
    </xf>
    <xf numFmtId="0" fontId="30" fillId="0" borderId="113" xfId="1" applyFont="1" applyFill="1" applyBorder="1" applyAlignment="1" applyProtection="1">
      <alignment horizontal="center" vertical="center" wrapText="1"/>
      <protection locked="0"/>
    </xf>
    <xf numFmtId="0" fontId="29" fillId="0" borderId="132" xfId="1" applyFont="1" applyBorder="1" applyAlignment="1" applyProtection="1">
      <alignment horizontal="center" vertical="center"/>
      <protection locked="0"/>
    </xf>
    <xf numFmtId="0" fontId="29" fillId="0" borderId="24" xfId="1" applyFont="1" applyBorder="1" applyAlignment="1" applyProtection="1">
      <alignment horizontal="center" vertical="center"/>
      <protection locked="0"/>
    </xf>
    <xf numFmtId="0" fontId="29" fillId="0" borderId="142" xfId="1" applyFont="1" applyBorder="1" applyAlignment="1" applyProtection="1">
      <alignment horizontal="center" vertical="center"/>
      <protection locked="0"/>
    </xf>
    <xf numFmtId="0" fontId="29" fillId="0" borderId="124" xfId="1" applyFont="1" applyBorder="1" applyAlignment="1" applyProtection="1">
      <alignment horizontal="center" vertical="center"/>
      <protection locked="0"/>
    </xf>
    <xf numFmtId="0" fontId="29" fillId="0" borderId="0" xfId="1" applyFont="1" applyBorder="1" applyAlignment="1" applyProtection="1">
      <alignment horizontal="center" vertical="center"/>
      <protection locked="0"/>
    </xf>
    <xf numFmtId="0" fontId="29" fillId="0" borderId="83" xfId="1" applyFont="1" applyBorder="1" applyAlignment="1" applyProtection="1">
      <alignment horizontal="center" vertical="center"/>
      <protection locked="0"/>
    </xf>
    <xf numFmtId="0" fontId="29" fillId="0" borderId="131" xfId="1" applyFont="1" applyBorder="1" applyAlignment="1" applyProtection="1">
      <alignment horizontal="center" vertical="center"/>
      <protection locked="0"/>
    </xf>
    <xf numFmtId="0" fontId="29" fillId="0" borderId="85" xfId="1" applyFont="1" applyBorder="1" applyAlignment="1" applyProtection="1">
      <alignment horizontal="center" vertical="center"/>
      <protection locked="0"/>
    </xf>
    <xf numFmtId="0" fontId="29" fillId="0" borderId="72" xfId="1" applyFont="1" applyBorder="1" applyAlignment="1" applyProtection="1">
      <alignment horizontal="center" vertical="center"/>
      <protection locked="0"/>
    </xf>
    <xf numFmtId="0" fontId="29" fillId="0" borderId="130" xfId="1" applyFont="1" applyFill="1" applyBorder="1" applyAlignment="1" applyProtection="1">
      <alignment horizontal="center" vertical="center" wrapText="1"/>
      <protection locked="0"/>
    </xf>
    <xf numFmtId="0" fontId="29" fillId="0" borderId="135" xfId="1" applyFont="1" applyFill="1" applyBorder="1" applyAlignment="1" applyProtection="1">
      <alignment horizontal="center" vertical="center" wrapText="1"/>
      <protection locked="0"/>
    </xf>
    <xf numFmtId="0" fontId="29" fillId="0" borderId="52" xfId="1" applyFont="1" applyFill="1" applyBorder="1" applyAlignment="1" applyProtection="1">
      <alignment horizontal="center" vertical="center" wrapText="1"/>
      <protection locked="0"/>
    </xf>
    <xf numFmtId="0" fontId="29" fillId="0" borderId="20" xfId="1" applyFont="1" applyBorder="1" applyAlignment="1" applyProtection="1">
      <alignment horizontal="center" vertical="center" wrapText="1"/>
      <protection locked="0"/>
    </xf>
    <xf numFmtId="0" fontId="29" fillId="0" borderId="123" xfId="1" applyFont="1" applyBorder="1" applyAlignment="1" applyProtection="1">
      <alignment horizontal="center" vertical="center" wrapText="1"/>
      <protection locked="0"/>
    </xf>
    <xf numFmtId="0" fontId="29" fillId="0" borderId="36" xfId="1" applyFont="1" applyBorder="1" applyAlignment="1" applyProtection="1">
      <alignment horizontal="center" vertical="center" wrapText="1"/>
      <protection locked="0"/>
    </xf>
    <xf numFmtId="0" fontId="30" fillId="0" borderId="24" xfId="1" applyFont="1" applyFill="1" applyBorder="1" applyAlignment="1" applyProtection="1">
      <alignment horizontal="center" vertical="center" wrapText="1"/>
      <protection locked="0"/>
    </xf>
    <xf numFmtId="0" fontId="30" fillId="0" borderId="0" xfId="1" applyFont="1" applyFill="1" applyBorder="1" applyAlignment="1" applyProtection="1">
      <alignment horizontal="center" vertical="center" wrapText="1"/>
      <protection locked="0"/>
    </xf>
    <xf numFmtId="0" fontId="30" fillId="0" borderId="85" xfId="1" applyFont="1" applyFill="1" applyBorder="1" applyAlignment="1" applyProtection="1">
      <alignment horizontal="center" vertical="center" wrapText="1"/>
      <protection locked="0"/>
    </xf>
    <xf numFmtId="0" fontId="30" fillId="0" borderId="14" xfId="1" applyFont="1" applyBorder="1" applyAlignment="1" applyProtection="1">
      <alignment horizontal="center" vertical="center" wrapText="1"/>
      <protection locked="0"/>
    </xf>
    <xf numFmtId="0" fontId="30" fillId="0" borderId="8" xfId="1" applyFont="1" applyBorder="1" applyAlignment="1" applyProtection="1">
      <alignment horizontal="center" vertical="center" wrapText="1"/>
      <protection locked="0"/>
    </xf>
    <xf numFmtId="0" fontId="30" fillId="0" borderId="11" xfId="1" applyFont="1" applyBorder="1" applyAlignment="1" applyProtection="1">
      <alignment horizontal="center" vertical="center" wrapText="1"/>
      <protection locked="0"/>
    </xf>
    <xf numFmtId="0" fontId="29" fillId="0" borderId="132" xfId="1" applyFont="1" applyFill="1" applyBorder="1" applyAlignment="1" applyProtection="1">
      <alignment horizontal="center" vertical="center" wrapText="1"/>
      <protection locked="0"/>
    </xf>
    <xf numFmtId="0" fontId="29" fillId="0" borderId="142" xfId="1" applyFont="1" applyFill="1" applyBorder="1" applyAlignment="1" applyProtection="1">
      <alignment horizontal="center" vertical="center" wrapText="1"/>
      <protection locked="0"/>
    </xf>
    <xf numFmtId="0" fontId="29" fillId="0" borderId="37" xfId="1" applyFont="1" applyFill="1" applyBorder="1" applyAlignment="1" applyProtection="1">
      <alignment horizontal="center" vertical="center" wrapText="1"/>
      <protection locked="0"/>
    </xf>
    <xf numFmtId="0" fontId="29" fillId="0" borderId="49" xfId="1" applyFont="1" applyFill="1" applyBorder="1" applyAlignment="1" applyProtection="1">
      <alignment horizontal="center" vertical="center" wrapText="1"/>
      <protection locked="0"/>
    </xf>
    <xf numFmtId="0" fontId="29" fillId="0" borderId="7" xfId="1" applyFont="1" applyFill="1" applyBorder="1" applyAlignment="1" applyProtection="1">
      <alignment horizontal="left" vertical="center"/>
      <protection locked="0"/>
    </xf>
    <xf numFmtId="0" fontId="29" fillId="0" borderId="21" xfId="1" applyFont="1" applyFill="1" applyBorder="1" applyAlignment="1" applyProtection="1">
      <alignment horizontal="left" vertical="center"/>
      <protection locked="0"/>
    </xf>
    <xf numFmtId="0" fontId="29" fillId="0" borderId="130" xfId="1" applyFont="1" applyFill="1" applyBorder="1" applyAlignment="1" applyProtection="1">
      <alignment horizontal="center" vertical="center"/>
      <protection locked="0"/>
    </xf>
    <xf numFmtId="0" fontId="29" fillId="0" borderId="135" xfId="1" applyFont="1" applyFill="1" applyBorder="1" applyAlignment="1" applyProtection="1">
      <alignment horizontal="center" vertical="center"/>
      <protection locked="0"/>
    </xf>
    <xf numFmtId="0" fontId="29" fillId="0" borderId="52" xfId="1" applyFont="1" applyFill="1" applyBorder="1" applyAlignment="1" applyProtection="1">
      <alignment horizontal="center" vertical="center"/>
      <protection locked="0"/>
    </xf>
    <xf numFmtId="0" fontId="29" fillId="0" borderId="27" xfId="1" applyFont="1" applyFill="1" applyBorder="1" applyAlignment="1" applyProtection="1">
      <alignment horizontal="center" vertical="center" wrapText="1"/>
      <protection locked="0"/>
    </xf>
    <xf numFmtId="0" fontId="29" fillId="0" borderId="9" xfId="1" applyFont="1" applyFill="1" applyBorder="1" applyAlignment="1" applyProtection="1">
      <alignment horizontal="center" vertical="center" wrapText="1"/>
      <protection locked="0"/>
    </xf>
    <xf numFmtId="0" fontId="30" fillId="0" borderId="2" xfId="1" applyFont="1" applyBorder="1" applyAlignment="1" applyProtection="1">
      <alignment horizontal="left" vertical="center"/>
      <protection locked="0"/>
    </xf>
    <xf numFmtId="0" fontId="30" fillId="0" borderId="91" xfId="1" applyFont="1" applyBorder="1" applyAlignment="1" applyProtection="1">
      <alignment horizontal="left" vertical="center"/>
      <protection locked="0"/>
    </xf>
    <xf numFmtId="0" fontId="30" fillId="0" borderId="23" xfId="1" applyFont="1" applyBorder="1" applyAlignment="1" applyProtection="1">
      <alignment horizontal="left" vertical="center"/>
      <protection locked="0"/>
    </xf>
    <xf numFmtId="0" fontId="29" fillId="0" borderId="38" xfId="1" applyFont="1" applyFill="1" applyBorder="1" applyAlignment="1" applyProtection="1">
      <alignment horizontal="center" vertical="center" wrapText="1"/>
      <protection locked="0"/>
    </xf>
    <xf numFmtId="0" fontId="29" fillId="0" borderId="50" xfId="1" applyFont="1" applyFill="1" applyBorder="1" applyAlignment="1" applyProtection="1">
      <alignment horizontal="center" vertical="center" wrapText="1"/>
      <protection locked="0"/>
    </xf>
    <xf numFmtId="0" fontId="29" fillId="0" borderId="33" xfId="1" applyFont="1" applyBorder="1" applyAlignment="1">
      <alignment horizontal="center" vertical="center" wrapText="1"/>
    </xf>
    <xf numFmtId="0" fontId="29" fillId="0" borderId="30" xfId="1" applyFont="1" applyBorder="1" applyAlignment="1">
      <alignment horizontal="center" vertical="center" wrapText="1"/>
    </xf>
    <xf numFmtId="0" fontId="29" fillId="3" borderId="15" xfId="1" applyFont="1" applyFill="1" applyBorder="1" applyAlignment="1" applyProtection="1">
      <alignment horizontal="center" vertical="center" wrapText="1"/>
      <protection locked="0"/>
    </xf>
    <xf numFmtId="0" fontId="29" fillId="3" borderId="40" xfId="1" applyFont="1" applyFill="1" applyBorder="1" applyAlignment="1" applyProtection="1">
      <alignment horizontal="center" vertical="center" wrapText="1"/>
      <protection locked="0"/>
    </xf>
    <xf numFmtId="0" fontId="29" fillId="3" borderId="30" xfId="1" applyFont="1" applyFill="1" applyBorder="1" applyAlignment="1" applyProtection="1">
      <alignment horizontal="center" vertical="center" wrapText="1"/>
      <protection locked="0"/>
    </xf>
    <xf numFmtId="0" fontId="29" fillId="3" borderId="22" xfId="1" applyFont="1" applyFill="1" applyBorder="1" applyAlignment="1" applyProtection="1">
      <alignment horizontal="center" vertical="center" wrapText="1"/>
      <protection locked="0"/>
    </xf>
    <xf numFmtId="0" fontId="29" fillId="0" borderId="61" xfId="1" applyFont="1" applyBorder="1" applyAlignment="1" applyProtection="1">
      <alignment horizontal="center" vertical="center" wrapText="1"/>
      <protection locked="0"/>
    </xf>
    <xf numFmtId="0" fontId="29" fillId="0" borderId="7" xfId="1" applyFont="1" applyBorder="1" applyAlignment="1" applyProtection="1">
      <alignment horizontal="center" vertical="center" wrapText="1"/>
      <protection locked="0"/>
    </xf>
    <xf numFmtId="0" fontId="29" fillId="0" borderId="27" xfId="1" applyFont="1" applyFill="1" applyBorder="1" applyAlignment="1" applyProtection="1">
      <alignment horizontal="left" vertical="center"/>
      <protection locked="0"/>
    </xf>
    <xf numFmtId="0" fontId="29" fillId="0" borderId="50" xfId="1" applyFont="1" applyFill="1" applyBorder="1" applyAlignment="1" applyProtection="1">
      <alignment horizontal="left" vertical="center"/>
      <protection locked="0"/>
    </xf>
    <xf numFmtId="0" fontId="29" fillId="0" borderId="30" xfId="1" applyFont="1" applyBorder="1" applyAlignment="1">
      <alignment horizontal="left" vertical="center" wrapText="1"/>
    </xf>
    <xf numFmtId="0" fontId="29" fillId="0" borderId="10" xfId="1" applyFont="1" applyBorder="1" applyAlignment="1">
      <alignment horizontal="left" vertical="center" wrapText="1"/>
    </xf>
    <xf numFmtId="0" fontId="29" fillId="0" borderId="22" xfId="1" applyFont="1" applyBorder="1" applyAlignment="1">
      <alignment horizontal="left" vertical="center" wrapText="1"/>
    </xf>
    <xf numFmtId="0" fontId="29" fillId="0" borderId="114" xfId="1" applyFont="1" applyBorder="1" applyAlignment="1">
      <alignment horizontal="center" vertical="center" wrapText="1"/>
    </xf>
    <xf numFmtId="0" fontId="29" fillId="0" borderId="134" xfId="1" applyFont="1" applyBorder="1" applyAlignment="1">
      <alignment horizontal="center" vertical="center" wrapText="1"/>
    </xf>
    <xf numFmtId="0" fontId="29" fillId="0" borderId="31" xfId="1" applyFont="1" applyBorder="1" applyAlignment="1">
      <alignment horizontal="left" vertical="center" wrapText="1"/>
    </xf>
    <xf numFmtId="0" fontId="29" fillId="0" borderId="29" xfId="1" applyFont="1" applyBorder="1" applyAlignment="1">
      <alignment horizontal="left" vertical="center" wrapText="1"/>
    </xf>
    <xf numFmtId="0" fontId="29" fillId="0" borderId="35" xfId="1" applyFont="1" applyBorder="1" applyAlignment="1">
      <alignment horizontal="left" vertical="center" wrapText="1"/>
    </xf>
    <xf numFmtId="0" fontId="29" fillId="0" borderId="27" xfId="1" applyFont="1" applyBorder="1" applyAlignment="1" applyProtection="1">
      <alignment horizontal="left" vertical="center" wrapText="1"/>
      <protection locked="0"/>
    </xf>
    <xf numFmtId="0" fontId="29" fillId="0" borderId="50" xfId="1" applyFont="1" applyBorder="1" applyAlignment="1" applyProtection="1">
      <alignment horizontal="left" vertical="center" wrapText="1"/>
      <protection locked="0"/>
    </xf>
    <xf numFmtId="0" fontId="29" fillId="0" borderId="10" xfId="1" applyFont="1" applyFill="1" applyBorder="1" applyAlignment="1" applyProtection="1">
      <alignment horizontal="left" vertical="center"/>
      <protection locked="0"/>
    </xf>
    <xf numFmtId="0" fontId="29" fillId="0" borderId="22" xfId="1" applyFont="1" applyFill="1" applyBorder="1" applyAlignment="1" applyProtection="1">
      <alignment horizontal="left" vertical="center"/>
      <protection locked="0"/>
    </xf>
    <xf numFmtId="0" fontId="29" fillId="0" borderId="45" xfId="1" applyFont="1" applyBorder="1" applyAlignment="1">
      <alignment horizontal="left" vertical="center" wrapText="1"/>
    </xf>
    <xf numFmtId="0" fontId="29" fillId="0" borderId="88" xfId="1" applyFont="1" applyBorder="1" applyAlignment="1">
      <alignment horizontal="left" vertical="center" wrapText="1"/>
    </xf>
    <xf numFmtId="0" fontId="29" fillId="6" borderId="38" xfId="1" applyFont="1" applyFill="1" applyBorder="1" applyAlignment="1" applyProtection="1">
      <alignment horizontal="left" vertical="center" wrapText="1" indent="1" readingOrder="1"/>
      <protection locked="0"/>
    </xf>
    <xf numFmtId="0" fontId="29" fillId="6" borderId="50" xfId="1" applyFont="1" applyFill="1" applyBorder="1" applyAlignment="1" applyProtection="1">
      <alignment horizontal="left" vertical="center" wrapText="1" indent="1" readingOrder="1"/>
      <protection locked="0"/>
    </xf>
    <xf numFmtId="0" fontId="29" fillId="6" borderId="154" xfId="1" applyFont="1" applyFill="1" applyBorder="1" applyAlignment="1" applyProtection="1">
      <alignment horizontal="left" vertical="center" wrapText="1" indent="1" readingOrder="1"/>
      <protection locked="0"/>
    </xf>
    <xf numFmtId="0" fontId="29" fillId="6" borderId="155" xfId="1" applyFont="1" applyFill="1" applyBorder="1" applyAlignment="1" applyProtection="1">
      <alignment horizontal="left" vertical="center" wrapText="1" indent="1" readingOrder="1"/>
      <protection locked="0"/>
    </xf>
    <xf numFmtId="0" fontId="29" fillId="0" borderId="129" xfId="1" applyFont="1" applyBorder="1" applyAlignment="1" applyProtection="1">
      <alignment horizontal="center" vertical="center"/>
      <protection locked="0"/>
    </xf>
    <xf numFmtId="0" fontId="0" fillId="0" borderId="135" xfId="0" applyBorder="1" applyAlignment="1">
      <alignment horizontal="center" vertical="center"/>
    </xf>
    <xf numFmtId="0" fontId="29" fillId="0" borderId="129" xfId="1" applyFont="1" applyBorder="1" applyAlignment="1" applyProtection="1">
      <alignment horizontal="center" vertical="center" wrapText="1"/>
      <protection locked="0"/>
    </xf>
    <xf numFmtId="0" fontId="29" fillId="0" borderId="52" xfId="1" applyFont="1" applyBorder="1" applyAlignment="1" applyProtection="1">
      <alignment horizontal="center" vertical="center" wrapText="1"/>
      <protection locked="0"/>
    </xf>
    <xf numFmtId="0" fontId="29" fillId="0" borderId="29" xfId="1" applyFont="1" applyBorder="1" applyAlignment="1" applyProtection="1">
      <alignment horizontal="center" vertical="center"/>
      <protection locked="0"/>
    </xf>
    <xf numFmtId="0" fontId="29" fillId="0" borderId="7" xfId="1" applyFont="1" applyBorder="1" applyAlignment="1" applyProtection="1">
      <alignment horizontal="center" vertical="center"/>
      <protection locked="0"/>
    </xf>
    <xf numFmtId="2" fontId="29" fillId="0" borderId="29" xfId="1" applyNumberFormat="1" applyFont="1" applyBorder="1" applyAlignment="1" applyProtection="1">
      <alignment horizontal="center" vertical="center" wrapText="1"/>
      <protection locked="0"/>
    </xf>
    <xf numFmtId="2" fontId="29" fillId="0" borderId="7" xfId="1" applyNumberFormat="1" applyFont="1" applyBorder="1" applyAlignment="1" applyProtection="1">
      <alignment horizontal="center" vertical="center" wrapText="1"/>
      <protection locked="0"/>
    </xf>
    <xf numFmtId="0" fontId="29" fillId="0" borderId="83" xfId="1" applyFont="1" applyBorder="1" applyAlignment="1" applyProtection="1">
      <alignment horizontal="center" vertical="center" wrapText="1"/>
      <protection locked="0"/>
    </xf>
    <xf numFmtId="0" fontId="29" fillId="0" borderId="49" xfId="1" applyFont="1" applyBorder="1" applyAlignment="1" applyProtection="1">
      <alignment horizontal="center" vertical="center" wrapText="1"/>
      <protection locked="0"/>
    </xf>
    <xf numFmtId="0" fontId="29" fillId="0" borderId="20" xfId="1" applyFont="1" applyBorder="1" applyAlignment="1" applyProtection="1">
      <alignment horizontal="center" vertical="center"/>
      <protection locked="0"/>
    </xf>
    <xf numFmtId="0" fontId="29" fillId="0" borderId="123" xfId="1" applyFont="1" applyBorder="1" applyAlignment="1" applyProtection="1">
      <alignment horizontal="center" vertical="center"/>
      <protection locked="0"/>
    </xf>
    <xf numFmtId="0" fontId="29" fillId="0" borderId="36" xfId="1" applyFont="1" applyBorder="1" applyAlignment="1" applyProtection="1">
      <alignment horizontal="center" vertical="center"/>
      <protection locked="0"/>
    </xf>
    <xf numFmtId="0" fontId="42" fillId="0" borderId="132" xfId="1" applyFont="1" applyBorder="1" applyAlignment="1" applyProtection="1">
      <alignment horizontal="center" vertical="center"/>
      <protection locked="0"/>
    </xf>
    <xf numFmtId="0" fontId="42" fillId="0" borderId="64" xfId="1" applyFont="1" applyBorder="1" applyAlignment="1" applyProtection="1">
      <alignment horizontal="center" vertical="center"/>
      <protection locked="0"/>
    </xf>
    <xf numFmtId="0" fontId="42" fillId="0" borderId="124" xfId="1" applyFont="1" applyBorder="1" applyAlignment="1" applyProtection="1">
      <alignment horizontal="center" vertical="center"/>
      <protection locked="0"/>
    </xf>
    <xf numFmtId="0" fontId="42" fillId="0" borderId="128" xfId="1" applyFont="1" applyBorder="1" applyAlignment="1" applyProtection="1">
      <alignment horizontal="center" vertical="center"/>
      <protection locked="0"/>
    </xf>
    <xf numFmtId="0" fontId="42" fillId="0" borderId="131" xfId="1" applyFont="1" applyBorder="1" applyAlignment="1" applyProtection="1">
      <alignment horizontal="center" vertical="center"/>
      <protection locked="0"/>
    </xf>
    <xf numFmtId="0" fontId="42" fillId="0" borderId="100" xfId="1" applyFont="1" applyBorder="1" applyAlignment="1" applyProtection="1">
      <alignment horizontal="center" vertical="center"/>
      <protection locked="0"/>
    </xf>
    <xf numFmtId="0" fontId="29" fillId="0" borderId="29" xfId="1" applyFont="1" applyBorder="1" applyAlignment="1" applyProtection="1">
      <alignment horizontal="center" vertical="center" wrapText="1"/>
      <protection locked="0"/>
    </xf>
    <xf numFmtId="0" fontId="0" fillId="0" borderId="7" xfId="0" applyBorder="1" applyAlignment="1">
      <alignment horizontal="center" vertical="center" wrapText="1"/>
    </xf>
    <xf numFmtId="0" fontId="29" fillId="6" borderId="39" xfId="1" applyFont="1" applyFill="1" applyBorder="1" applyAlignment="1" applyProtection="1">
      <alignment horizontal="left" vertical="center" wrapText="1" indent="1" readingOrder="1"/>
      <protection locked="0"/>
    </xf>
    <xf numFmtId="0" fontId="29" fillId="6" borderId="51" xfId="1" applyFont="1" applyFill="1" applyBorder="1" applyAlignment="1" applyProtection="1">
      <alignment horizontal="left" vertical="center" wrapText="1" indent="1" readingOrder="1"/>
      <protection locked="0"/>
    </xf>
    <xf numFmtId="0" fontId="29" fillId="0" borderId="29" xfId="1" applyFont="1" applyFill="1" applyBorder="1" applyAlignment="1" applyProtection="1">
      <alignment horizontal="center" vertical="center" wrapText="1"/>
      <protection locked="0"/>
    </xf>
    <xf numFmtId="0" fontId="29" fillId="0" borderId="7" xfId="1" applyFont="1" applyFill="1" applyBorder="1" applyAlignment="1" applyProtection="1">
      <alignment horizontal="center" vertical="center" wrapText="1"/>
      <protection locked="0"/>
    </xf>
    <xf numFmtId="0" fontId="6" fillId="0" borderId="83" xfId="1" applyFont="1" applyFill="1" applyBorder="1" applyAlignment="1" applyProtection="1">
      <alignment horizontal="center" vertical="center" wrapText="1"/>
      <protection locked="0"/>
    </xf>
    <xf numFmtId="0" fontId="6" fillId="0" borderId="49" xfId="1" applyFont="1" applyFill="1" applyBorder="1" applyAlignment="1" applyProtection="1">
      <alignment horizontal="center" vertical="center" wrapText="1"/>
      <protection locked="0"/>
    </xf>
    <xf numFmtId="0" fontId="6" fillId="0" borderId="113" xfId="1" applyFont="1" applyBorder="1" applyAlignment="1" applyProtection="1">
      <alignment horizontal="center" vertical="center" wrapText="1"/>
      <protection locked="0"/>
    </xf>
    <xf numFmtId="0" fontId="6" fillId="0" borderId="53" xfId="1" applyFont="1" applyBorder="1" applyAlignment="1" applyProtection="1">
      <alignment horizontal="center" vertical="center" wrapText="1"/>
      <protection locked="0"/>
    </xf>
    <xf numFmtId="0" fontId="6" fillId="0" borderId="21" xfId="1" applyFont="1" applyBorder="1" applyAlignment="1" applyProtection="1">
      <alignment horizontal="center" vertical="center" wrapText="1"/>
      <protection locked="0"/>
    </xf>
    <xf numFmtId="0" fontId="6" fillId="0" borderId="130" xfId="1" applyFont="1" applyBorder="1" applyAlignment="1" applyProtection="1">
      <alignment horizontal="center" vertical="center" wrapText="1"/>
      <protection locked="0"/>
    </xf>
    <xf numFmtId="0" fontId="6" fillId="0" borderId="135" xfId="1" applyFont="1" applyBorder="1" applyAlignment="1" applyProtection="1">
      <alignment horizontal="center" vertical="center"/>
      <protection locked="0"/>
    </xf>
    <xf numFmtId="0" fontId="6" fillId="0" borderId="52" xfId="1" applyFont="1" applyBorder="1" applyAlignment="1" applyProtection="1">
      <alignment horizontal="center" vertical="center"/>
      <protection locked="0"/>
    </xf>
    <xf numFmtId="0" fontId="6" fillId="0" borderId="38" xfId="1" applyFont="1" applyBorder="1" applyAlignment="1" applyProtection="1">
      <alignment horizontal="center" vertical="center" wrapText="1"/>
      <protection locked="0"/>
    </xf>
    <xf numFmtId="0" fontId="6" fillId="0" borderId="45" xfId="1" applyFont="1" applyBorder="1" applyAlignment="1" applyProtection="1">
      <alignment horizontal="center" vertical="center" wrapText="1"/>
      <protection locked="0"/>
    </xf>
    <xf numFmtId="0" fontId="6" fillId="0" borderId="9" xfId="1" applyFont="1" applyBorder="1" applyAlignment="1" applyProtection="1">
      <alignment horizontal="center" vertical="center" wrapText="1"/>
      <protection locked="0"/>
    </xf>
    <xf numFmtId="0" fontId="6" fillId="0" borderId="130" xfId="1" applyFont="1" applyFill="1" applyBorder="1" applyAlignment="1" applyProtection="1">
      <alignment horizontal="center" vertical="center" wrapText="1"/>
      <protection locked="0"/>
    </xf>
    <xf numFmtId="0" fontId="6" fillId="0" borderId="52" xfId="1" applyFont="1" applyFill="1" applyBorder="1" applyAlignment="1" applyProtection="1">
      <alignment horizontal="center" vertical="center" wrapText="1"/>
      <protection locked="0"/>
    </xf>
    <xf numFmtId="0" fontId="6" fillId="0" borderId="134" xfId="1" applyFont="1" applyFill="1" applyBorder="1" applyAlignment="1" applyProtection="1">
      <alignment horizontal="center" vertical="center" wrapText="1"/>
      <protection locked="0"/>
    </xf>
    <xf numFmtId="0" fontId="6" fillId="0" borderId="33" xfId="1" applyFont="1" applyFill="1" applyBorder="1" applyAlignment="1" applyProtection="1">
      <alignment horizontal="center" vertical="center" wrapText="1"/>
      <protection locked="0"/>
    </xf>
    <xf numFmtId="0" fontId="6" fillId="0" borderId="114" xfId="1" applyFont="1" applyBorder="1" applyAlignment="1">
      <alignment horizontal="center" vertical="center"/>
    </xf>
    <xf numFmtId="0" fontId="6" fillId="0" borderId="134" xfId="1" applyFont="1" applyBorder="1" applyAlignment="1">
      <alignment horizontal="center" vertical="center"/>
    </xf>
    <xf numFmtId="0" fontId="6" fillId="0" borderId="65" xfId="1" applyFont="1" applyBorder="1" applyAlignment="1">
      <alignment horizontal="center" vertical="center"/>
    </xf>
    <xf numFmtId="0" fontId="6" fillId="0" borderId="45" xfId="1" applyFont="1" applyBorder="1" applyAlignment="1" applyProtection="1">
      <alignment horizontal="center" vertical="center"/>
      <protection locked="0"/>
    </xf>
    <xf numFmtId="0" fontId="6" fillId="0" borderId="50" xfId="1" applyFont="1" applyBorder="1" applyAlignment="1" applyProtection="1">
      <alignment horizontal="center" vertical="center"/>
      <protection locked="0"/>
    </xf>
    <xf numFmtId="0" fontId="29" fillId="0" borderId="0" xfId="1" applyFont="1" applyFill="1" applyAlignment="1">
      <alignment horizontal="left" vertical="center" wrapText="1"/>
    </xf>
    <xf numFmtId="0" fontId="29" fillId="0" borderId="113" xfId="1" applyFont="1" applyBorder="1" applyAlignment="1" applyProtection="1">
      <alignment horizontal="center" vertical="center" wrapText="1"/>
      <protection locked="0"/>
    </xf>
    <xf numFmtId="0" fontId="29" fillId="0" borderId="53" xfId="1" applyFont="1" applyBorder="1" applyAlignment="1" applyProtection="1">
      <alignment horizontal="center" vertical="center" wrapText="1"/>
      <protection locked="0"/>
    </xf>
    <xf numFmtId="0" fontId="29" fillId="0" borderId="21" xfId="1" applyFont="1" applyBorder="1" applyAlignment="1" applyProtection="1">
      <alignment horizontal="center" vertical="center" wrapText="1"/>
      <protection locked="0"/>
    </xf>
    <xf numFmtId="0" fontId="29" fillId="0" borderId="130" xfId="1" applyFont="1" applyBorder="1" applyAlignment="1" applyProtection="1">
      <alignment horizontal="center" vertical="center" wrapText="1"/>
      <protection locked="0"/>
    </xf>
    <xf numFmtId="0" fontId="29" fillId="0" borderId="135" xfId="1" applyFont="1" applyBorder="1" applyAlignment="1" applyProtection="1">
      <alignment horizontal="center" vertical="center"/>
      <protection locked="0"/>
    </xf>
    <xf numFmtId="0" fontId="29" fillId="0" borderId="52" xfId="1" applyFont="1" applyBorder="1" applyAlignment="1" applyProtection="1">
      <alignment horizontal="center" vertical="center"/>
      <protection locked="0"/>
    </xf>
    <xf numFmtId="0" fontId="29" fillId="0" borderId="38" xfId="1" applyFont="1" applyBorder="1" applyAlignment="1" applyProtection="1">
      <alignment horizontal="center" vertical="center" wrapText="1"/>
      <protection locked="0"/>
    </xf>
    <xf numFmtId="0" fontId="29" fillId="0" borderId="45" xfId="1" applyFont="1" applyBorder="1" applyAlignment="1" applyProtection="1">
      <alignment horizontal="center" vertical="center" wrapText="1"/>
      <protection locked="0"/>
    </xf>
    <xf numFmtId="0" fontId="29" fillId="0" borderId="10" xfId="1" applyFont="1" applyBorder="1" applyAlignment="1" applyProtection="1">
      <alignment horizontal="center" vertical="center"/>
      <protection locked="0"/>
    </xf>
    <xf numFmtId="0" fontId="30" fillId="0" borderId="16" xfId="1" applyFont="1" applyFill="1" applyBorder="1" applyAlignment="1">
      <alignment horizontal="center" vertical="center" wrapText="1"/>
    </xf>
    <xf numFmtId="0" fontId="30" fillId="0" borderId="10" xfId="1" applyFont="1" applyFill="1" applyBorder="1" applyAlignment="1">
      <alignment horizontal="center" vertical="center" wrapText="1"/>
    </xf>
    <xf numFmtId="0" fontId="30" fillId="0" borderId="29" xfId="1" applyFont="1" applyFill="1" applyBorder="1" applyAlignment="1">
      <alignment horizontal="center" vertical="center" wrapText="1"/>
    </xf>
    <xf numFmtId="0" fontId="29" fillId="8" borderId="132" xfId="1" applyFont="1" applyFill="1" applyBorder="1" applyAlignment="1">
      <alignment horizontal="center" vertical="center" wrapText="1"/>
    </xf>
    <xf numFmtId="0" fontId="29" fillId="8" borderId="124" xfId="1" applyFont="1" applyFill="1" applyBorder="1" applyAlignment="1">
      <alignment horizontal="center" vertical="center" wrapText="1"/>
    </xf>
    <xf numFmtId="0" fontId="29" fillId="0" borderId="129" xfId="1" applyFont="1" applyFill="1" applyBorder="1" applyAlignment="1">
      <alignment horizontal="center" vertical="center"/>
    </xf>
    <xf numFmtId="0" fontId="29" fillId="0" borderId="101" xfId="1" applyFont="1" applyFill="1" applyBorder="1" applyAlignment="1">
      <alignment horizontal="center" vertical="center"/>
    </xf>
    <xf numFmtId="0" fontId="29" fillId="8" borderId="63" xfId="1" applyFont="1" applyFill="1" applyBorder="1" applyAlignment="1">
      <alignment horizontal="center" vertical="center" wrapText="1"/>
    </xf>
    <xf numFmtId="0" fontId="29" fillId="8" borderId="43" xfId="1" applyFont="1" applyFill="1" applyBorder="1" applyAlignment="1">
      <alignment horizontal="center" vertical="center" wrapText="1"/>
    </xf>
    <xf numFmtId="0" fontId="29" fillId="0" borderId="5" xfId="1" applyFont="1" applyBorder="1" applyAlignment="1" applyProtection="1">
      <alignment horizontal="center" vertical="center" wrapText="1"/>
      <protection locked="0"/>
    </xf>
    <xf numFmtId="0" fontId="29" fillId="0" borderId="15" xfId="1" applyFont="1" applyBorder="1" applyAlignment="1" applyProtection="1">
      <alignment horizontal="left" vertical="center" indent="1"/>
      <protection locked="0"/>
    </xf>
    <xf numFmtId="0" fontId="29" fillId="0" borderId="30" xfId="1" applyFont="1" applyBorder="1" applyAlignment="1" applyProtection="1">
      <alignment horizontal="left" vertical="center" indent="1"/>
      <protection locked="0"/>
    </xf>
    <xf numFmtId="0" fontId="29" fillId="0" borderId="18" xfId="1" applyFont="1" applyBorder="1" applyAlignment="1" applyProtection="1">
      <alignment horizontal="left" vertical="center" indent="1"/>
      <protection locked="0"/>
    </xf>
    <xf numFmtId="0" fontId="29" fillId="0" borderId="2" xfId="1" applyFont="1" applyBorder="1" applyAlignment="1" applyProtection="1">
      <alignment horizontal="left" vertical="center"/>
      <protection locked="0"/>
    </xf>
    <xf numFmtId="0" fontId="29" fillId="0" borderId="26" xfId="1" applyFont="1" applyBorder="1" applyAlignment="1" applyProtection="1">
      <alignment horizontal="left" vertical="center"/>
      <protection locked="0"/>
    </xf>
    <xf numFmtId="0" fontId="29" fillId="0" borderId="2" xfId="1" applyFont="1" applyBorder="1" applyAlignment="1" applyProtection="1">
      <alignment horizontal="left" vertical="center" indent="1"/>
      <protection locked="0"/>
    </xf>
    <xf numFmtId="0" fontId="29" fillId="0" borderId="26" xfId="1" applyFont="1" applyBorder="1" applyAlignment="1" applyProtection="1">
      <alignment horizontal="left" vertical="center" indent="1"/>
      <protection locked="0"/>
    </xf>
    <xf numFmtId="0" fontId="29" fillId="0" borderId="130" xfId="1" applyFont="1" applyBorder="1" applyAlignment="1" applyProtection="1">
      <alignment horizontal="left" vertical="center" indent="1"/>
      <protection locked="0"/>
    </xf>
    <xf numFmtId="0" fontId="29" fillId="0" borderId="38" xfId="1" applyFont="1" applyBorder="1" applyAlignment="1" applyProtection="1">
      <alignment horizontal="left" vertical="center" indent="1"/>
      <protection locked="0"/>
    </xf>
    <xf numFmtId="0" fontId="29" fillId="0" borderId="143" xfId="1" applyFont="1" applyBorder="1" applyAlignment="1" applyProtection="1">
      <alignment horizontal="left" vertical="center" indent="1"/>
      <protection locked="0"/>
    </xf>
    <xf numFmtId="0" fontId="29" fillId="0" borderId="123" xfId="1" applyFont="1" applyBorder="1" applyAlignment="1" applyProtection="1">
      <alignment horizontal="left" vertical="center" indent="1"/>
      <protection locked="0"/>
    </xf>
    <xf numFmtId="0" fontId="29" fillId="0" borderId="36" xfId="1" applyFont="1" applyBorder="1" applyAlignment="1" applyProtection="1">
      <alignment horizontal="left" vertical="center" indent="1"/>
      <protection locked="0"/>
    </xf>
    <xf numFmtId="0" fontId="29" fillId="0" borderId="23" xfId="1" applyFont="1" applyBorder="1" applyAlignment="1" applyProtection="1">
      <alignment horizontal="left" vertical="center" indent="1"/>
      <protection locked="0"/>
    </xf>
    <xf numFmtId="0" fontId="29" fillId="0" borderId="114" xfId="1" applyFont="1" applyFill="1" applyBorder="1" applyAlignment="1" applyProtection="1">
      <alignment horizontal="left" vertical="center" indent="1"/>
      <protection locked="0"/>
    </xf>
    <xf numFmtId="0" fontId="29" fillId="0" borderId="134" xfId="1" applyFont="1" applyFill="1" applyBorder="1" applyAlignment="1" applyProtection="1">
      <alignment horizontal="left" vertical="center" indent="1"/>
      <protection locked="0"/>
    </xf>
    <xf numFmtId="0" fontId="29" fillId="0" borderId="134" xfId="1" applyFont="1" applyBorder="1" applyAlignment="1">
      <alignment horizontal="left" vertical="center" indent="1"/>
    </xf>
    <xf numFmtId="0" fontId="29" fillId="0" borderId="65" xfId="1" applyFont="1" applyBorder="1" applyAlignment="1">
      <alignment horizontal="left" vertical="center" indent="1"/>
    </xf>
    <xf numFmtId="0" fontId="37" fillId="0" borderId="2" xfId="1" applyFont="1" applyBorder="1" applyAlignment="1" applyProtection="1">
      <alignment horizontal="left" vertical="center" wrapText="1" indent="1"/>
      <protection locked="0"/>
    </xf>
    <xf numFmtId="0" fontId="37" fillId="0" borderId="26" xfId="1" applyFont="1" applyBorder="1" applyAlignment="1" applyProtection="1">
      <alignment horizontal="left" vertical="center" wrapText="1" indent="1"/>
      <protection locked="0"/>
    </xf>
    <xf numFmtId="0" fontId="29" fillId="0" borderId="33" xfId="1" applyFont="1" applyBorder="1" applyAlignment="1" applyProtection="1">
      <alignment horizontal="left" vertical="center" indent="1"/>
      <protection locked="0"/>
    </xf>
    <xf numFmtId="0" fontId="29" fillId="0" borderId="65" xfId="1" applyFont="1" applyFill="1" applyBorder="1" applyAlignment="1" applyProtection="1">
      <alignment horizontal="left" vertical="center" indent="1"/>
      <protection locked="0"/>
    </xf>
    <xf numFmtId="0" fontId="29" fillId="0" borderId="132" xfId="1" applyFont="1" applyBorder="1" applyAlignment="1" applyProtection="1">
      <alignment horizontal="left" vertical="center" indent="1"/>
      <protection locked="0"/>
    </xf>
    <xf numFmtId="0" fontId="29" fillId="0" borderId="124" xfId="1" applyFont="1" applyBorder="1" applyAlignment="1" applyProtection="1">
      <alignment horizontal="left" vertical="center" indent="1"/>
      <protection locked="0"/>
    </xf>
    <xf numFmtId="0" fontId="29" fillId="0" borderId="131" xfId="1" applyFont="1" applyBorder="1" applyAlignment="1" applyProtection="1">
      <alignment horizontal="left" vertical="center" indent="1"/>
      <protection locked="0"/>
    </xf>
    <xf numFmtId="0" fontId="28" fillId="0" borderId="0" xfId="1" applyFont="1" applyAlignment="1">
      <alignment horizontal="left" vertical="center" wrapText="1"/>
    </xf>
    <xf numFmtId="0" fontId="30" fillId="0" borderId="20" xfId="5" applyFont="1" applyBorder="1" applyAlignment="1">
      <alignment horizontal="center" vertical="center" wrapText="1"/>
    </xf>
    <xf numFmtId="0" fontId="30" fillId="0" borderId="36" xfId="5" applyFont="1" applyBorder="1" applyAlignment="1">
      <alignment horizontal="center" vertical="center" wrapText="1"/>
    </xf>
    <xf numFmtId="0" fontId="30" fillId="0" borderId="15" xfId="5" applyFont="1" applyFill="1" applyBorder="1" applyAlignment="1">
      <alignment horizontal="center" vertical="center" wrapText="1"/>
    </xf>
    <xf numFmtId="0" fontId="30" fillId="0" borderId="18" xfId="5" applyFont="1" applyFill="1" applyBorder="1" applyAlignment="1">
      <alignment horizontal="center" vertical="center" wrapText="1"/>
    </xf>
    <xf numFmtId="0" fontId="30" fillId="0" borderId="16" xfId="5" applyFont="1" applyFill="1" applyBorder="1" applyAlignment="1">
      <alignment horizontal="center" vertical="center" wrapText="1"/>
    </xf>
    <xf numFmtId="0" fontId="30" fillId="0" borderId="129" xfId="5" applyFont="1" applyFill="1" applyBorder="1" applyAlignment="1">
      <alignment horizontal="center" vertical="center" wrapText="1"/>
    </xf>
    <xf numFmtId="0" fontId="30" fillId="0" borderId="14" xfId="5" applyFont="1" applyFill="1" applyBorder="1" applyAlignment="1">
      <alignment horizontal="center" vertical="center" wrapText="1"/>
    </xf>
    <xf numFmtId="0" fontId="30" fillId="0" borderId="11" xfId="5" applyFont="1" applyFill="1" applyBorder="1" applyAlignment="1">
      <alignment horizontal="center" vertical="center" wrapText="1"/>
    </xf>
    <xf numFmtId="0" fontId="30" fillId="0" borderId="132" xfId="5" applyFont="1" applyBorder="1" applyAlignment="1">
      <alignment horizontal="center" vertical="center" wrapText="1"/>
    </xf>
    <xf numFmtId="0" fontId="30" fillId="0" borderId="142" xfId="5" applyFont="1" applyBorder="1" applyAlignment="1">
      <alignment horizontal="center" vertical="center" wrapText="1"/>
    </xf>
    <xf numFmtId="0" fontId="30" fillId="0" borderId="2" xfId="5" applyFont="1" applyBorder="1" applyAlignment="1">
      <alignment horizontal="center" vertical="top" wrapText="1"/>
    </xf>
    <xf numFmtId="0" fontId="30" fillId="0" borderId="23" xfId="5" applyFont="1" applyBorder="1" applyAlignment="1">
      <alignment horizontal="center" vertical="top" wrapText="1"/>
    </xf>
    <xf numFmtId="0" fontId="30" fillId="0" borderId="2" xfId="5" applyFont="1" applyBorder="1" applyAlignment="1">
      <alignment horizontal="left" vertical="top" wrapText="1"/>
    </xf>
    <xf numFmtId="0" fontId="30" fillId="0" borderId="23" xfId="5" applyFont="1" applyBorder="1" applyAlignment="1">
      <alignment horizontal="left" vertical="top" wrapText="1"/>
    </xf>
    <xf numFmtId="0" fontId="29" fillId="0" borderId="124" xfId="5" applyFont="1" applyBorder="1" applyAlignment="1">
      <alignment horizontal="left" vertical="top" wrapText="1"/>
    </xf>
    <xf numFmtId="0" fontId="29" fillId="0" borderId="131" xfId="5" applyFont="1" applyBorder="1" applyAlignment="1">
      <alignment horizontal="left" vertical="top" wrapText="1"/>
    </xf>
    <xf numFmtId="0" fontId="30" fillId="0" borderId="26" xfId="5" applyFont="1" applyBorder="1" applyAlignment="1">
      <alignment horizontal="left" vertical="top" wrapText="1"/>
    </xf>
    <xf numFmtId="0" fontId="29" fillId="0" borderId="134" xfId="5" applyFont="1" applyBorder="1" applyAlignment="1">
      <alignment horizontal="left" vertical="top" wrapText="1"/>
    </xf>
    <xf numFmtId="0" fontId="29" fillId="0" borderId="65" xfId="5" applyFont="1" applyBorder="1" applyAlignment="1">
      <alignment horizontal="left" vertical="top" wrapText="1"/>
    </xf>
    <xf numFmtId="0" fontId="30" fillId="0" borderId="3" xfId="5" applyFont="1" applyFill="1" applyBorder="1" applyAlignment="1">
      <alignment vertical="top" wrapText="1"/>
    </xf>
    <xf numFmtId="0" fontId="30" fillId="0" borderId="4" xfId="5" applyFont="1" applyFill="1" applyBorder="1" applyAlignment="1">
      <alignment vertical="top" wrapText="1"/>
    </xf>
    <xf numFmtId="0" fontId="30" fillId="0" borderId="2" xfId="5" applyFont="1" applyBorder="1" applyAlignment="1">
      <alignment horizontal="center" vertical="top"/>
    </xf>
    <xf numFmtId="0" fontId="30" fillId="0" borderId="26" xfId="5" applyFont="1" applyBorder="1" applyAlignment="1">
      <alignment horizontal="center" vertical="top"/>
    </xf>
    <xf numFmtId="0" fontId="30" fillId="0" borderId="2" xfId="5" applyFont="1" applyBorder="1" applyAlignment="1">
      <alignment vertical="top" wrapText="1"/>
    </xf>
    <xf numFmtId="0" fontId="30" fillId="0" borderId="26" xfId="5" applyFont="1" applyBorder="1" applyAlignment="1">
      <alignment vertical="top" wrapText="1"/>
    </xf>
    <xf numFmtId="0" fontId="29" fillId="0" borderId="114" xfId="5" applyFont="1" applyBorder="1" applyAlignment="1">
      <alignment horizontal="left" vertical="top"/>
    </xf>
    <xf numFmtId="0" fontId="29" fillId="0" borderId="134" xfId="5" applyFont="1" applyBorder="1" applyAlignment="1">
      <alignment horizontal="left" vertical="top"/>
    </xf>
    <xf numFmtId="0" fontId="29" fillId="0" borderId="65" xfId="5" applyFont="1" applyBorder="1" applyAlignment="1">
      <alignment horizontal="left" vertical="top"/>
    </xf>
    <xf numFmtId="0" fontId="30" fillId="0" borderId="3" xfId="5" applyFont="1" applyBorder="1" applyAlignment="1">
      <alignment vertical="top"/>
    </xf>
    <xf numFmtId="0" fontId="30" fillId="0" borderId="4" xfId="5" applyFont="1" applyBorder="1" applyAlignment="1">
      <alignment vertical="top"/>
    </xf>
  </cellXfs>
  <cellStyles count="6">
    <cellStyle name="Normální" xfId="0" builtinId="0"/>
    <cellStyle name="normální 2" xfId="1"/>
    <cellStyle name="normální 3" xfId="2"/>
    <cellStyle name="normální_Konečná verze NOVYKAZY" xfId="3"/>
    <cellStyle name="normální_tabulka do výroční zprávy rozboru hospodaření" xfId="4"/>
    <cellStyle name="normální_VÝROČNÍ ZPRÁVA 2008" xfId="5"/>
  </cellStyles>
  <dxfs count="4">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theme" Target="theme/theme1.xml"/><Relationship Id="rId50"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tyles" Target="styles.xml"/><Relationship Id="rId8" Type="http://schemas.openxmlformats.org/officeDocument/2006/relationships/worksheet" Target="worksheets/sheet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a:pPr>
            <a:r>
              <a:rPr lang="cs-CZ" sz="1600"/>
              <a:t>Struktura provozních nákladů budov UPa</a:t>
            </a:r>
          </a:p>
        </c:rich>
      </c:tx>
      <c:overlay val="0"/>
    </c:title>
    <c:autoTitleDeleted val="0"/>
    <c:plotArea>
      <c:layout/>
      <c:pieChart>
        <c:varyColors val="1"/>
        <c:ser>
          <c:idx val="0"/>
          <c:order val="0"/>
          <c:explosion val="24"/>
          <c:dLbls>
            <c:spPr>
              <a:noFill/>
              <a:ln>
                <a:noFill/>
              </a:ln>
              <a:effectLst/>
            </c:spPr>
            <c:dLblPos val="outEnd"/>
            <c:showLegendKey val="0"/>
            <c:showVal val="0"/>
            <c:showCatName val="0"/>
            <c:showSerName val="0"/>
            <c:showPercent val="1"/>
            <c:showBubbleSize val="0"/>
            <c:showLeaderLines val="1"/>
            <c:extLst>
              <c:ext xmlns:c15="http://schemas.microsoft.com/office/drawing/2012/chart" uri="{CE6537A1-D6FC-4f65-9D91-7224C49458BB}"/>
            </c:extLst>
          </c:dLbls>
          <c:cat>
            <c:strRef>
              <c:f>('[1]Provozní náklady budov'!$H$3,'[1]Provozní náklady budov'!$M$3,'[1]Provozní náklady budov'!$R$3,'[1]Provozní náklady budov'!$W$3,'[1]Provozní náklady budov'!$AB$3)</c:f>
              <c:strCache>
                <c:ptCount val="5"/>
                <c:pt idx="0">
                  <c:v>Média</c:v>
                </c:pt>
                <c:pt idx="1">
                  <c:v>Externí služby</c:v>
                </c:pt>
                <c:pt idx="2">
                  <c:v>Opravy a údržba</c:v>
                </c:pt>
                <c:pt idx="3">
                  <c:v>Spotřebovaný materiál</c:v>
                </c:pt>
                <c:pt idx="4">
                  <c:v>Správa budov - Osobní n.</c:v>
                </c:pt>
              </c:strCache>
            </c:strRef>
          </c:cat>
          <c:val>
            <c:numRef>
              <c:f>('[1]Provozní náklady budov'!$L$38,'[1]Provozní náklady budov'!$Q$38,'[1]Provozní náklady budov'!$V$38,'[1]Provozní náklady budov'!$AA$38,'[1]Provozní náklady budov'!$AF$38)</c:f>
              <c:numCache>
                <c:formatCode>General</c:formatCode>
                <c:ptCount val="5"/>
                <c:pt idx="0">
                  <c:v>33771.39316</c:v>
                </c:pt>
                <c:pt idx="1">
                  <c:v>9641.2729999999992</c:v>
                </c:pt>
                <c:pt idx="2">
                  <c:v>14841.916999999999</c:v>
                </c:pt>
                <c:pt idx="3">
                  <c:v>1564.203</c:v>
                </c:pt>
                <c:pt idx="4">
                  <c:v>19078.598000000002</c:v>
                </c:pt>
              </c:numCache>
            </c:numRef>
          </c:val>
        </c:ser>
        <c:dLbls>
          <c:showLegendKey val="0"/>
          <c:showVal val="0"/>
          <c:showCatName val="0"/>
          <c:showSerName val="0"/>
          <c:showPercent val="1"/>
          <c:showBubbleSize val="0"/>
          <c:showLeaderLines val="1"/>
        </c:dLbls>
        <c:firstSliceAng val="13"/>
      </c:pieChart>
    </c:plotArea>
    <c:legend>
      <c:legendPos val="r"/>
      <c:overlay val="0"/>
    </c:legend>
    <c:plotVisOnly val="1"/>
    <c:dispBlanksAs val="gap"/>
    <c:showDLblsOverMax val="0"/>
  </c:chart>
  <c:printSettings>
    <c:headerFooter/>
    <c:pageMargins b="0.78740157499999996" l="0.70000000000000062" r="0.70000000000000062" t="0.78740157499999996"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400"/>
            </a:pPr>
            <a:r>
              <a:rPr lang="cs-CZ" sz="2400"/>
              <a:t>Spotřeba tepla</a:t>
            </a:r>
          </a:p>
        </c:rich>
      </c:tx>
      <c:overlay val="0"/>
    </c:title>
    <c:autoTitleDeleted val="0"/>
    <c:plotArea>
      <c:layout/>
      <c:lineChart>
        <c:grouping val="standard"/>
        <c:varyColors val="0"/>
        <c:ser>
          <c:idx val="0"/>
          <c:order val="0"/>
          <c:tx>
            <c:strRef>
              <c:f>[1]Média!$N$4</c:f>
              <c:strCache>
                <c:ptCount val="1"/>
                <c:pt idx="0">
                  <c:v>Spotřeba v GJ</c:v>
                </c:pt>
              </c:strCache>
            </c:strRef>
          </c:tx>
          <c:spPr>
            <a:ln w="38100"/>
          </c:spPr>
          <c:marker>
            <c:symbol val="none"/>
          </c:marker>
          <c:cat>
            <c:strRef>
              <c:f>[1]Média!$S$5:$W$5</c:f>
              <c:strCache>
                <c:ptCount val="5"/>
                <c:pt idx="0">
                  <c:v>2011</c:v>
                </c:pt>
                <c:pt idx="1">
                  <c:v>2012</c:v>
                </c:pt>
                <c:pt idx="2">
                  <c:v>2013</c:v>
                </c:pt>
                <c:pt idx="3">
                  <c:v>2014</c:v>
                </c:pt>
                <c:pt idx="4">
                  <c:v>2015</c:v>
                </c:pt>
              </c:strCache>
            </c:strRef>
          </c:cat>
          <c:val>
            <c:numRef>
              <c:f>[1]Média!$N$38:$R$38</c:f>
              <c:numCache>
                <c:formatCode>General</c:formatCode>
                <c:ptCount val="5"/>
                <c:pt idx="0">
                  <c:v>43600.303550619035</c:v>
                </c:pt>
                <c:pt idx="1">
                  <c:v>46541.054562770521</c:v>
                </c:pt>
                <c:pt idx="2">
                  <c:v>51849.403446832199</c:v>
                </c:pt>
                <c:pt idx="3">
                  <c:v>39575.073455087302</c:v>
                </c:pt>
                <c:pt idx="4">
                  <c:v>41044.393164746078</c:v>
                </c:pt>
              </c:numCache>
            </c:numRef>
          </c:val>
          <c:smooth val="0"/>
        </c:ser>
        <c:dLbls>
          <c:showLegendKey val="0"/>
          <c:showVal val="0"/>
          <c:showCatName val="0"/>
          <c:showSerName val="0"/>
          <c:showPercent val="0"/>
          <c:showBubbleSize val="0"/>
        </c:dLbls>
        <c:marker val="1"/>
        <c:smooth val="0"/>
        <c:axId val="276991688"/>
        <c:axId val="276992080"/>
      </c:lineChart>
      <c:lineChart>
        <c:grouping val="standard"/>
        <c:varyColors val="0"/>
        <c:ser>
          <c:idx val="1"/>
          <c:order val="1"/>
          <c:tx>
            <c:strRef>
              <c:f>[1]Média!$S$4</c:f>
              <c:strCache>
                <c:ptCount val="1"/>
                <c:pt idx="0">
                  <c:v>Spotřeba v tKč</c:v>
                </c:pt>
              </c:strCache>
            </c:strRef>
          </c:tx>
          <c:spPr>
            <a:ln w="38100">
              <a:solidFill>
                <a:srgbClr val="FF0000"/>
              </a:solidFill>
            </a:ln>
          </c:spPr>
          <c:marker>
            <c:symbol val="none"/>
          </c:marker>
          <c:cat>
            <c:strRef>
              <c:f>[1]Média!$S$5:$W$5</c:f>
              <c:strCache>
                <c:ptCount val="5"/>
                <c:pt idx="0">
                  <c:v>2011</c:v>
                </c:pt>
                <c:pt idx="1">
                  <c:v>2012</c:v>
                </c:pt>
                <c:pt idx="2">
                  <c:v>2013</c:v>
                </c:pt>
                <c:pt idx="3">
                  <c:v>2014</c:v>
                </c:pt>
                <c:pt idx="4">
                  <c:v>2015</c:v>
                </c:pt>
              </c:strCache>
            </c:strRef>
          </c:cat>
          <c:val>
            <c:numRef>
              <c:f>[1]Média!$S$38:$W$38</c:f>
              <c:numCache>
                <c:formatCode>General</c:formatCode>
                <c:ptCount val="5"/>
                <c:pt idx="0">
                  <c:v>13291.073780000001</c:v>
                </c:pt>
                <c:pt idx="1">
                  <c:v>14463.425670000001</c:v>
                </c:pt>
                <c:pt idx="2">
                  <c:v>16530.9434</c:v>
                </c:pt>
                <c:pt idx="3">
                  <c:v>14726.656000000001</c:v>
                </c:pt>
                <c:pt idx="4">
                  <c:v>14983.756649999999</c:v>
                </c:pt>
              </c:numCache>
            </c:numRef>
          </c:val>
          <c:smooth val="0"/>
        </c:ser>
        <c:dLbls>
          <c:showLegendKey val="0"/>
          <c:showVal val="0"/>
          <c:showCatName val="0"/>
          <c:showSerName val="0"/>
          <c:showPercent val="0"/>
          <c:showBubbleSize val="0"/>
        </c:dLbls>
        <c:marker val="1"/>
        <c:smooth val="0"/>
        <c:axId val="276992864"/>
        <c:axId val="276992472"/>
      </c:lineChart>
      <c:catAx>
        <c:axId val="276991688"/>
        <c:scaling>
          <c:orientation val="minMax"/>
        </c:scaling>
        <c:delete val="0"/>
        <c:axPos val="b"/>
        <c:numFmt formatCode="General" sourceLinked="1"/>
        <c:majorTickMark val="none"/>
        <c:minorTickMark val="none"/>
        <c:tickLblPos val="nextTo"/>
        <c:txPr>
          <a:bodyPr/>
          <a:lstStyle/>
          <a:p>
            <a:pPr>
              <a:defRPr sz="1200"/>
            </a:pPr>
            <a:endParaRPr lang="cs-CZ"/>
          </a:p>
        </c:txPr>
        <c:crossAx val="276992080"/>
        <c:crosses val="autoZero"/>
        <c:auto val="1"/>
        <c:lblAlgn val="ctr"/>
        <c:lblOffset val="100"/>
        <c:noMultiLvlLbl val="0"/>
      </c:catAx>
      <c:valAx>
        <c:axId val="276992080"/>
        <c:scaling>
          <c:orientation val="minMax"/>
          <c:max val="57000"/>
          <c:min val="38000"/>
        </c:scaling>
        <c:delete val="0"/>
        <c:axPos val="l"/>
        <c:majorGridlines/>
        <c:numFmt formatCode="General" sourceLinked="1"/>
        <c:majorTickMark val="none"/>
        <c:minorTickMark val="none"/>
        <c:tickLblPos val="nextTo"/>
        <c:spPr>
          <a:ln w="9525">
            <a:noFill/>
          </a:ln>
        </c:spPr>
        <c:txPr>
          <a:bodyPr/>
          <a:lstStyle/>
          <a:p>
            <a:pPr>
              <a:defRPr sz="1200" b="1" i="0" baseline="0">
                <a:solidFill>
                  <a:schemeClr val="tx2">
                    <a:lumMod val="60000"/>
                    <a:lumOff val="40000"/>
                  </a:schemeClr>
                </a:solidFill>
              </a:defRPr>
            </a:pPr>
            <a:endParaRPr lang="cs-CZ"/>
          </a:p>
        </c:txPr>
        <c:crossAx val="276991688"/>
        <c:crosses val="autoZero"/>
        <c:crossBetween val="between"/>
      </c:valAx>
      <c:valAx>
        <c:axId val="276992472"/>
        <c:scaling>
          <c:orientation val="minMax"/>
          <c:max val="16500"/>
          <c:min val="10000"/>
        </c:scaling>
        <c:delete val="0"/>
        <c:axPos val="r"/>
        <c:numFmt formatCode="General" sourceLinked="1"/>
        <c:majorTickMark val="out"/>
        <c:minorTickMark val="none"/>
        <c:tickLblPos val="nextTo"/>
        <c:txPr>
          <a:bodyPr/>
          <a:lstStyle/>
          <a:p>
            <a:pPr>
              <a:defRPr sz="1200" b="1">
                <a:solidFill>
                  <a:srgbClr val="FF0000"/>
                </a:solidFill>
              </a:defRPr>
            </a:pPr>
            <a:endParaRPr lang="cs-CZ"/>
          </a:p>
        </c:txPr>
        <c:crossAx val="276992864"/>
        <c:crosses val="max"/>
        <c:crossBetween val="between"/>
      </c:valAx>
      <c:catAx>
        <c:axId val="276992864"/>
        <c:scaling>
          <c:orientation val="minMax"/>
        </c:scaling>
        <c:delete val="1"/>
        <c:axPos val="b"/>
        <c:numFmt formatCode="General" sourceLinked="1"/>
        <c:majorTickMark val="out"/>
        <c:minorTickMark val="none"/>
        <c:tickLblPos val="none"/>
        <c:crossAx val="276992472"/>
        <c:crosses val="autoZero"/>
        <c:auto val="1"/>
        <c:lblAlgn val="ctr"/>
        <c:lblOffset val="100"/>
        <c:noMultiLvlLbl val="0"/>
      </c:catAx>
    </c:plotArea>
    <c:legend>
      <c:legendPos val="b"/>
      <c:overlay val="0"/>
      <c:txPr>
        <a:bodyPr/>
        <a:lstStyle/>
        <a:p>
          <a:pPr>
            <a:defRPr sz="1200"/>
          </a:pPr>
          <a:endParaRPr lang="cs-CZ"/>
        </a:p>
      </c:txPr>
    </c:legend>
    <c:plotVisOnly val="1"/>
    <c:dispBlanksAs val="gap"/>
    <c:showDLblsOverMax val="0"/>
  </c:chart>
  <c:printSettings>
    <c:headerFooter/>
    <c:pageMargins b="0.78740157499999996" l="0.70000000000000062" r="0.70000000000000062" t="0.78740157499999996"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400"/>
            </a:pPr>
            <a:r>
              <a:rPr lang="cs-CZ" sz="2400"/>
              <a:t>Spotřeba zemního plynu</a:t>
            </a:r>
          </a:p>
        </c:rich>
      </c:tx>
      <c:overlay val="0"/>
    </c:title>
    <c:autoTitleDeleted val="0"/>
    <c:plotArea>
      <c:layout/>
      <c:lineChart>
        <c:grouping val="standard"/>
        <c:varyColors val="0"/>
        <c:ser>
          <c:idx val="0"/>
          <c:order val="0"/>
          <c:tx>
            <c:strRef>
              <c:f>[1]Média!$Y$4</c:f>
              <c:strCache>
                <c:ptCount val="1"/>
                <c:pt idx="0">
                  <c:v>Spotřeba v MWh</c:v>
                </c:pt>
              </c:strCache>
            </c:strRef>
          </c:tx>
          <c:spPr>
            <a:ln w="38100"/>
          </c:spPr>
          <c:marker>
            <c:symbol val="none"/>
          </c:marker>
          <c:cat>
            <c:numRef>
              <c:f>[1]Média!$Y$5:$AC$5</c:f>
              <c:numCache>
                <c:formatCode>General</c:formatCode>
                <c:ptCount val="5"/>
                <c:pt idx="0">
                  <c:v>2011</c:v>
                </c:pt>
                <c:pt idx="1">
                  <c:v>2012</c:v>
                </c:pt>
                <c:pt idx="2">
                  <c:v>2013</c:v>
                </c:pt>
                <c:pt idx="3">
                  <c:v>2014</c:v>
                </c:pt>
                <c:pt idx="4">
                  <c:v>2015</c:v>
                </c:pt>
              </c:numCache>
            </c:numRef>
          </c:cat>
          <c:val>
            <c:numRef>
              <c:f>[1]Média!$Y$38:$AC$38</c:f>
              <c:numCache>
                <c:formatCode>General</c:formatCode>
                <c:ptCount val="5"/>
                <c:pt idx="0">
                  <c:v>933.10740909551407</c:v>
                </c:pt>
                <c:pt idx="1">
                  <c:v>1001.9549716801866</c:v>
                </c:pt>
                <c:pt idx="2">
                  <c:v>927.58761597771445</c:v>
                </c:pt>
                <c:pt idx="3">
                  <c:v>880.11755625679655</c:v>
                </c:pt>
                <c:pt idx="4">
                  <c:v>922.88728042262869</c:v>
                </c:pt>
              </c:numCache>
            </c:numRef>
          </c:val>
          <c:smooth val="0"/>
        </c:ser>
        <c:dLbls>
          <c:showLegendKey val="0"/>
          <c:showVal val="0"/>
          <c:showCatName val="0"/>
          <c:showSerName val="0"/>
          <c:showPercent val="0"/>
          <c:showBubbleSize val="0"/>
        </c:dLbls>
        <c:marker val="1"/>
        <c:smooth val="0"/>
        <c:axId val="276993648"/>
        <c:axId val="276994040"/>
      </c:lineChart>
      <c:lineChart>
        <c:grouping val="standard"/>
        <c:varyColors val="0"/>
        <c:ser>
          <c:idx val="1"/>
          <c:order val="1"/>
          <c:tx>
            <c:strRef>
              <c:f>[1]Média!$AD$4</c:f>
              <c:strCache>
                <c:ptCount val="1"/>
                <c:pt idx="0">
                  <c:v>Spotřeba v tKč</c:v>
                </c:pt>
              </c:strCache>
            </c:strRef>
          </c:tx>
          <c:spPr>
            <a:ln w="38100">
              <a:solidFill>
                <a:srgbClr val="FF0000"/>
              </a:solidFill>
            </a:ln>
          </c:spPr>
          <c:marker>
            <c:symbol val="none"/>
          </c:marker>
          <c:cat>
            <c:numRef>
              <c:f>[1]Média!$AD$5:$AH$5</c:f>
              <c:numCache>
                <c:formatCode>General</c:formatCode>
                <c:ptCount val="5"/>
                <c:pt idx="0">
                  <c:v>2011</c:v>
                </c:pt>
                <c:pt idx="1">
                  <c:v>2012</c:v>
                </c:pt>
                <c:pt idx="2">
                  <c:v>2013</c:v>
                </c:pt>
                <c:pt idx="3">
                  <c:v>2014</c:v>
                </c:pt>
                <c:pt idx="4">
                  <c:v>2015</c:v>
                </c:pt>
              </c:numCache>
            </c:numRef>
          </c:cat>
          <c:val>
            <c:numRef>
              <c:f>[1]Média!$AD$38:$AH$38</c:f>
              <c:numCache>
                <c:formatCode>General</c:formatCode>
                <c:ptCount val="5"/>
                <c:pt idx="0">
                  <c:v>948.90611999999999</c:v>
                </c:pt>
                <c:pt idx="1">
                  <c:v>949.97500000000002</c:v>
                </c:pt>
                <c:pt idx="2">
                  <c:v>937.89549</c:v>
                </c:pt>
                <c:pt idx="3">
                  <c:v>855.40899999999999</c:v>
                </c:pt>
                <c:pt idx="4">
                  <c:v>883.79111999999998</c:v>
                </c:pt>
              </c:numCache>
            </c:numRef>
          </c:val>
          <c:smooth val="0"/>
        </c:ser>
        <c:dLbls>
          <c:showLegendKey val="0"/>
          <c:showVal val="0"/>
          <c:showCatName val="0"/>
          <c:showSerName val="0"/>
          <c:showPercent val="0"/>
          <c:showBubbleSize val="0"/>
        </c:dLbls>
        <c:marker val="1"/>
        <c:smooth val="0"/>
        <c:axId val="276994824"/>
        <c:axId val="276994432"/>
      </c:lineChart>
      <c:catAx>
        <c:axId val="276993648"/>
        <c:scaling>
          <c:orientation val="minMax"/>
        </c:scaling>
        <c:delete val="0"/>
        <c:axPos val="b"/>
        <c:numFmt formatCode="General" sourceLinked="1"/>
        <c:majorTickMark val="none"/>
        <c:minorTickMark val="none"/>
        <c:tickLblPos val="nextTo"/>
        <c:txPr>
          <a:bodyPr/>
          <a:lstStyle/>
          <a:p>
            <a:pPr>
              <a:defRPr sz="1200"/>
            </a:pPr>
            <a:endParaRPr lang="cs-CZ"/>
          </a:p>
        </c:txPr>
        <c:crossAx val="276994040"/>
        <c:crosses val="autoZero"/>
        <c:auto val="1"/>
        <c:lblAlgn val="ctr"/>
        <c:lblOffset val="100"/>
        <c:noMultiLvlLbl val="0"/>
      </c:catAx>
      <c:valAx>
        <c:axId val="276994040"/>
        <c:scaling>
          <c:orientation val="minMax"/>
          <c:max val="1100"/>
          <c:min val="800"/>
        </c:scaling>
        <c:delete val="0"/>
        <c:axPos val="l"/>
        <c:majorGridlines/>
        <c:numFmt formatCode="General" sourceLinked="1"/>
        <c:majorTickMark val="none"/>
        <c:minorTickMark val="none"/>
        <c:tickLblPos val="nextTo"/>
        <c:spPr>
          <a:ln w="9525">
            <a:noFill/>
          </a:ln>
        </c:spPr>
        <c:txPr>
          <a:bodyPr/>
          <a:lstStyle/>
          <a:p>
            <a:pPr>
              <a:defRPr sz="1200" b="1">
                <a:solidFill>
                  <a:srgbClr val="0070C0"/>
                </a:solidFill>
              </a:defRPr>
            </a:pPr>
            <a:endParaRPr lang="cs-CZ"/>
          </a:p>
        </c:txPr>
        <c:crossAx val="276993648"/>
        <c:crosses val="autoZero"/>
        <c:crossBetween val="between"/>
        <c:majorUnit val="50"/>
      </c:valAx>
      <c:valAx>
        <c:axId val="276994432"/>
        <c:scaling>
          <c:orientation val="minMax"/>
          <c:max val="1100"/>
          <c:min val="800"/>
        </c:scaling>
        <c:delete val="0"/>
        <c:axPos val="r"/>
        <c:numFmt formatCode="General" sourceLinked="1"/>
        <c:majorTickMark val="out"/>
        <c:minorTickMark val="none"/>
        <c:tickLblPos val="nextTo"/>
        <c:txPr>
          <a:bodyPr/>
          <a:lstStyle/>
          <a:p>
            <a:pPr>
              <a:defRPr sz="1200" b="1">
                <a:solidFill>
                  <a:srgbClr val="FF0000"/>
                </a:solidFill>
              </a:defRPr>
            </a:pPr>
            <a:endParaRPr lang="cs-CZ"/>
          </a:p>
        </c:txPr>
        <c:crossAx val="276994824"/>
        <c:crosses val="max"/>
        <c:crossBetween val="between"/>
        <c:majorUnit val="50"/>
      </c:valAx>
      <c:catAx>
        <c:axId val="276994824"/>
        <c:scaling>
          <c:orientation val="minMax"/>
        </c:scaling>
        <c:delete val="1"/>
        <c:axPos val="b"/>
        <c:numFmt formatCode="General" sourceLinked="1"/>
        <c:majorTickMark val="out"/>
        <c:minorTickMark val="none"/>
        <c:tickLblPos val="none"/>
        <c:crossAx val="276994432"/>
        <c:crosses val="autoZero"/>
        <c:auto val="1"/>
        <c:lblAlgn val="ctr"/>
        <c:lblOffset val="100"/>
        <c:noMultiLvlLbl val="0"/>
      </c:catAx>
    </c:plotArea>
    <c:legend>
      <c:legendPos val="b"/>
      <c:overlay val="0"/>
      <c:txPr>
        <a:bodyPr/>
        <a:lstStyle/>
        <a:p>
          <a:pPr>
            <a:defRPr sz="1200"/>
          </a:pPr>
          <a:endParaRPr lang="cs-CZ"/>
        </a:p>
      </c:txPr>
    </c:legend>
    <c:plotVisOnly val="1"/>
    <c:dispBlanksAs val="gap"/>
    <c:showDLblsOverMax val="0"/>
  </c:chart>
  <c:printSettings>
    <c:headerFooter/>
    <c:pageMargins b="0.78740157499999996" l="0.70000000000000062" r="0.70000000000000062" t="0.78740157499999996"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400"/>
            </a:pPr>
            <a:r>
              <a:rPr lang="cs-CZ" sz="2400"/>
              <a:t>Srážková voda</a:t>
            </a:r>
          </a:p>
        </c:rich>
      </c:tx>
      <c:overlay val="0"/>
    </c:title>
    <c:autoTitleDeleted val="0"/>
    <c:plotArea>
      <c:layout/>
      <c:lineChart>
        <c:grouping val="standard"/>
        <c:varyColors val="0"/>
        <c:ser>
          <c:idx val="0"/>
          <c:order val="0"/>
          <c:tx>
            <c:strRef>
              <c:f>[1]Média!$N$66</c:f>
              <c:strCache>
                <c:ptCount val="1"/>
                <c:pt idx="0">
                  <c:v>Spotřeba v m3</c:v>
                </c:pt>
              </c:strCache>
            </c:strRef>
          </c:tx>
          <c:spPr>
            <a:ln w="38100"/>
          </c:spPr>
          <c:marker>
            <c:symbol val="none"/>
          </c:marker>
          <c:cat>
            <c:numRef>
              <c:f>[1]Média!$N$67:$R$67</c:f>
              <c:numCache>
                <c:formatCode>General</c:formatCode>
                <c:ptCount val="5"/>
                <c:pt idx="0">
                  <c:v>2011</c:v>
                </c:pt>
                <c:pt idx="1">
                  <c:v>2012</c:v>
                </c:pt>
                <c:pt idx="2">
                  <c:v>2013</c:v>
                </c:pt>
                <c:pt idx="3">
                  <c:v>2014</c:v>
                </c:pt>
                <c:pt idx="4">
                  <c:v>2015</c:v>
                </c:pt>
              </c:numCache>
            </c:numRef>
          </c:cat>
          <c:val>
            <c:numRef>
              <c:f>[1]Média!$N$100:$R$100</c:f>
              <c:numCache>
                <c:formatCode>General</c:formatCode>
                <c:ptCount val="5"/>
                <c:pt idx="0">
                  <c:v>23524.921434533913</c:v>
                </c:pt>
                <c:pt idx="1">
                  <c:v>23399.769156820144</c:v>
                </c:pt>
                <c:pt idx="2">
                  <c:v>23468.984328436574</c:v>
                </c:pt>
                <c:pt idx="3">
                  <c:v>23468.984328436574</c:v>
                </c:pt>
                <c:pt idx="4">
                  <c:v>23173.071</c:v>
                </c:pt>
              </c:numCache>
            </c:numRef>
          </c:val>
          <c:smooth val="0"/>
        </c:ser>
        <c:dLbls>
          <c:showLegendKey val="0"/>
          <c:showVal val="0"/>
          <c:showCatName val="0"/>
          <c:showSerName val="0"/>
          <c:showPercent val="0"/>
          <c:showBubbleSize val="0"/>
        </c:dLbls>
        <c:marker val="1"/>
        <c:smooth val="0"/>
        <c:axId val="276564688"/>
        <c:axId val="276565080"/>
      </c:lineChart>
      <c:lineChart>
        <c:grouping val="standard"/>
        <c:varyColors val="0"/>
        <c:ser>
          <c:idx val="1"/>
          <c:order val="1"/>
          <c:tx>
            <c:strRef>
              <c:f>[1]Média!$S$66</c:f>
              <c:strCache>
                <c:ptCount val="1"/>
                <c:pt idx="0">
                  <c:v>Spotřeba v tKč</c:v>
                </c:pt>
              </c:strCache>
            </c:strRef>
          </c:tx>
          <c:spPr>
            <a:ln w="38100">
              <a:solidFill>
                <a:srgbClr val="FF0000"/>
              </a:solidFill>
            </a:ln>
          </c:spPr>
          <c:marker>
            <c:symbol val="none"/>
          </c:marker>
          <c:cat>
            <c:numRef>
              <c:f>[1]Média!$S$67:$W$67</c:f>
              <c:numCache>
                <c:formatCode>General</c:formatCode>
                <c:ptCount val="5"/>
                <c:pt idx="0">
                  <c:v>2011</c:v>
                </c:pt>
                <c:pt idx="1">
                  <c:v>2012</c:v>
                </c:pt>
                <c:pt idx="2">
                  <c:v>2013</c:v>
                </c:pt>
                <c:pt idx="3">
                  <c:v>2014</c:v>
                </c:pt>
                <c:pt idx="4">
                  <c:v>2015</c:v>
                </c:pt>
              </c:numCache>
            </c:numRef>
          </c:cat>
          <c:val>
            <c:numRef>
              <c:f>[1]Média!$S$100:$W$100</c:f>
              <c:numCache>
                <c:formatCode>General</c:formatCode>
                <c:ptCount val="5"/>
                <c:pt idx="0">
                  <c:v>817.51426000000004</c:v>
                </c:pt>
                <c:pt idx="1">
                  <c:v>851.9499814285715</c:v>
                </c:pt>
                <c:pt idx="2">
                  <c:v>896.66378000000009</c:v>
                </c:pt>
                <c:pt idx="3">
                  <c:v>898.82025999999996</c:v>
                </c:pt>
                <c:pt idx="4">
                  <c:v>896.44111000000009</c:v>
                </c:pt>
              </c:numCache>
            </c:numRef>
          </c:val>
          <c:smooth val="0"/>
        </c:ser>
        <c:dLbls>
          <c:showLegendKey val="0"/>
          <c:showVal val="0"/>
          <c:showCatName val="0"/>
          <c:showSerName val="0"/>
          <c:showPercent val="0"/>
          <c:showBubbleSize val="0"/>
        </c:dLbls>
        <c:marker val="1"/>
        <c:smooth val="0"/>
        <c:axId val="276565864"/>
        <c:axId val="276565472"/>
      </c:lineChart>
      <c:catAx>
        <c:axId val="276564688"/>
        <c:scaling>
          <c:orientation val="minMax"/>
        </c:scaling>
        <c:delete val="0"/>
        <c:axPos val="b"/>
        <c:numFmt formatCode="General" sourceLinked="1"/>
        <c:majorTickMark val="none"/>
        <c:minorTickMark val="none"/>
        <c:tickLblPos val="nextTo"/>
        <c:txPr>
          <a:bodyPr/>
          <a:lstStyle/>
          <a:p>
            <a:pPr>
              <a:defRPr sz="1200"/>
            </a:pPr>
            <a:endParaRPr lang="cs-CZ"/>
          </a:p>
        </c:txPr>
        <c:crossAx val="276565080"/>
        <c:crosses val="autoZero"/>
        <c:auto val="1"/>
        <c:lblAlgn val="ctr"/>
        <c:lblOffset val="100"/>
        <c:noMultiLvlLbl val="0"/>
      </c:catAx>
      <c:valAx>
        <c:axId val="276565080"/>
        <c:scaling>
          <c:orientation val="minMax"/>
          <c:max val="24000"/>
          <c:min val="19500"/>
        </c:scaling>
        <c:delete val="0"/>
        <c:axPos val="l"/>
        <c:majorGridlines/>
        <c:numFmt formatCode="General" sourceLinked="1"/>
        <c:majorTickMark val="none"/>
        <c:minorTickMark val="none"/>
        <c:tickLblPos val="nextTo"/>
        <c:spPr>
          <a:ln w="9525">
            <a:noFill/>
          </a:ln>
        </c:spPr>
        <c:txPr>
          <a:bodyPr/>
          <a:lstStyle/>
          <a:p>
            <a:pPr>
              <a:defRPr sz="1200" b="1">
                <a:solidFill>
                  <a:srgbClr val="0070C0"/>
                </a:solidFill>
              </a:defRPr>
            </a:pPr>
            <a:endParaRPr lang="cs-CZ"/>
          </a:p>
        </c:txPr>
        <c:crossAx val="276564688"/>
        <c:crosses val="autoZero"/>
        <c:crossBetween val="between"/>
      </c:valAx>
      <c:valAx>
        <c:axId val="276565472"/>
        <c:scaling>
          <c:orientation val="minMax"/>
          <c:max val="980"/>
          <c:min val="800"/>
        </c:scaling>
        <c:delete val="0"/>
        <c:axPos val="r"/>
        <c:numFmt formatCode="General" sourceLinked="1"/>
        <c:majorTickMark val="out"/>
        <c:minorTickMark val="none"/>
        <c:tickLblPos val="nextTo"/>
        <c:txPr>
          <a:bodyPr/>
          <a:lstStyle/>
          <a:p>
            <a:pPr>
              <a:defRPr sz="1200" b="1">
                <a:solidFill>
                  <a:srgbClr val="FF0000"/>
                </a:solidFill>
              </a:defRPr>
            </a:pPr>
            <a:endParaRPr lang="cs-CZ"/>
          </a:p>
        </c:txPr>
        <c:crossAx val="276565864"/>
        <c:crosses val="max"/>
        <c:crossBetween val="between"/>
      </c:valAx>
      <c:catAx>
        <c:axId val="276565864"/>
        <c:scaling>
          <c:orientation val="minMax"/>
        </c:scaling>
        <c:delete val="1"/>
        <c:axPos val="b"/>
        <c:numFmt formatCode="General" sourceLinked="1"/>
        <c:majorTickMark val="out"/>
        <c:minorTickMark val="none"/>
        <c:tickLblPos val="none"/>
        <c:crossAx val="276565472"/>
        <c:crosses val="autoZero"/>
        <c:auto val="1"/>
        <c:lblAlgn val="ctr"/>
        <c:lblOffset val="100"/>
        <c:noMultiLvlLbl val="0"/>
      </c:catAx>
    </c:plotArea>
    <c:legend>
      <c:legendPos val="b"/>
      <c:overlay val="0"/>
      <c:txPr>
        <a:bodyPr/>
        <a:lstStyle/>
        <a:p>
          <a:pPr>
            <a:defRPr sz="1200"/>
          </a:pPr>
          <a:endParaRPr lang="cs-CZ"/>
        </a:p>
      </c:txPr>
    </c:legend>
    <c:plotVisOnly val="1"/>
    <c:dispBlanksAs val="gap"/>
    <c:showDLblsOverMax val="0"/>
  </c:chart>
  <c:printSettings>
    <c:headerFooter/>
    <c:pageMargins b="0.78740157499999996" l="0.70000000000000062" r="0.70000000000000062" t="0.7874015749999999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400"/>
            </a:pPr>
            <a:r>
              <a:rPr lang="cs-CZ" sz="2400"/>
              <a:t>Spotřeba vody</a:t>
            </a:r>
          </a:p>
        </c:rich>
      </c:tx>
      <c:overlay val="0"/>
    </c:title>
    <c:autoTitleDeleted val="0"/>
    <c:plotArea>
      <c:layout/>
      <c:lineChart>
        <c:grouping val="standard"/>
        <c:varyColors val="0"/>
        <c:ser>
          <c:idx val="0"/>
          <c:order val="0"/>
          <c:tx>
            <c:strRef>
              <c:f>[1]Média!$C$66</c:f>
              <c:strCache>
                <c:ptCount val="1"/>
                <c:pt idx="0">
                  <c:v>Spotřeba v m3</c:v>
                </c:pt>
              </c:strCache>
            </c:strRef>
          </c:tx>
          <c:spPr>
            <a:ln w="38100"/>
          </c:spPr>
          <c:marker>
            <c:symbol val="none"/>
          </c:marker>
          <c:cat>
            <c:numRef>
              <c:f>[1]Média!$C$67:$G$67</c:f>
              <c:numCache>
                <c:formatCode>General</c:formatCode>
                <c:ptCount val="5"/>
                <c:pt idx="0">
                  <c:v>2011</c:v>
                </c:pt>
                <c:pt idx="1">
                  <c:v>2012</c:v>
                </c:pt>
                <c:pt idx="2">
                  <c:v>2013</c:v>
                </c:pt>
                <c:pt idx="3">
                  <c:v>2014</c:v>
                </c:pt>
                <c:pt idx="4">
                  <c:v>2015</c:v>
                </c:pt>
              </c:numCache>
            </c:numRef>
          </c:cat>
          <c:val>
            <c:numRef>
              <c:f>[1]Média!$C$100:$G$100</c:f>
              <c:numCache>
                <c:formatCode>General</c:formatCode>
                <c:ptCount val="5"/>
                <c:pt idx="0">
                  <c:v>66335.432987281703</c:v>
                </c:pt>
                <c:pt idx="1">
                  <c:v>69847.356221986207</c:v>
                </c:pt>
                <c:pt idx="2">
                  <c:v>65793.877341614352</c:v>
                </c:pt>
                <c:pt idx="3">
                  <c:v>62118.299041026934</c:v>
                </c:pt>
                <c:pt idx="4">
                  <c:v>58979.828067474125</c:v>
                </c:pt>
              </c:numCache>
            </c:numRef>
          </c:val>
          <c:smooth val="0"/>
        </c:ser>
        <c:dLbls>
          <c:showLegendKey val="0"/>
          <c:showVal val="0"/>
          <c:showCatName val="0"/>
          <c:showSerName val="0"/>
          <c:showPercent val="0"/>
          <c:showBubbleSize val="0"/>
        </c:dLbls>
        <c:marker val="1"/>
        <c:smooth val="0"/>
        <c:axId val="276566648"/>
        <c:axId val="276567040"/>
      </c:lineChart>
      <c:lineChart>
        <c:grouping val="standard"/>
        <c:varyColors val="0"/>
        <c:ser>
          <c:idx val="1"/>
          <c:order val="1"/>
          <c:tx>
            <c:strRef>
              <c:f>[1]Média!$H$66</c:f>
              <c:strCache>
                <c:ptCount val="1"/>
                <c:pt idx="0">
                  <c:v>Spotřeba v tKč</c:v>
                </c:pt>
              </c:strCache>
            </c:strRef>
          </c:tx>
          <c:spPr>
            <a:ln w="38100">
              <a:solidFill>
                <a:srgbClr val="FF0000"/>
              </a:solidFill>
            </a:ln>
          </c:spPr>
          <c:marker>
            <c:symbol val="none"/>
          </c:marker>
          <c:cat>
            <c:numRef>
              <c:f>[1]Média!$H$67:$L$67</c:f>
              <c:numCache>
                <c:formatCode>General</c:formatCode>
                <c:ptCount val="5"/>
                <c:pt idx="0">
                  <c:v>2011</c:v>
                </c:pt>
                <c:pt idx="1">
                  <c:v>2012</c:v>
                </c:pt>
                <c:pt idx="2">
                  <c:v>2013</c:v>
                </c:pt>
                <c:pt idx="3">
                  <c:v>2014</c:v>
                </c:pt>
                <c:pt idx="4">
                  <c:v>2015</c:v>
                </c:pt>
              </c:numCache>
            </c:numRef>
          </c:cat>
          <c:val>
            <c:numRef>
              <c:f>[1]Média!$H$100:$L$100</c:f>
              <c:numCache>
                <c:formatCode>General</c:formatCode>
                <c:ptCount val="5"/>
                <c:pt idx="0">
                  <c:v>4245.9905699999999</c:v>
                </c:pt>
                <c:pt idx="1">
                  <c:v>4572.6878285714283</c:v>
                </c:pt>
                <c:pt idx="2">
                  <c:v>4437.9632899999997</c:v>
                </c:pt>
                <c:pt idx="3">
                  <c:v>4196.3231300000007</c:v>
                </c:pt>
                <c:pt idx="4">
                  <c:v>3985.7391499999999</c:v>
                </c:pt>
              </c:numCache>
            </c:numRef>
          </c:val>
          <c:smooth val="0"/>
        </c:ser>
        <c:dLbls>
          <c:showLegendKey val="0"/>
          <c:showVal val="0"/>
          <c:showCatName val="0"/>
          <c:showSerName val="0"/>
          <c:showPercent val="0"/>
          <c:showBubbleSize val="0"/>
        </c:dLbls>
        <c:marker val="1"/>
        <c:smooth val="0"/>
        <c:axId val="276567824"/>
        <c:axId val="276567432"/>
      </c:lineChart>
      <c:catAx>
        <c:axId val="276566648"/>
        <c:scaling>
          <c:orientation val="minMax"/>
        </c:scaling>
        <c:delete val="0"/>
        <c:axPos val="b"/>
        <c:numFmt formatCode="General" sourceLinked="1"/>
        <c:majorTickMark val="none"/>
        <c:minorTickMark val="none"/>
        <c:tickLblPos val="nextTo"/>
        <c:txPr>
          <a:bodyPr/>
          <a:lstStyle/>
          <a:p>
            <a:pPr>
              <a:defRPr sz="1200"/>
            </a:pPr>
            <a:endParaRPr lang="cs-CZ"/>
          </a:p>
        </c:txPr>
        <c:crossAx val="276567040"/>
        <c:crosses val="autoZero"/>
        <c:auto val="1"/>
        <c:lblAlgn val="ctr"/>
        <c:lblOffset val="100"/>
        <c:noMultiLvlLbl val="0"/>
      </c:catAx>
      <c:valAx>
        <c:axId val="276567040"/>
        <c:scaling>
          <c:orientation val="minMax"/>
          <c:max val="73600"/>
          <c:min val="59000"/>
        </c:scaling>
        <c:delete val="0"/>
        <c:axPos val="l"/>
        <c:majorGridlines/>
        <c:numFmt formatCode="General" sourceLinked="1"/>
        <c:majorTickMark val="none"/>
        <c:minorTickMark val="none"/>
        <c:tickLblPos val="nextTo"/>
        <c:spPr>
          <a:ln w="9525">
            <a:noFill/>
          </a:ln>
        </c:spPr>
        <c:txPr>
          <a:bodyPr/>
          <a:lstStyle/>
          <a:p>
            <a:pPr>
              <a:defRPr sz="1200" b="1">
                <a:solidFill>
                  <a:srgbClr val="0070C0"/>
                </a:solidFill>
              </a:defRPr>
            </a:pPr>
            <a:endParaRPr lang="cs-CZ"/>
          </a:p>
        </c:txPr>
        <c:crossAx val="276566648"/>
        <c:crosses val="autoZero"/>
        <c:crossBetween val="between"/>
        <c:majorUnit val="800"/>
      </c:valAx>
      <c:valAx>
        <c:axId val="276567432"/>
        <c:scaling>
          <c:orientation val="minMax"/>
          <c:max val="4600"/>
          <c:min val="3750"/>
        </c:scaling>
        <c:delete val="0"/>
        <c:axPos val="r"/>
        <c:numFmt formatCode="General" sourceLinked="1"/>
        <c:majorTickMark val="out"/>
        <c:minorTickMark val="none"/>
        <c:tickLblPos val="nextTo"/>
        <c:txPr>
          <a:bodyPr/>
          <a:lstStyle/>
          <a:p>
            <a:pPr>
              <a:defRPr sz="1200" b="1">
                <a:solidFill>
                  <a:srgbClr val="FF0000"/>
                </a:solidFill>
              </a:defRPr>
            </a:pPr>
            <a:endParaRPr lang="cs-CZ"/>
          </a:p>
        </c:txPr>
        <c:crossAx val="276567824"/>
        <c:crosses val="max"/>
        <c:crossBetween val="between"/>
        <c:majorUnit val="50"/>
      </c:valAx>
      <c:catAx>
        <c:axId val="276567824"/>
        <c:scaling>
          <c:orientation val="minMax"/>
        </c:scaling>
        <c:delete val="1"/>
        <c:axPos val="b"/>
        <c:numFmt formatCode="General" sourceLinked="1"/>
        <c:majorTickMark val="out"/>
        <c:minorTickMark val="none"/>
        <c:tickLblPos val="none"/>
        <c:crossAx val="276567432"/>
        <c:crosses val="autoZero"/>
        <c:auto val="1"/>
        <c:lblAlgn val="ctr"/>
        <c:lblOffset val="100"/>
        <c:noMultiLvlLbl val="0"/>
      </c:catAx>
    </c:plotArea>
    <c:legend>
      <c:legendPos val="b"/>
      <c:overlay val="0"/>
      <c:txPr>
        <a:bodyPr/>
        <a:lstStyle/>
        <a:p>
          <a:pPr>
            <a:defRPr sz="1200"/>
          </a:pPr>
          <a:endParaRPr lang="cs-CZ"/>
        </a:p>
      </c:txPr>
    </c:legend>
    <c:plotVisOnly val="1"/>
    <c:dispBlanksAs val="gap"/>
    <c:showDLblsOverMax val="0"/>
  </c:chart>
  <c:printSettings>
    <c:headerFooter/>
    <c:pageMargins b="0.78740157499999996" l="0.70000000000000062" r="0.70000000000000062" t="0.78740157499999996"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400"/>
            </a:pPr>
            <a:r>
              <a:rPr lang="cs-CZ" sz="2400"/>
              <a:t>Spotřeba elektrické energie</a:t>
            </a:r>
          </a:p>
        </c:rich>
      </c:tx>
      <c:overlay val="0"/>
    </c:title>
    <c:autoTitleDeleted val="0"/>
    <c:plotArea>
      <c:layout/>
      <c:lineChart>
        <c:grouping val="standard"/>
        <c:varyColors val="0"/>
        <c:ser>
          <c:idx val="0"/>
          <c:order val="0"/>
          <c:tx>
            <c:strRef>
              <c:f>[2]Média!$C$4</c:f>
              <c:strCache>
                <c:ptCount val="1"/>
                <c:pt idx="0">
                  <c:v>Spotřeba v MWh</c:v>
                </c:pt>
              </c:strCache>
            </c:strRef>
          </c:tx>
          <c:spPr>
            <a:ln w="38100"/>
          </c:spPr>
          <c:marker>
            <c:symbol val="none"/>
          </c:marker>
          <c:cat>
            <c:strRef>
              <c:f>[2]Média!$H$5:$L$5</c:f>
              <c:strCache>
                <c:ptCount val="5"/>
                <c:pt idx="0">
                  <c:v>2011</c:v>
                </c:pt>
                <c:pt idx="1">
                  <c:v>2012</c:v>
                </c:pt>
                <c:pt idx="2">
                  <c:v>2013</c:v>
                </c:pt>
                <c:pt idx="3">
                  <c:v>2014</c:v>
                </c:pt>
                <c:pt idx="4">
                  <c:v>2015</c:v>
                </c:pt>
              </c:strCache>
            </c:strRef>
          </c:cat>
          <c:val>
            <c:numRef>
              <c:f>[2]Média!$C$38:$G$38</c:f>
              <c:numCache>
                <c:formatCode>General</c:formatCode>
                <c:ptCount val="5"/>
                <c:pt idx="0">
                  <c:v>5019.7560255681883</c:v>
                </c:pt>
                <c:pt idx="1">
                  <c:v>5151.7729813123597</c:v>
                </c:pt>
                <c:pt idx="2">
                  <c:v>5430.5786590841089</c:v>
                </c:pt>
                <c:pt idx="3">
                  <c:v>5312.4007441704807</c:v>
                </c:pt>
                <c:pt idx="4">
                  <c:v>5456.6383766032659</c:v>
                </c:pt>
              </c:numCache>
            </c:numRef>
          </c:val>
          <c:smooth val="0"/>
        </c:ser>
        <c:dLbls>
          <c:showLegendKey val="0"/>
          <c:showVal val="0"/>
          <c:showCatName val="0"/>
          <c:showSerName val="0"/>
          <c:showPercent val="0"/>
          <c:showBubbleSize val="0"/>
        </c:dLbls>
        <c:marker val="1"/>
        <c:smooth val="0"/>
        <c:axId val="277012784"/>
        <c:axId val="277013176"/>
      </c:lineChart>
      <c:lineChart>
        <c:grouping val="standard"/>
        <c:varyColors val="0"/>
        <c:ser>
          <c:idx val="1"/>
          <c:order val="1"/>
          <c:tx>
            <c:strRef>
              <c:f>[2]Média!$H$4</c:f>
              <c:strCache>
                <c:ptCount val="1"/>
                <c:pt idx="0">
                  <c:v>Spotřeba v tKč</c:v>
                </c:pt>
              </c:strCache>
            </c:strRef>
          </c:tx>
          <c:spPr>
            <a:ln w="38100">
              <a:solidFill>
                <a:srgbClr val="FF0000"/>
              </a:solidFill>
            </a:ln>
          </c:spPr>
          <c:marker>
            <c:symbol val="none"/>
          </c:marker>
          <c:cat>
            <c:strRef>
              <c:f>[2]Média!$H$5:$L$5</c:f>
              <c:strCache>
                <c:ptCount val="5"/>
                <c:pt idx="0">
                  <c:v>2011</c:v>
                </c:pt>
                <c:pt idx="1">
                  <c:v>2012</c:v>
                </c:pt>
                <c:pt idx="2">
                  <c:v>2013</c:v>
                </c:pt>
                <c:pt idx="3">
                  <c:v>2014</c:v>
                </c:pt>
                <c:pt idx="4">
                  <c:v>2015</c:v>
                </c:pt>
              </c:strCache>
            </c:strRef>
          </c:cat>
          <c:val>
            <c:numRef>
              <c:f>[2]Média!$H$38:$L$38</c:f>
              <c:numCache>
                <c:formatCode>General</c:formatCode>
                <c:ptCount val="5"/>
                <c:pt idx="0">
                  <c:v>17947.253000000001</c:v>
                </c:pt>
                <c:pt idx="1">
                  <c:v>18631.837729999999</c:v>
                </c:pt>
                <c:pt idx="2">
                  <c:v>15647.72056</c:v>
                </c:pt>
                <c:pt idx="3">
                  <c:v>14276.975</c:v>
                </c:pt>
                <c:pt idx="4">
                  <c:v>13021.665129999999</c:v>
                </c:pt>
              </c:numCache>
            </c:numRef>
          </c:val>
          <c:smooth val="0"/>
        </c:ser>
        <c:dLbls>
          <c:showLegendKey val="0"/>
          <c:showVal val="0"/>
          <c:showCatName val="0"/>
          <c:showSerName val="0"/>
          <c:showPercent val="0"/>
          <c:showBubbleSize val="0"/>
        </c:dLbls>
        <c:marker val="1"/>
        <c:smooth val="0"/>
        <c:axId val="277013960"/>
        <c:axId val="277013568"/>
      </c:lineChart>
      <c:catAx>
        <c:axId val="277012784"/>
        <c:scaling>
          <c:orientation val="minMax"/>
        </c:scaling>
        <c:delete val="0"/>
        <c:axPos val="b"/>
        <c:numFmt formatCode="General" sourceLinked="1"/>
        <c:majorTickMark val="none"/>
        <c:minorTickMark val="none"/>
        <c:tickLblPos val="nextTo"/>
        <c:txPr>
          <a:bodyPr/>
          <a:lstStyle/>
          <a:p>
            <a:pPr>
              <a:defRPr sz="1200"/>
            </a:pPr>
            <a:endParaRPr lang="cs-CZ"/>
          </a:p>
        </c:txPr>
        <c:crossAx val="277013176"/>
        <c:crosses val="autoZero"/>
        <c:auto val="1"/>
        <c:lblAlgn val="ctr"/>
        <c:lblOffset val="100"/>
        <c:noMultiLvlLbl val="0"/>
      </c:catAx>
      <c:valAx>
        <c:axId val="277013176"/>
        <c:scaling>
          <c:orientation val="minMax"/>
          <c:max val="5500"/>
          <c:min val="4675"/>
        </c:scaling>
        <c:delete val="0"/>
        <c:axPos val="l"/>
        <c:majorGridlines/>
        <c:numFmt formatCode="General" sourceLinked="1"/>
        <c:majorTickMark val="none"/>
        <c:minorTickMark val="none"/>
        <c:tickLblPos val="nextTo"/>
        <c:spPr>
          <a:ln w="9525">
            <a:noFill/>
          </a:ln>
        </c:spPr>
        <c:txPr>
          <a:bodyPr/>
          <a:lstStyle/>
          <a:p>
            <a:pPr>
              <a:defRPr sz="1200" b="1">
                <a:solidFill>
                  <a:srgbClr val="0070C0"/>
                </a:solidFill>
              </a:defRPr>
            </a:pPr>
            <a:endParaRPr lang="cs-CZ"/>
          </a:p>
        </c:txPr>
        <c:crossAx val="277012784"/>
        <c:crosses val="autoZero"/>
        <c:crossBetween val="between"/>
      </c:valAx>
      <c:valAx>
        <c:axId val="277013568"/>
        <c:scaling>
          <c:orientation val="minMax"/>
          <c:max val="18750"/>
          <c:min val="13000"/>
        </c:scaling>
        <c:delete val="0"/>
        <c:axPos val="r"/>
        <c:numFmt formatCode="General" sourceLinked="1"/>
        <c:majorTickMark val="out"/>
        <c:minorTickMark val="none"/>
        <c:tickLblPos val="nextTo"/>
        <c:txPr>
          <a:bodyPr/>
          <a:lstStyle/>
          <a:p>
            <a:pPr>
              <a:defRPr sz="1200" b="1" baseline="0">
                <a:solidFill>
                  <a:srgbClr val="FF0000"/>
                </a:solidFill>
              </a:defRPr>
            </a:pPr>
            <a:endParaRPr lang="cs-CZ"/>
          </a:p>
        </c:txPr>
        <c:crossAx val="277013960"/>
        <c:crosses val="max"/>
        <c:crossBetween val="between"/>
        <c:majorUnit val="500"/>
      </c:valAx>
      <c:catAx>
        <c:axId val="277013960"/>
        <c:scaling>
          <c:orientation val="minMax"/>
        </c:scaling>
        <c:delete val="1"/>
        <c:axPos val="b"/>
        <c:numFmt formatCode="General" sourceLinked="1"/>
        <c:majorTickMark val="out"/>
        <c:minorTickMark val="none"/>
        <c:tickLblPos val="none"/>
        <c:crossAx val="277013568"/>
        <c:crosses val="autoZero"/>
        <c:auto val="1"/>
        <c:lblAlgn val="ctr"/>
        <c:lblOffset val="100"/>
        <c:noMultiLvlLbl val="0"/>
      </c:catAx>
    </c:plotArea>
    <c:legend>
      <c:legendPos val="b"/>
      <c:overlay val="0"/>
      <c:txPr>
        <a:bodyPr/>
        <a:lstStyle/>
        <a:p>
          <a:pPr>
            <a:defRPr sz="1200"/>
          </a:pPr>
          <a:endParaRPr lang="cs-CZ"/>
        </a:p>
      </c:txPr>
    </c:legend>
    <c:plotVisOnly val="1"/>
    <c:dispBlanksAs val="gap"/>
    <c:showDLblsOverMax val="0"/>
  </c:chart>
  <c:printSettings>
    <c:headerFooter/>
    <c:pageMargins b="0.78740157499999996" l="0.70000000000000062" r="0.70000000000000062" t="0.78740157499999996" header="0.30000000000000032" footer="0.30000000000000032"/>
    <c:pageSetup/>
  </c:printSettings>
</c:chartSpace>
</file>

<file path=xl/drawings/_rels/drawing10.xml.rels><?xml version="1.0" encoding="UTF-8" standalone="yes"?>
<Relationships xmlns="http://schemas.openxmlformats.org/package/2006/relationships"><Relationship Id="rId2" Type="http://schemas.openxmlformats.org/officeDocument/2006/relationships/image" Target="../media/image18.png"/><Relationship Id="rId1" Type="http://schemas.openxmlformats.org/officeDocument/2006/relationships/image" Target="../media/image17.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9.png"/></Relationships>
</file>

<file path=xl/drawings/_rels/drawing12.xml.rels><?xml version="1.0" encoding="UTF-8" standalone="yes"?>
<Relationships xmlns="http://schemas.openxmlformats.org/package/2006/relationships"><Relationship Id="rId1" Type="http://schemas.openxmlformats.org/officeDocument/2006/relationships/image" Target="../media/image20.png"/></Relationships>
</file>

<file path=xl/drawings/_rels/drawing13.xml.rels><?xml version="1.0" encoding="UTF-8" standalone="yes"?>
<Relationships xmlns="http://schemas.openxmlformats.org/package/2006/relationships"><Relationship Id="rId1" Type="http://schemas.openxmlformats.org/officeDocument/2006/relationships/image" Target="../media/image2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22.png"/></Relationships>
</file>

<file path=xl/drawings/_rels/drawing15.xml.rels><?xml version="1.0" encoding="UTF-8" standalone="yes"?>
<Relationships xmlns="http://schemas.openxmlformats.org/package/2006/relationships"><Relationship Id="rId1" Type="http://schemas.openxmlformats.org/officeDocument/2006/relationships/image" Target="../media/image23.png"/></Relationships>
</file>

<file path=xl/drawings/_rels/drawing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drawing3.x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 Id="rId4" Type="http://schemas.openxmlformats.org/officeDocument/2006/relationships/image" Target="../media/image8.emf"/></Relationships>
</file>

<file path=xl/drawings/_rels/drawing4.xml.rels><?xml version="1.0" encoding="UTF-8" standalone="yes"?>
<Relationships xmlns="http://schemas.openxmlformats.org/package/2006/relationships"><Relationship Id="rId3" Type="http://schemas.openxmlformats.org/officeDocument/2006/relationships/image" Target="../media/image11.emf"/><Relationship Id="rId2" Type="http://schemas.openxmlformats.org/officeDocument/2006/relationships/image" Target="../media/image10.emf"/><Relationship Id="rId1" Type="http://schemas.openxmlformats.org/officeDocument/2006/relationships/image" Target="../media/image9.emf"/><Relationship Id="rId4" Type="http://schemas.openxmlformats.org/officeDocument/2006/relationships/image" Target="../media/image12.emf"/></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5" Type="http://schemas.openxmlformats.org/officeDocument/2006/relationships/chart" Target="../charts/chart6.xml"/><Relationship Id="rId4" Type="http://schemas.openxmlformats.org/officeDocument/2006/relationships/chart" Target="../charts/chart5.xml"/></Relationships>
</file>

<file path=xl/drawings/_rels/drawing8.xml.rels><?xml version="1.0" encoding="UTF-8" standalone="yes"?>
<Relationships xmlns="http://schemas.openxmlformats.org/package/2006/relationships"><Relationship Id="rId2" Type="http://schemas.openxmlformats.org/officeDocument/2006/relationships/image" Target="../media/image14.png"/><Relationship Id="rId1" Type="http://schemas.openxmlformats.org/officeDocument/2006/relationships/image" Target="../media/image13.png"/></Relationships>
</file>

<file path=xl/drawings/_rels/drawing9.xml.rels><?xml version="1.0" encoding="UTF-8" standalone="yes"?>
<Relationships xmlns="http://schemas.openxmlformats.org/package/2006/relationships"><Relationship Id="rId2" Type="http://schemas.openxmlformats.org/officeDocument/2006/relationships/image" Target="../media/image16.png"/><Relationship Id="rId1" Type="http://schemas.openxmlformats.org/officeDocument/2006/relationships/image" Target="../media/image15.png"/></Relationships>
</file>

<file path=xl/drawings/drawing1.xml><?xml version="1.0" encoding="utf-8"?>
<xdr:wsDr xmlns:xdr="http://schemas.openxmlformats.org/drawingml/2006/spreadsheetDrawing" xmlns:a="http://schemas.openxmlformats.org/drawingml/2006/main">
  <xdr:oneCellAnchor>
    <xdr:from>
      <xdr:col>2</xdr:col>
      <xdr:colOff>2101473</xdr:colOff>
      <xdr:row>43</xdr:row>
      <xdr:rowOff>147945</xdr:rowOff>
    </xdr:from>
    <xdr:ext cx="4757180" cy="264560"/>
    <xdr:sp macro="" textlink="">
      <xdr:nvSpPr>
        <xdr:cNvPr id="2" name="TextovéPole 1"/>
        <xdr:cNvSpPr txBox="1"/>
      </xdr:nvSpPr>
      <xdr:spPr>
        <a:xfrm rot="10597951">
          <a:off x="4320798" y="8415645"/>
          <a:ext cx="475718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endParaRPr lang="cs-CZ"/>
        </a:p>
      </xdr:txBody>
    </xdr:sp>
    <xdr:clientData/>
  </xdr:one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9</xdr:col>
      <xdr:colOff>219951</xdr:colOff>
      <xdr:row>22</xdr:row>
      <xdr:rowOff>35402</xdr:rowOff>
    </xdr:to>
    <xdr:pic>
      <xdr:nvPicPr>
        <xdr:cNvPr id="4" name="Obrázek 3"/>
        <xdr:cNvPicPr>
          <a:picLocks noChangeAspect="1"/>
        </xdr:cNvPicPr>
      </xdr:nvPicPr>
      <xdr:blipFill>
        <a:blip xmlns:r="http://schemas.openxmlformats.org/officeDocument/2006/relationships" r:embed="rId1"/>
        <a:stretch>
          <a:fillRect/>
        </a:stretch>
      </xdr:blipFill>
      <xdr:spPr>
        <a:xfrm>
          <a:off x="0" y="190500"/>
          <a:ext cx="5706351" cy="4035902"/>
        </a:xfrm>
        <a:prstGeom prst="rect">
          <a:avLst/>
        </a:prstGeom>
      </xdr:spPr>
    </xdr:pic>
    <xdr:clientData/>
  </xdr:twoCellAnchor>
  <xdr:twoCellAnchor editAs="oneCell">
    <xdr:from>
      <xdr:col>0</xdr:col>
      <xdr:colOff>47625</xdr:colOff>
      <xdr:row>24</xdr:row>
      <xdr:rowOff>38100</xdr:rowOff>
    </xdr:from>
    <xdr:to>
      <xdr:col>9</xdr:col>
      <xdr:colOff>304155</xdr:colOff>
      <xdr:row>44</xdr:row>
      <xdr:rowOff>148168</xdr:rowOff>
    </xdr:to>
    <xdr:pic>
      <xdr:nvPicPr>
        <xdr:cNvPr id="5" name="Obrázek 4"/>
        <xdr:cNvPicPr>
          <a:picLocks noChangeAspect="1"/>
        </xdr:cNvPicPr>
      </xdr:nvPicPr>
      <xdr:blipFill>
        <a:blip xmlns:r="http://schemas.openxmlformats.org/officeDocument/2006/relationships" r:embed="rId2"/>
        <a:stretch>
          <a:fillRect/>
        </a:stretch>
      </xdr:blipFill>
      <xdr:spPr>
        <a:xfrm>
          <a:off x="47625" y="4610100"/>
          <a:ext cx="5742930" cy="3920068"/>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28575</xdr:colOff>
      <xdr:row>1</xdr:row>
      <xdr:rowOff>28575</xdr:rowOff>
    </xdr:from>
    <xdr:to>
      <xdr:col>9</xdr:col>
      <xdr:colOff>266815</xdr:colOff>
      <xdr:row>18</xdr:row>
      <xdr:rowOff>88297</xdr:rowOff>
    </xdr:to>
    <xdr:pic>
      <xdr:nvPicPr>
        <xdr:cNvPr id="3" name="Obrázek 2"/>
        <xdr:cNvPicPr>
          <a:picLocks noChangeAspect="1"/>
        </xdr:cNvPicPr>
      </xdr:nvPicPr>
      <xdr:blipFill>
        <a:blip xmlns:r="http://schemas.openxmlformats.org/officeDocument/2006/relationships" r:embed="rId1"/>
        <a:stretch>
          <a:fillRect/>
        </a:stretch>
      </xdr:blipFill>
      <xdr:spPr>
        <a:xfrm>
          <a:off x="28575" y="219075"/>
          <a:ext cx="5724640" cy="3298222"/>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38100</xdr:colOff>
      <xdr:row>1</xdr:row>
      <xdr:rowOff>9525</xdr:rowOff>
    </xdr:from>
    <xdr:to>
      <xdr:col>11</xdr:col>
      <xdr:colOff>453245</xdr:colOff>
      <xdr:row>27</xdr:row>
      <xdr:rowOff>110547</xdr:rowOff>
    </xdr:to>
    <xdr:pic>
      <xdr:nvPicPr>
        <xdr:cNvPr id="3" name="Obrázek 2"/>
        <xdr:cNvPicPr>
          <a:picLocks noChangeAspect="1"/>
        </xdr:cNvPicPr>
      </xdr:nvPicPr>
      <xdr:blipFill>
        <a:blip xmlns:r="http://schemas.openxmlformats.org/officeDocument/2006/relationships" r:embed="rId1"/>
        <a:stretch>
          <a:fillRect/>
        </a:stretch>
      </xdr:blipFill>
      <xdr:spPr>
        <a:xfrm>
          <a:off x="38100" y="200025"/>
          <a:ext cx="7120745" cy="5054022"/>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47625</xdr:colOff>
      <xdr:row>1</xdr:row>
      <xdr:rowOff>0</xdr:rowOff>
    </xdr:from>
    <xdr:to>
      <xdr:col>10</xdr:col>
      <xdr:colOff>468814</xdr:colOff>
      <xdr:row>20</xdr:row>
      <xdr:rowOff>87189</xdr:rowOff>
    </xdr:to>
    <xdr:pic>
      <xdr:nvPicPr>
        <xdr:cNvPr id="3" name="Obrázek 2"/>
        <xdr:cNvPicPr>
          <a:picLocks noChangeAspect="1"/>
        </xdr:cNvPicPr>
      </xdr:nvPicPr>
      <xdr:blipFill>
        <a:blip xmlns:r="http://schemas.openxmlformats.org/officeDocument/2006/relationships" r:embed="rId1"/>
        <a:stretch>
          <a:fillRect/>
        </a:stretch>
      </xdr:blipFill>
      <xdr:spPr>
        <a:xfrm>
          <a:off x="47625" y="190500"/>
          <a:ext cx="6517189" cy="3706689"/>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57150</xdr:colOff>
      <xdr:row>1</xdr:row>
      <xdr:rowOff>0</xdr:rowOff>
    </xdr:from>
    <xdr:to>
      <xdr:col>8</xdr:col>
      <xdr:colOff>423364</xdr:colOff>
      <xdr:row>18</xdr:row>
      <xdr:rowOff>59722</xdr:rowOff>
    </xdr:to>
    <xdr:pic>
      <xdr:nvPicPr>
        <xdr:cNvPr id="3" name="Obrázek 2"/>
        <xdr:cNvPicPr>
          <a:picLocks noChangeAspect="1"/>
        </xdr:cNvPicPr>
      </xdr:nvPicPr>
      <xdr:blipFill>
        <a:blip xmlns:r="http://schemas.openxmlformats.org/officeDocument/2006/relationships" r:embed="rId1"/>
        <a:stretch>
          <a:fillRect/>
        </a:stretch>
      </xdr:blipFill>
      <xdr:spPr>
        <a:xfrm>
          <a:off x="57150" y="190500"/>
          <a:ext cx="5243014" cy="3298222"/>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28575</xdr:colOff>
      <xdr:row>0</xdr:row>
      <xdr:rowOff>180975</xdr:rowOff>
    </xdr:from>
    <xdr:to>
      <xdr:col>10</xdr:col>
      <xdr:colOff>108358</xdr:colOff>
      <xdr:row>23</xdr:row>
      <xdr:rowOff>91431</xdr:rowOff>
    </xdr:to>
    <xdr:pic>
      <xdr:nvPicPr>
        <xdr:cNvPr id="3" name="Obrázek 2"/>
        <xdr:cNvPicPr>
          <a:picLocks noChangeAspect="1"/>
        </xdr:cNvPicPr>
      </xdr:nvPicPr>
      <xdr:blipFill>
        <a:blip xmlns:r="http://schemas.openxmlformats.org/officeDocument/2006/relationships" r:embed="rId1"/>
        <a:stretch>
          <a:fillRect/>
        </a:stretch>
      </xdr:blipFill>
      <xdr:spPr>
        <a:xfrm>
          <a:off x="28575" y="180975"/>
          <a:ext cx="6175783" cy="429195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219074</xdr:colOff>
      <xdr:row>1</xdr:row>
      <xdr:rowOff>0</xdr:rowOff>
    </xdr:from>
    <xdr:to>
      <xdr:col>11</xdr:col>
      <xdr:colOff>595341</xdr:colOff>
      <xdr:row>30</xdr:row>
      <xdr:rowOff>20175</xdr:rowOff>
    </xdr:to>
    <xdr:pic>
      <xdr:nvPicPr>
        <xdr:cNvPr id="2" name="Obrázek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9074" y="161925"/>
          <a:ext cx="6691342" cy="4716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13</xdr:col>
      <xdr:colOff>0</xdr:colOff>
      <xdr:row>1</xdr:row>
      <xdr:rowOff>0</xdr:rowOff>
    </xdr:from>
    <xdr:to>
      <xdr:col>23</xdr:col>
      <xdr:colOff>596400</xdr:colOff>
      <xdr:row>30</xdr:row>
      <xdr:rowOff>20175</xdr:rowOff>
    </xdr:to>
    <xdr:pic>
      <xdr:nvPicPr>
        <xdr:cNvPr id="3" name="Obrázek 2"/>
        <xdr:cNvPicPr>
          <a:picLocks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239000" y="161925"/>
          <a:ext cx="6692400" cy="4716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219074</xdr:colOff>
      <xdr:row>31</xdr:row>
      <xdr:rowOff>0</xdr:rowOff>
    </xdr:from>
    <xdr:to>
      <xdr:col>11</xdr:col>
      <xdr:colOff>595341</xdr:colOff>
      <xdr:row>60</xdr:row>
      <xdr:rowOff>20175</xdr:rowOff>
    </xdr:to>
    <xdr:pic>
      <xdr:nvPicPr>
        <xdr:cNvPr id="4" name="Obrázek 3"/>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19074" y="5019675"/>
          <a:ext cx="6691342" cy="4716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13</xdr:col>
      <xdr:colOff>0</xdr:colOff>
      <xdr:row>30</xdr:row>
      <xdr:rowOff>161924</xdr:rowOff>
    </xdr:from>
    <xdr:to>
      <xdr:col>23</xdr:col>
      <xdr:colOff>596400</xdr:colOff>
      <xdr:row>60</xdr:row>
      <xdr:rowOff>20174</xdr:rowOff>
    </xdr:to>
    <xdr:pic>
      <xdr:nvPicPr>
        <xdr:cNvPr id="5" name="Obrázek 4"/>
        <xdr:cNvPicPr>
          <a:picLocks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239000" y="5019674"/>
          <a:ext cx="6692400" cy="4716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0</xdr:row>
      <xdr:rowOff>161924</xdr:rowOff>
    </xdr:from>
    <xdr:to>
      <xdr:col>12</xdr:col>
      <xdr:colOff>237879</xdr:colOff>
      <xdr:row>27</xdr:row>
      <xdr:rowOff>9524</xdr:rowOff>
    </xdr:to>
    <xdr:pic>
      <xdr:nvPicPr>
        <xdr:cNvPr id="2" name="Obrázek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9075" y="161924"/>
          <a:ext cx="6943479" cy="42195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13</xdr:col>
      <xdr:colOff>0</xdr:colOff>
      <xdr:row>1</xdr:row>
      <xdr:rowOff>0</xdr:rowOff>
    </xdr:from>
    <xdr:to>
      <xdr:col>24</xdr:col>
      <xdr:colOff>177837</xdr:colOff>
      <xdr:row>27</xdr:row>
      <xdr:rowOff>9150</xdr:rowOff>
    </xdr:to>
    <xdr:pic>
      <xdr:nvPicPr>
        <xdr:cNvPr id="3" name="Obrázek 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239000" y="161925"/>
          <a:ext cx="6883437" cy="4219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219074</xdr:colOff>
      <xdr:row>28</xdr:row>
      <xdr:rowOff>0</xdr:rowOff>
    </xdr:from>
    <xdr:to>
      <xdr:col>12</xdr:col>
      <xdr:colOff>237261</xdr:colOff>
      <xdr:row>54</xdr:row>
      <xdr:rowOff>9150</xdr:rowOff>
    </xdr:to>
    <xdr:pic>
      <xdr:nvPicPr>
        <xdr:cNvPr id="4" name="Obrázek 3"/>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19074" y="4533900"/>
          <a:ext cx="6942862" cy="4219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13</xdr:col>
      <xdr:colOff>0</xdr:colOff>
      <xdr:row>28</xdr:row>
      <xdr:rowOff>0</xdr:rowOff>
    </xdr:from>
    <xdr:to>
      <xdr:col>24</xdr:col>
      <xdr:colOff>177837</xdr:colOff>
      <xdr:row>54</xdr:row>
      <xdr:rowOff>9150</xdr:rowOff>
    </xdr:to>
    <xdr:pic>
      <xdr:nvPicPr>
        <xdr:cNvPr id="5" name="Obrázek 4"/>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239000" y="4533900"/>
          <a:ext cx="6883437" cy="4219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1</xdr:colOff>
      <xdr:row>10</xdr:row>
      <xdr:rowOff>0</xdr:rowOff>
    </xdr:from>
    <xdr:to>
      <xdr:col>12</xdr:col>
      <xdr:colOff>95251</xdr:colOff>
      <xdr:row>34</xdr:row>
      <xdr:rowOff>21382</xdr:rowOff>
    </xdr:to>
    <xdr:pic>
      <xdr:nvPicPr>
        <xdr:cNvPr id="2" name="Obrázek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9076" y="1619250"/>
          <a:ext cx="5334000" cy="390758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13</xdr:col>
      <xdr:colOff>0</xdr:colOff>
      <xdr:row>0</xdr:row>
      <xdr:rowOff>161924</xdr:rowOff>
    </xdr:from>
    <xdr:to>
      <xdr:col>24</xdr:col>
      <xdr:colOff>282130</xdr:colOff>
      <xdr:row>34</xdr:row>
      <xdr:rowOff>19049</xdr:rowOff>
    </xdr:to>
    <xdr:pic>
      <xdr:nvPicPr>
        <xdr:cNvPr id="3" name="Obrázek 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772150" y="161924"/>
          <a:ext cx="5520880" cy="53625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219074</xdr:colOff>
      <xdr:row>44</xdr:row>
      <xdr:rowOff>0</xdr:rowOff>
    </xdr:from>
    <xdr:to>
      <xdr:col>12</xdr:col>
      <xdr:colOff>106831</xdr:colOff>
      <xdr:row>68</xdr:row>
      <xdr:rowOff>19800</xdr:rowOff>
    </xdr:to>
    <xdr:pic>
      <xdr:nvPicPr>
        <xdr:cNvPr id="4" name="Obrázek 3"/>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19074" y="7124700"/>
          <a:ext cx="5345582" cy="3906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13</xdr:col>
      <xdr:colOff>0</xdr:colOff>
      <xdr:row>35</xdr:row>
      <xdr:rowOff>0</xdr:rowOff>
    </xdr:from>
    <xdr:to>
      <xdr:col>24</xdr:col>
      <xdr:colOff>283597</xdr:colOff>
      <xdr:row>68</xdr:row>
      <xdr:rowOff>20475</xdr:rowOff>
    </xdr:to>
    <xdr:pic>
      <xdr:nvPicPr>
        <xdr:cNvPr id="5" name="Obrázek 4"/>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772150" y="5667375"/>
          <a:ext cx="5522347" cy="5364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1</xdr:row>
      <xdr:rowOff>28575</xdr:rowOff>
    </xdr:from>
    <xdr:to>
      <xdr:col>10</xdr:col>
      <xdr:colOff>4233</xdr:colOff>
      <xdr:row>22</xdr:row>
      <xdr:rowOff>171451</xdr:rowOff>
    </xdr:to>
    <xdr:graphicFrame macro="">
      <xdr:nvGraphicFramePr>
        <xdr:cNvPr id="2" name="Graf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8</xdr:col>
      <xdr:colOff>0</xdr:colOff>
      <xdr:row>1</xdr:row>
      <xdr:rowOff>0</xdr:rowOff>
    </xdr:from>
    <xdr:to>
      <xdr:col>14</xdr:col>
      <xdr:colOff>495300</xdr:colOff>
      <xdr:row>23</xdr:row>
      <xdr:rowOff>0</xdr:rowOff>
    </xdr:to>
    <xdr:graphicFrame macro="">
      <xdr:nvGraphicFramePr>
        <xdr:cNvPr id="3" name="Graf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0</xdr:colOff>
      <xdr:row>1</xdr:row>
      <xdr:rowOff>0</xdr:rowOff>
    </xdr:from>
    <xdr:to>
      <xdr:col>21</xdr:col>
      <xdr:colOff>495299</xdr:colOff>
      <xdr:row>23</xdr:row>
      <xdr:rowOff>0</xdr:rowOff>
    </xdr:to>
    <xdr:graphicFrame macro="">
      <xdr:nvGraphicFramePr>
        <xdr:cNvPr id="4" name="Graf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1</xdr:colOff>
      <xdr:row>24</xdr:row>
      <xdr:rowOff>0</xdr:rowOff>
    </xdr:from>
    <xdr:to>
      <xdr:col>14</xdr:col>
      <xdr:colOff>504825</xdr:colOff>
      <xdr:row>46</xdr:row>
      <xdr:rowOff>0</xdr:rowOff>
    </xdr:to>
    <xdr:graphicFrame macro="">
      <xdr:nvGraphicFramePr>
        <xdr:cNvPr id="5" name="Graf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24</xdr:row>
      <xdr:rowOff>0</xdr:rowOff>
    </xdr:from>
    <xdr:to>
      <xdr:col>7</xdr:col>
      <xdr:colOff>495300</xdr:colOff>
      <xdr:row>46</xdr:row>
      <xdr:rowOff>0</xdr:rowOff>
    </xdr:to>
    <xdr:graphicFrame macro="">
      <xdr:nvGraphicFramePr>
        <xdr:cNvPr id="6" name="Graf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1</xdr:colOff>
      <xdr:row>1</xdr:row>
      <xdr:rowOff>1</xdr:rowOff>
    </xdr:from>
    <xdr:to>
      <xdr:col>7</xdr:col>
      <xdr:colOff>495301</xdr:colOff>
      <xdr:row>23</xdr:row>
      <xdr:rowOff>1</xdr:rowOff>
    </xdr:to>
    <xdr:graphicFrame macro="">
      <xdr:nvGraphicFramePr>
        <xdr:cNvPr id="7" name="Graf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2</xdr:row>
      <xdr:rowOff>123825</xdr:rowOff>
    </xdr:from>
    <xdr:to>
      <xdr:col>0</xdr:col>
      <xdr:colOff>0</xdr:colOff>
      <xdr:row>22</xdr:row>
      <xdr:rowOff>0</xdr:rowOff>
    </xdr:to>
    <xdr:sp macro="" textlink="">
      <xdr:nvSpPr>
        <xdr:cNvPr id="58880" name="Line 1"/>
        <xdr:cNvSpPr>
          <a:spLocks noChangeShapeType="1"/>
        </xdr:cNvSpPr>
      </xdr:nvSpPr>
      <xdr:spPr bwMode="auto">
        <a:xfrm>
          <a:off x="0" y="466725"/>
          <a:ext cx="0" cy="28765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xdr:row>
      <xdr:rowOff>85725</xdr:rowOff>
    </xdr:from>
    <xdr:to>
      <xdr:col>0</xdr:col>
      <xdr:colOff>0</xdr:colOff>
      <xdr:row>22</xdr:row>
      <xdr:rowOff>0</xdr:rowOff>
    </xdr:to>
    <xdr:sp macro="" textlink="">
      <xdr:nvSpPr>
        <xdr:cNvPr id="58881" name="Line 2"/>
        <xdr:cNvSpPr>
          <a:spLocks noChangeShapeType="1"/>
        </xdr:cNvSpPr>
      </xdr:nvSpPr>
      <xdr:spPr bwMode="auto">
        <a:xfrm flipV="1">
          <a:off x="0" y="428625"/>
          <a:ext cx="0" cy="29146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47625</xdr:colOff>
      <xdr:row>1</xdr:row>
      <xdr:rowOff>38100</xdr:rowOff>
    </xdr:from>
    <xdr:to>
      <xdr:col>13</xdr:col>
      <xdr:colOff>334849</xdr:colOff>
      <xdr:row>29</xdr:row>
      <xdr:rowOff>81238</xdr:rowOff>
    </xdr:to>
    <xdr:pic>
      <xdr:nvPicPr>
        <xdr:cNvPr id="7" name="Obrázek 6"/>
        <xdr:cNvPicPr>
          <a:picLocks noChangeAspect="1"/>
        </xdr:cNvPicPr>
      </xdr:nvPicPr>
      <xdr:blipFill>
        <a:blip xmlns:r="http://schemas.openxmlformats.org/officeDocument/2006/relationships" r:embed="rId1"/>
        <a:stretch>
          <a:fillRect/>
        </a:stretch>
      </xdr:blipFill>
      <xdr:spPr>
        <a:xfrm>
          <a:off x="47625" y="228600"/>
          <a:ext cx="8212024" cy="5377138"/>
        </a:xfrm>
        <a:prstGeom prst="rect">
          <a:avLst/>
        </a:prstGeom>
      </xdr:spPr>
    </xdr:pic>
    <xdr:clientData/>
  </xdr:twoCellAnchor>
  <xdr:twoCellAnchor editAs="oneCell">
    <xdr:from>
      <xdr:col>0</xdr:col>
      <xdr:colOff>47625</xdr:colOff>
      <xdr:row>31</xdr:row>
      <xdr:rowOff>38100</xdr:rowOff>
    </xdr:from>
    <xdr:to>
      <xdr:col>10</xdr:col>
      <xdr:colOff>261532</xdr:colOff>
      <xdr:row>53</xdr:row>
      <xdr:rowOff>23222</xdr:rowOff>
    </xdr:to>
    <xdr:pic>
      <xdr:nvPicPr>
        <xdr:cNvPr id="8" name="Obrázek 7"/>
        <xdr:cNvPicPr>
          <a:picLocks noChangeAspect="1"/>
        </xdr:cNvPicPr>
      </xdr:nvPicPr>
      <xdr:blipFill>
        <a:blip xmlns:r="http://schemas.openxmlformats.org/officeDocument/2006/relationships" r:embed="rId2"/>
        <a:stretch>
          <a:fillRect/>
        </a:stretch>
      </xdr:blipFill>
      <xdr:spPr>
        <a:xfrm>
          <a:off x="47625" y="5943600"/>
          <a:ext cx="6309907" cy="4176122"/>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76200</xdr:colOff>
      <xdr:row>1</xdr:row>
      <xdr:rowOff>19050</xdr:rowOff>
    </xdr:from>
    <xdr:to>
      <xdr:col>13</xdr:col>
      <xdr:colOff>229300</xdr:colOff>
      <xdr:row>25</xdr:row>
      <xdr:rowOff>165763</xdr:rowOff>
    </xdr:to>
    <xdr:pic>
      <xdr:nvPicPr>
        <xdr:cNvPr id="8" name="Obrázek 7"/>
        <xdr:cNvPicPr>
          <a:picLocks noChangeAspect="1"/>
        </xdr:cNvPicPr>
      </xdr:nvPicPr>
      <xdr:blipFill>
        <a:blip xmlns:r="http://schemas.openxmlformats.org/officeDocument/2006/relationships" r:embed="rId1"/>
        <a:stretch>
          <a:fillRect/>
        </a:stretch>
      </xdr:blipFill>
      <xdr:spPr>
        <a:xfrm>
          <a:off x="76200" y="209550"/>
          <a:ext cx="8077900" cy="4718713"/>
        </a:xfrm>
        <a:prstGeom prst="rect">
          <a:avLst/>
        </a:prstGeom>
      </xdr:spPr>
    </xdr:pic>
    <xdr:clientData/>
  </xdr:twoCellAnchor>
  <xdr:twoCellAnchor editAs="oneCell">
    <xdr:from>
      <xdr:col>0</xdr:col>
      <xdr:colOff>47625</xdr:colOff>
      <xdr:row>28</xdr:row>
      <xdr:rowOff>9525</xdr:rowOff>
    </xdr:from>
    <xdr:to>
      <xdr:col>9</xdr:col>
      <xdr:colOff>127355</xdr:colOff>
      <xdr:row>45</xdr:row>
      <xdr:rowOff>118019</xdr:rowOff>
    </xdr:to>
    <xdr:pic>
      <xdr:nvPicPr>
        <xdr:cNvPr id="9" name="Obrázek 8"/>
        <xdr:cNvPicPr>
          <a:picLocks noChangeAspect="1"/>
        </xdr:cNvPicPr>
      </xdr:nvPicPr>
      <xdr:blipFill>
        <a:blip xmlns:r="http://schemas.openxmlformats.org/officeDocument/2006/relationships" r:embed="rId2"/>
        <a:stretch>
          <a:fillRect/>
        </a:stretch>
      </xdr:blipFill>
      <xdr:spPr>
        <a:xfrm>
          <a:off x="47625" y="5343525"/>
          <a:ext cx="5566130" cy="334699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nty\Budovy\Energie\Struktura%20a%20&#269;asov&#253;%20v&#253;voj%20provozn&#237;ch%20n&#225;klad&#367;%20Budov%20UPa%202011-2015%20v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kumenty\Budovy\Energie\Struktura%20a%20&#269;asov&#253;%20v&#253;voj%20provozn&#237;ch%20n&#225;klad&#367;%20Budov%20UPa%202011-2015%20v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vozní náklady budov"/>
      <sheetName val="Média"/>
    </sheetNames>
    <sheetDataSet>
      <sheetData sheetId="0">
        <row r="3">
          <cell r="H3" t="str">
            <v>Média</v>
          </cell>
          <cell r="M3" t="str">
            <v>Externí služby</v>
          </cell>
          <cell r="R3" t="str">
            <v>Opravy a údržba</v>
          </cell>
          <cell r="W3" t="str">
            <v>Spotřebovaný materiál</v>
          </cell>
          <cell r="AB3" t="str">
            <v>Správa budov - Osobní n.</v>
          </cell>
        </row>
        <row r="38">
          <cell r="L38">
            <v>33771.39316</v>
          </cell>
          <cell r="Q38">
            <v>9641.2729999999992</v>
          </cell>
          <cell r="V38">
            <v>14841.916999999999</v>
          </cell>
          <cell r="AA38">
            <v>1564.203</v>
          </cell>
          <cell r="AF38">
            <v>19078.598000000002</v>
          </cell>
        </row>
      </sheetData>
      <sheetData sheetId="1">
        <row r="4">
          <cell r="C4" t="str">
            <v>Spotřeba v MWh</v>
          </cell>
          <cell r="N4" t="str">
            <v>Spotřeba v GJ</v>
          </cell>
          <cell r="S4" t="str">
            <v>Spotřeba v tKč</v>
          </cell>
          <cell r="Y4" t="str">
            <v>Spotřeba v MWh</v>
          </cell>
          <cell r="AD4" t="str">
            <v>Spotřeba v tKč</v>
          </cell>
        </row>
        <row r="5">
          <cell r="S5">
            <v>2011</v>
          </cell>
          <cell r="T5" t="str">
            <v>2012</v>
          </cell>
          <cell r="U5" t="str">
            <v>2013</v>
          </cell>
          <cell r="V5">
            <v>2014</v>
          </cell>
          <cell r="W5" t="str">
            <v>2015</v>
          </cell>
          <cell r="Y5">
            <v>2011</v>
          </cell>
          <cell r="Z5">
            <v>2012</v>
          </cell>
          <cell r="AA5">
            <v>2013</v>
          </cell>
          <cell r="AB5">
            <v>2014</v>
          </cell>
          <cell r="AC5">
            <v>2015</v>
          </cell>
          <cell r="AD5">
            <v>2011</v>
          </cell>
          <cell r="AE5">
            <v>2012</v>
          </cell>
          <cell r="AF5">
            <v>2013</v>
          </cell>
          <cell r="AG5">
            <v>2014</v>
          </cell>
          <cell r="AH5">
            <v>2015</v>
          </cell>
        </row>
        <row r="38">
          <cell r="N38">
            <v>43600.303550619035</v>
          </cell>
          <cell r="O38">
            <v>46541.054562770521</v>
          </cell>
          <cell r="P38">
            <v>51849.403446832199</v>
          </cell>
          <cell r="Q38">
            <v>39575.073455087302</v>
          </cell>
          <cell r="R38">
            <v>41044.393164746078</v>
          </cell>
          <cell r="S38">
            <v>13291.073780000001</v>
          </cell>
          <cell r="T38">
            <v>14463.425670000001</v>
          </cell>
          <cell r="U38">
            <v>16530.9434</v>
          </cell>
          <cell r="V38">
            <v>14726.656000000001</v>
          </cell>
          <cell r="W38">
            <v>14983.756649999999</v>
          </cell>
          <cell r="Y38">
            <v>933.10740909551407</v>
          </cell>
          <cell r="Z38">
            <v>1001.9549716801866</v>
          </cell>
          <cell r="AA38">
            <v>927.58761597771445</v>
          </cell>
          <cell r="AB38">
            <v>880.11755625679655</v>
          </cell>
          <cell r="AC38">
            <v>922.88728042262869</v>
          </cell>
          <cell r="AD38">
            <v>948.90611999999999</v>
          </cell>
          <cell r="AE38">
            <v>949.97500000000002</v>
          </cell>
          <cell r="AF38">
            <v>937.89549</v>
          </cell>
          <cell r="AG38">
            <v>855.40899999999999</v>
          </cell>
          <cell r="AH38">
            <v>883.79111999999998</v>
          </cell>
        </row>
        <row r="66">
          <cell r="C66" t="str">
            <v>Spotřeba v m3</v>
          </cell>
          <cell r="H66" t="str">
            <v>Spotřeba v tKč</v>
          </cell>
          <cell r="N66" t="str">
            <v>Spotřeba v m3</v>
          </cell>
          <cell r="S66" t="str">
            <v>Spotřeba v tKč</v>
          </cell>
        </row>
        <row r="67">
          <cell r="C67">
            <v>2011</v>
          </cell>
          <cell r="D67">
            <v>2012</v>
          </cell>
          <cell r="E67">
            <v>2013</v>
          </cell>
          <cell r="F67">
            <v>2014</v>
          </cell>
          <cell r="G67">
            <v>2015</v>
          </cell>
          <cell r="H67">
            <v>2011</v>
          </cell>
          <cell r="I67">
            <v>2012</v>
          </cell>
          <cell r="J67">
            <v>2013</v>
          </cell>
          <cell r="K67">
            <v>2014</v>
          </cell>
          <cell r="L67">
            <v>2015</v>
          </cell>
          <cell r="N67">
            <v>2011</v>
          </cell>
          <cell r="O67">
            <v>2012</v>
          </cell>
          <cell r="P67">
            <v>2013</v>
          </cell>
          <cell r="Q67">
            <v>2014</v>
          </cell>
          <cell r="R67">
            <v>2015</v>
          </cell>
          <cell r="S67">
            <v>2011</v>
          </cell>
          <cell r="T67">
            <v>2012</v>
          </cell>
          <cell r="U67">
            <v>2013</v>
          </cell>
          <cell r="V67">
            <v>2014</v>
          </cell>
          <cell r="W67">
            <v>2015</v>
          </cell>
        </row>
        <row r="100">
          <cell r="C100">
            <v>66335.432987281703</v>
          </cell>
          <cell r="D100">
            <v>69847.356221986207</v>
          </cell>
          <cell r="E100">
            <v>65793.877341614352</v>
          </cell>
          <cell r="F100">
            <v>62118.299041026934</v>
          </cell>
          <cell r="G100">
            <v>58979.828067474125</v>
          </cell>
          <cell r="H100">
            <v>4245.9905699999999</v>
          </cell>
          <cell r="I100">
            <v>4572.6878285714283</v>
          </cell>
          <cell r="J100">
            <v>4437.9632899999997</v>
          </cell>
          <cell r="K100">
            <v>4196.3231300000007</v>
          </cell>
          <cell r="L100">
            <v>3985.7391499999999</v>
          </cell>
          <cell r="N100">
            <v>23524.921434533913</v>
          </cell>
          <cell r="O100">
            <v>23399.769156820144</v>
          </cell>
          <cell r="P100">
            <v>23468.984328436574</v>
          </cell>
          <cell r="Q100">
            <v>23468.984328436574</v>
          </cell>
          <cell r="R100">
            <v>23173.071</v>
          </cell>
          <cell r="S100">
            <v>817.51426000000004</v>
          </cell>
          <cell r="T100">
            <v>851.9499814285715</v>
          </cell>
          <cell r="U100">
            <v>896.66378000000009</v>
          </cell>
          <cell r="V100">
            <v>898.82025999999996</v>
          </cell>
          <cell r="W100">
            <v>896.44111000000009</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vozní náklady budov"/>
      <sheetName val="Média"/>
    </sheetNames>
    <sheetDataSet>
      <sheetData sheetId="0"/>
      <sheetData sheetId="1">
        <row r="4">
          <cell r="C4" t="str">
            <v>Spotřeba v MWh</v>
          </cell>
          <cell r="H4" t="str">
            <v>Spotřeba v tKč</v>
          </cell>
        </row>
        <row r="5">
          <cell r="H5">
            <v>2011</v>
          </cell>
          <cell r="I5" t="str">
            <v>2012</v>
          </cell>
          <cell r="J5" t="str">
            <v>2013</v>
          </cell>
          <cell r="K5">
            <v>2014</v>
          </cell>
          <cell r="L5" t="str">
            <v>2015</v>
          </cell>
        </row>
        <row r="38">
          <cell r="C38">
            <v>5019.7560255681883</v>
          </cell>
          <cell r="D38">
            <v>5151.7729813123597</v>
          </cell>
          <cell r="E38">
            <v>5430.5786590841089</v>
          </cell>
          <cell r="F38">
            <v>5312.4007441704807</v>
          </cell>
          <cell r="G38">
            <v>5456.6383766032659</v>
          </cell>
          <cell r="H38">
            <v>17947.253000000001</v>
          </cell>
          <cell r="I38">
            <v>18631.837729999999</v>
          </cell>
          <cell r="J38">
            <v>15647.72056</v>
          </cell>
          <cell r="K38">
            <v>14276.975</v>
          </cell>
          <cell r="L38">
            <v>13021.665129999999</v>
          </cell>
        </row>
      </sheetData>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23.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s>
</file>

<file path=xl/worksheets/_rels/sheet25.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36.bin"/><Relationship Id="rId1" Type="http://schemas.openxmlformats.org/officeDocument/2006/relationships/printerSettings" Target="../printerSettings/printerSettings35.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s>
</file>

<file path=xl/worksheets/_rels/sheet27.xml.rels><?xml version="1.0" encoding="UTF-8" standalone="yes"?>
<Relationships xmlns="http://schemas.openxmlformats.org/package/2006/relationships"><Relationship Id="rId2" Type="http://schemas.openxmlformats.org/officeDocument/2006/relationships/printerSettings" Target="../printerSettings/printerSettings40.bin"/><Relationship Id="rId1" Type="http://schemas.openxmlformats.org/officeDocument/2006/relationships/printerSettings" Target="../printerSettings/printerSettings39.bin"/></Relationships>
</file>

<file path=xl/worksheets/_rels/sheet28.xml.rels><?xml version="1.0" encoding="UTF-8" standalone="yes"?>
<Relationships xmlns="http://schemas.openxmlformats.org/package/2006/relationships"><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s>
</file>

<file path=xl/worksheets/_rels/sheet29.xml.rels><?xml version="1.0" encoding="UTF-8" standalone="yes"?>
<Relationships xmlns="http://schemas.openxmlformats.org/package/2006/relationships"><Relationship Id="rId2" Type="http://schemas.openxmlformats.org/officeDocument/2006/relationships/printerSettings" Target="../printerSettings/printerSettings44.bin"/><Relationship Id="rId1" Type="http://schemas.openxmlformats.org/officeDocument/2006/relationships/printerSettings" Target="../printerSettings/printerSettings4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30.xml.rels><?xml version="1.0" encoding="UTF-8" standalone="yes"?>
<Relationships xmlns="http://schemas.openxmlformats.org/package/2006/relationships"><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40.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42.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43.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44.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F147"/>
  <sheetViews>
    <sheetView tabSelected="1" zoomScaleNormal="100" workbookViewId="0">
      <pane ySplit="5" topLeftCell="A32" activePane="bottomLeft" state="frozenSplit"/>
      <selection pane="bottomLeft" activeCell="K64" sqref="K64"/>
    </sheetView>
  </sheetViews>
  <sheetFormatPr defaultRowHeight="12.75" customHeight="1" x14ac:dyDescent="0.25"/>
  <cols>
    <col min="1" max="1" width="76.28515625" style="31" customWidth="1"/>
    <col min="2" max="2" width="13" style="32" customWidth="1"/>
    <col min="3" max="3" width="7.42578125" style="32" customWidth="1"/>
    <col min="4" max="4" width="10.5703125" style="187" customWidth="1"/>
    <col min="5" max="5" width="12.5703125" style="187" customWidth="1"/>
    <col min="6" max="16384" width="9.140625" style="31"/>
  </cols>
  <sheetData>
    <row r="1" spans="1:6" ht="12.75" customHeight="1" x14ac:dyDescent="0.25">
      <c r="A1" s="1222" t="s">
        <v>775</v>
      </c>
      <c r="B1" s="1222"/>
      <c r="C1" s="1222"/>
      <c r="D1" s="1222"/>
      <c r="E1" s="1222"/>
    </row>
    <row r="2" spans="1:6" ht="12.75" customHeight="1" thickBot="1" x14ac:dyDescent="0.3">
      <c r="A2" s="1223"/>
      <c r="B2" s="1223"/>
      <c r="C2" s="1223"/>
      <c r="D2" s="1223"/>
      <c r="E2" s="1223"/>
    </row>
    <row r="3" spans="1:6" ht="27.95" customHeight="1" thickBot="1" x14ac:dyDescent="0.3">
      <c r="A3" s="1215" t="s">
        <v>633</v>
      </c>
      <c r="B3" s="1216"/>
      <c r="C3" s="1216"/>
      <c r="D3" s="1216"/>
      <c r="E3" s="1217"/>
      <c r="F3" s="130"/>
    </row>
    <row r="4" spans="1:6" ht="12.75" customHeight="1" thickBot="1" x14ac:dyDescent="0.3">
      <c r="A4" s="1212" t="s">
        <v>584</v>
      </c>
      <c r="B4" s="1213"/>
      <c r="C4" s="1213"/>
      <c r="D4" s="1213"/>
      <c r="E4" s="1214"/>
    </row>
    <row r="5" spans="1:6" ht="18" customHeight="1" thickBot="1" x14ac:dyDescent="0.3">
      <c r="A5" s="33" t="s">
        <v>585</v>
      </c>
      <c r="B5" s="34" t="s">
        <v>634</v>
      </c>
      <c r="C5" s="35" t="s">
        <v>787</v>
      </c>
      <c r="D5" s="170" t="s">
        <v>788</v>
      </c>
      <c r="E5" s="171" t="s">
        <v>789</v>
      </c>
    </row>
    <row r="6" spans="1:6" ht="12.75" customHeight="1" x14ac:dyDescent="0.25">
      <c r="A6" s="36" t="s">
        <v>0</v>
      </c>
      <c r="B6" s="1220"/>
      <c r="C6" s="1221"/>
      <c r="D6" s="172" t="s">
        <v>565</v>
      </c>
      <c r="E6" s="173" t="s">
        <v>568</v>
      </c>
    </row>
    <row r="7" spans="1:6" ht="12.75" customHeight="1" x14ac:dyDescent="0.25">
      <c r="A7" s="39" t="s">
        <v>1279</v>
      </c>
      <c r="B7" s="40" t="s">
        <v>1</v>
      </c>
      <c r="C7" s="41" t="s">
        <v>2</v>
      </c>
      <c r="D7" s="174">
        <f>D8+D16+D27+D35</f>
        <v>2516773</v>
      </c>
      <c r="E7" s="175">
        <f>E8+E16+E27+E35</f>
        <v>2639526</v>
      </c>
    </row>
    <row r="8" spans="1:6" ht="12.75" customHeight="1" x14ac:dyDescent="0.25">
      <c r="A8" s="39" t="s">
        <v>3</v>
      </c>
      <c r="B8" s="40" t="s">
        <v>4</v>
      </c>
      <c r="C8" s="41" t="s">
        <v>5</v>
      </c>
      <c r="D8" s="176">
        <f>SUM(D9:D15)</f>
        <v>119359</v>
      </c>
      <c r="E8" s="177">
        <f>SUM(E9:E15)</f>
        <v>123714</v>
      </c>
    </row>
    <row r="9" spans="1:6" ht="12.75" customHeight="1" x14ac:dyDescent="0.25">
      <c r="A9" s="39" t="s">
        <v>6</v>
      </c>
      <c r="B9" s="40" t="s">
        <v>7</v>
      </c>
      <c r="C9" s="41" t="s">
        <v>8</v>
      </c>
      <c r="D9" s="178">
        <v>0</v>
      </c>
      <c r="E9" s="179">
        <v>0</v>
      </c>
    </row>
    <row r="10" spans="1:6" ht="12.75" customHeight="1" x14ac:dyDescent="0.25">
      <c r="A10" s="39" t="s">
        <v>9</v>
      </c>
      <c r="B10" s="40" t="s">
        <v>10</v>
      </c>
      <c r="C10" s="41" t="s">
        <v>11</v>
      </c>
      <c r="D10" s="178">
        <v>72152</v>
      </c>
      <c r="E10" s="179">
        <v>76728</v>
      </c>
    </row>
    <row r="11" spans="1:6" ht="12.75" customHeight="1" x14ac:dyDescent="0.25">
      <c r="A11" s="39" t="s">
        <v>12</v>
      </c>
      <c r="B11" s="40" t="s">
        <v>13</v>
      </c>
      <c r="C11" s="41" t="s">
        <v>14</v>
      </c>
      <c r="D11" s="178">
        <v>41997</v>
      </c>
      <c r="E11" s="179">
        <v>41996</v>
      </c>
    </row>
    <row r="12" spans="1:6" ht="12.75" customHeight="1" x14ac:dyDescent="0.25">
      <c r="A12" s="39" t="s">
        <v>15</v>
      </c>
      <c r="B12" s="40" t="s">
        <v>16</v>
      </c>
      <c r="C12" s="41" t="s">
        <v>17</v>
      </c>
      <c r="D12" s="178">
        <v>4490</v>
      </c>
      <c r="E12" s="179">
        <v>4270</v>
      </c>
    </row>
    <row r="13" spans="1:6" ht="12.75" customHeight="1" x14ac:dyDescent="0.25">
      <c r="A13" s="39" t="s">
        <v>18</v>
      </c>
      <c r="B13" s="40" t="s">
        <v>19</v>
      </c>
      <c r="C13" s="41" t="s">
        <v>20</v>
      </c>
      <c r="D13" s="178">
        <v>720</v>
      </c>
      <c r="E13" s="179">
        <v>720</v>
      </c>
    </row>
    <row r="14" spans="1:6" ht="12.75" customHeight="1" x14ac:dyDescent="0.25">
      <c r="A14" s="39" t="s">
        <v>21</v>
      </c>
      <c r="B14" s="40" t="s">
        <v>22</v>
      </c>
      <c r="C14" s="41" t="s">
        <v>23</v>
      </c>
      <c r="D14" s="178">
        <v>0</v>
      </c>
      <c r="E14" s="179">
        <v>0</v>
      </c>
    </row>
    <row r="15" spans="1:6" ht="12.75" customHeight="1" x14ac:dyDescent="0.25">
      <c r="A15" s="39" t="s">
        <v>24</v>
      </c>
      <c r="B15" s="40" t="s">
        <v>25</v>
      </c>
      <c r="C15" s="41" t="s">
        <v>26</v>
      </c>
      <c r="D15" s="178">
        <v>0</v>
      </c>
      <c r="E15" s="179">
        <v>0</v>
      </c>
    </row>
    <row r="16" spans="1:6" ht="12.75" customHeight="1" x14ac:dyDescent="0.25">
      <c r="A16" s="42" t="s">
        <v>27</v>
      </c>
      <c r="B16" s="40" t="s">
        <v>28</v>
      </c>
      <c r="C16" s="41" t="s">
        <v>29</v>
      </c>
      <c r="D16" s="176">
        <f>SUM(D17:D26)</f>
        <v>3610357</v>
      </c>
      <c r="E16" s="177">
        <f>SUM(E17:E26)</f>
        <v>3875100</v>
      </c>
    </row>
    <row r="17" spans="1:5" ht="12.75" customHeight="1" x14ac:dyDescent="0.25">
      <c r="A17" s="39" t="s">
        <v>30</v>
      </c>
      <c r="B17" s="40" t="s">
        <v>31</v>
      </c>
      <c r="C17" s="41" t="s">
        <v>32</v>
      </c>
      <c r="D17" s="178">
        <v>61502</v>
      </c>
      <c r="E17" s="179">
        <v>63261</v>
      </c>
    </row>
    <row r="18" spans="1:5" ht="12.75" customHeight="1" x14ac:dyDescent="0.25">
      <c r="A18" s="39" t="s">
        <v>1280</v>
      </c>
      <c r="B18" s="40" t="s">
        <v>33</v>
      </c>
      <c r="C18" s="41" t="s">
        <v>34</v>
      </c>
      <c r="D18" s="178">
        <v>628</v>
      </c>
      <c r="E18" s="179">
        <v>1304</v>
      </c>
    </row>
    <row r="19" spans="1:5" ht="12.75" customHeight="1" x14ac:dyDescent="0.25">
      <c r="A19" s="39" t="s">
        <v>35</v>
      </c>
      <c r="B19" s="40" t="s">
        <v>36</v>
      </c>
      <c r="C19" s="41" t="s">
        <v>37</v>
      </c>
      <c r="D19" s="178">
        <v>2396380</v>
      </c>
      <c r="E19" s="179">
        <v>2606197</v>
      </c>
    </row>
    <row r="20" spans="1:5" ht="12.75" customHeight="1" x14ac:dyDescent="0.25">
      <c r="A20" s="39" t="s">
        <v>38</v>
      </c>
      <c r="B20" s="40" t="s">
        <v>39</v>
      </c>
      <c r="C20" s="41" t="s">
        <v>40</v>
      </c>
      <c r="D20" s="178">
        <v>1017339</v>
      </c>
      <c r="E20" s="179">
        <v>1088005</v>
      </c>
    </row>
    <row r="21" spans="1:5" ht="12.75" customHeight="1" x14ac:dyDescent="0.25">
      <c r="A21" s="39" t="s">
        <v>41</v>
      </c>
      <c r="B21" s="40" t="s">
        <v>42</v>
      </c>
      <c r="C21" s="41" t="s">
        <v>43</v>
      </c>
      <c r="D21" s="178">
        <v>0</v>
      </c>
      <c r="E21" s="179">
        <v>0</v>
      </c>
    </row>
    <row r="22" spans="1:5" ht="12.75" customHeight="1" x14ac:dyDescent="0.25">
      <c r="A22" s="39" t="s">
        <v>44</v>
      </c>
      <c r="B22" s="40" t="s">
        <v>45</v>
      </c>
      <c r="C22" s="41" t="s">
        <v>46</v>
      </c>
      <c r="D22" s="178">
        <v>0</v>
      </c>
      <c r="E22" s="179">
        <v>0</v>
      </c>
    </row>
    <row r="23" spans="1:5" ht="12.75" customHeight="1" x14ac:dyDescent="0.25">
      <c r="A23" s="39" t="s">
        <v>47</v>
      </c>
      <c r="B23" s="40" t="s">
        <v>48</v>
      </c>
      <c r="C23" s="41" t="s">
        <v>49</v>
      </c>
      <c r="D23" s="178">
        <v>85128</v>
      </c>
      <c r="E23" s="179">
        <v>77580</v>
      </c>
    </row>
    <row r="24" spans="1:5" ht="12.75" customHeight="1" x14ac:dyDescent="0.25">
      <c r="A24" s="39" t="s">
        <v>50</v>
      </c>
      <c r="B24" s="40" t="s">
        <v>51</v>
      </c>
      <c r="C24" s="41" t="s">
        <v>52</v>
      </c>
      <c r="D24" s="178">
        <v>1634</v>
      </c>
      <c r="E24" s="179">
        <v>1634</v>
      </c>
    </row>
    <row r="25" spans="1:5" ht="12.75" customHeight="1" x14ac:dyDescent="0.25">
      <c r="A25" s="39" t="s">
        <v>53</v>
      </c>
      <c r="B25" s="40" t="s">
        <v>54</v>
      </c>
      <c r="C25" s="41" t="s">
        <v>55</v>
      </c>
      <c r="D25" s="178">
        <v>47746</v>
      </c>
      <c r="E25" s="179">
        <v>37119</v>
      </c>
    </row>
    <row r="26" spans="1:5" ht="12.75" customHeight="1" x14ac:dyDescent="0.25">
      <c r="A26" s="39" t="s">
        <v>1281</v>
      </c>
      <c r="B26" s="40" t="s">
        <v>56</v>
      </c>
      <c r="C26" s="41" t="s">
        <v>57</v>
      </c>
      <c r="D26" s="178">
        <v>0</v>
      </c>
      <c r="E26" s="179">
        <v>0</v>
      </c>
    </row>
    <row r="27" spans="1:5" ht="12.75" customHeight="1" x14ac:dyDescent="0.25">
      <c r="A27" s="42" t="s">
        <v>58</v>
      </c>
      <c r="B27" s="40" t="s">
        <v>59</v>
      </c>
      <c r="C27" s="41" t="s">
        <v>60</v>
      </c>
      <c r="D27" s="176">
        <f>SUM(D28:D34)</f>
        <v>340</v>
      </c>
      <c r="E27" s="177">
        <f>SUM(E28:E34)</f>
        <v>340</v>
      </c>
    </row>
    <row r="28" spans="1:5" ht="12.75" customHeight="1" x14ac:dyDescent="0.25">
      <c r="A28" s="39" t="s">
        <v>61</v>
      </c>
      <c r="B28" s="40" t="s">
        <v>62</v>
      </c>
      <c r="C28" s="41" t="s">
        <v>63</v>
      </c>
      <c r="D28" s="178">
        <v>0</v>
      </c>
      <c r="E28" s="179">
        <v>0</v>
      </c>
    </row>
    <row r="29" spans="1:5" ht="12.75" customHeight="1" x14ac:dyDescent="0.25">
      <c r="A29" s="39" t="s">
        <v>64</v>
      </c>
      <c r="B29" s="40" t="s">
        <v>65</v>
      </c>
      <c r="C29" s="41" t="s">
        <v>66</v>
      </c>
      <c r="D29" s="178">
        <v>0</v>
      </c>
      <c r="E29" s="179">
        <v>0</v>
      </c>
    </row>
    <row r="30" spans="1:5" ht="12.75" customHeight="1" x14ac:dyDescent="0.25">
      <c r="A30" s="39" t="s">
        <v>67</v>
      </c>
      <c r="B30" s="40" t="s">
        <v>68</v>
      </c>
      <c r="C30" s="41" t="s">
        <v>69</v>
      </c>
      <c r="D30" s="178">
        <v>0</v>
      </c>
      <c r="E30" s="179">
        <v>0</v>
      </c>
    </row>
    <row r="31" spans="1:5" ht="12.75" customHeight="1" x14ac:dyDescent="0.25">
      <c r="A31" s="39" t="s">
        <v>70</v>
      </c>
      <c r="B31" s="40" t="s">
        <v>71</v>
      </c>
      <c r="C31" s="41" t="s">
        <v>72</v>
      </c>
      <c r="D31" s="178">
        <v>0</v>
      </c>
      <c r="E31" s="179">
        <v>0</v>
      </c>
    </row>
    <row r="32" spans="1:5" ht="12.75" customHeight="1" x14ac:dyDescent="0.25">
      <c r="A32" s="39" t="s">
        <v>73</v>
      </c>
      <c r="B32" s="40" t="s">
        <v>74</v>
      </c>
      <c r="C32" s="41" t="s">
        <v>75</v>
      </c>
      <c r="D32" s="178">
        <v>0</v>
      </c>
      <c r="E32" s="179">
        <v>0</v>
      </c>
    </row>
    <row r="33" spans="1:5" ht="12.75" customHeight="1" x14ac:dyDescent="0.25">
      <c r="A33" s="39" t="s">
        <v>76</v>
      </c>
      <c r="B33" s="40" t="s">
        <v>77</v>
      </c>
      <c r="C33" s="41" t="s">
        <v>78</v>
      </c>
      <c r="D33" s="178">
        <v>340</v>
      </c>
      <c r="E33" s="179">
        <v>340</v>
      </c>
    </row>
    <row r="34" spans="1:5" ht="12.75" customHeight="1" x14ac:dyDescent="0.25">
      <c r="A34" s="39" t="s">
        <v>579</v>
      </c>
      <c r="B34" s="40" t="s">
        <v>79</v>
      </c>
      <c r="C34" s="41" t="s">
        <v>80</v>
      </c>
      <c r="D34" s="178">
        <v>0</v>
      </c>
      <c r="E34" s="179">
        <v>0</v>
      </c>
    </row>
    <row r="35" spans="1:5" ht="12.75" customHeight="1" x14ac:dyDescent="0.25">
      <c r="A35" s="42" t="s">
        <v>81</v>
      </c>
      <c r="B35" s="40" t="s">
        <v>82</v>
      </c>
      <c r="C35" s="41" t="s">
        <v>83</v>
      </c>
      <c r="D35" s="176">
        <f>SUM(D36:D46)</f>
        <v>-1213283</v>
      </c>
      <c r="E35" s="177">
        <f>SUM(E36:E46)</f>
        <v>-1359628</v>
      </c>
    </row>
    <row r="36" spans="1:5" ht="12.75" customHeight="1" x14ac:dyDescent="0.25">
      <c r="A36" s="39" t="s">
        <v>84</v>
      </c>
      <c r="B36" s="40" t="s">
        <v>85</v>
      </c>
      <c r="C36" s="41" t="s">
        <v>86</v>
      </c>
      <c r="D36" s="178">
        <v>0</v>
      </c>
      <c r="E36" s="179">
        <v>0</v>
      </c>
    </row>
    <row r="37" spans="1:5" ht="12.75" customHeight="1" x14ac:dyDescent="0.25">
      <c r="A37" s="39" t="s">
        <v>87</v>
      </c>
      <c r="B37" s="40" t="s">
        <v>88</v>
      </c>
      <c r="C37" s="41" t="s">
        <v>89</v>
      </c>
      <c r="D37" s="178">
        <v>-56560</v>
      </c>
      <c r="E37" s="179">
        <v>-64352</v>
      </c>
    </row>
    <row r="38" spans="1:5" ht="12.75" customHeight="1" x14ac:dyDescent="0.25">
      <c r="A38" s="39" t="s">
        <v>90</v>
      </c>
      <c r="B38" s="40" t="s">
        <v>91</v>
      </c>
      <c r="C38" s="41" t="s">
        <v>92</v>
      </c>
      <c r="D38" s="178">
        <v>-13559</v>
      </c>
      <c r="E38" s="179">
        <v>-20485</v>
      </c>
    </row>
    <row r="39" spans="1:5" ht="12.75" customHeight="1" x14ac:dyDescent="0.25">
      <c r="A39" s="39" t="s">
        <v>1282</v>
      </c>
      <c r="B39" s="40" t="s">
        <v>93</v>
      </c>
      <c r="C39" s="41" t="s">
        <v>94</v>
      </c>
      <c r="D39" s="178">
        <v>-4490</v>
      </c>
      <c r="E39" s="179">
        <v>-4270</v>
      </c>
    </row>
    <row r="40" spans="1:5" ht="12.75" customHeight="1" x14ac:dyDescent="0.25">
      <c r="A40" s="39" t="s">
        <v>1283</v>
      </c>
      <c r="B40" s="40" t="s">
        <v>95</v>
      </c>
      <c r="C40" s="41" t="s">
        <v>96</v>
      </c>
      <c r="D40" s="178">
        <v>-708</v>
      </c>
      <c r="E40" s="179">
        <v>-720</v>
      </c>
    </row>
    <row r="41" spans="1:5" ht="12.75" customHeight="1" x14ac:dyDescent="0.25">
      <c r="A41" s="39" t="s">
        <v>97</v>
      </c>
      <c r="B41" s="40" t="s">
        <v>98</v>
      </c>
      <c r="C41" s="41" t="s">
        <v>99</v>
      </c>
      <c r="D41" s="178">
        <v>-420769</v>
      </c>
      <c r="E41" s="179">
        <v>-470371</v>
      </c>
    </row>
    <row r="42" spans="1:5" ht="12.75" customHeight="1" x14ac:dyDescent="0.25">
      <c r="A42" s="39" t="s">
        <v>1284</v>
      </c>
      <c r="B42" s="40" t="s">
        <v>100</v>
      </c>
      <c r="C42" s="41" t="s">
        <v>101</v>
      </c>
      <c r="D42" s="178">
        <v>-630516</v>
      </c>
      <c r="E42" s="179">
        <v>-720275</v>
      </c>
    </row>
    <row r="43" spans="1:5" ht="12.75" customHeight="1" x14ac:dyDescent="0.25">
      <c r="A43" s="39" t="s">
        <v>102</v>
      </c>
      <c r="B43" s="40" t="s">
        <v>103</v>
      </c>
      <c r="C43" s="41" t="s">
        <v>104</v>
      </c>
      <c r="D43" s="178">
        <v>0</v>
      </c>
      <c r="E43" s="179">
        <v>0</v>
      </c>
    </row>
    <row r="44" spans="1:5" ht="12.75" customHeight="1" x14ac:dyDescent="0.25">
      <c r="A44" s="39" t="s">
        <v>105</v>
      </c>
      <c r="B44" s="40" t="s">
        <v>106</v>
      </c>
      <c r="C44" s="41" t="s">
        <v>107</v>
      </c>
      <c r="D44" s="178">
        <v>0</v>
      </c>
      <c r="E44" s="179">
        <v>0</v>
      </c>
    </row>
    <row r="45" spans="1:5" ht="12.75" customHeight="1" x14ac:dyDescent="0.25">
      <c r="A45" s="39" t="s">
        <v>664</v>
      </c>
      <c r="B45" s="40" t="s">
        <v>108</v>
      </c>
      <c r="C45" s="41" t="s">
        <v>109</v>
      </c>
      <c r="D45" s="178">
        <v>-85128</v>
      </c>
      <c r="E45" s="179">
        <v>-77580</v>
      </c>
    </row>
    <row r="46" spans="1:5" ht="13.5" thickBot="1" x14ac:dyDescent="0.3">
      <c r="A46" s="43" t="s">
        <v>665</v>
      </c>
      <c r="B46" s="44" t="s">
        <v>110</v>
      </c>
      <c r="C46" s="45" t="s">
        <v>111</v>
      </c>
      <c r="D46" s="180">
        <v>-1553</v>
      </c>
      <c r="E46" s="181">
        <v>-1575</v>
      </c>
    </row>
    <row r="47" spans="1:5" ht="12.75" customHeight="1" x14ac:dyDescent="0.25">
      <c r="A47" s="46" t="s">
        <v>112</v>
      </c>
      <c r="B47" s="47" t="s">
        <v>113</v>
      </c>
      <c r="C47" s="48" t="s">
        <v>114</v>
      </c>
      <c r="D47" s="182">
        <f>D48+D58+D78+D87</f>
        <v>625340</v>
      </c>
      <c r="E47" s="183">
        <f>E48+E58+E78+E87</f>
        <v>531119</v>
      </c>
    </row>
    <row r="48" spans="1:5" ht="12.75" customHeight="1" x14ac:dyDescent="0.25">
      <c r="A48" s="42" t="s">
        <v>115</v>
      </c>
      <c r="B48" s="40" t="s">
        <v>116</v>
      </c>
      <c r="C48" s="41" t="s">
        <v>117</v>
      </c>
      <c r="D48" s="176">
        <f>SUM(D49:D57)</f>
        <v>7462</v>
      </c>
      <c r="E48" s="177">
        <f>SUM(E49:E57)</f>
        <v>7639</v>
      </c>
    </row>
    <row r="49" spans="1:5" ht="12.75" customHeight="1" x14ac:dyDescent="0.25">
      <c r="A49" s="39" t="s">
        <v>118</v>
      </c>
      <c r="B49" s="40" t="s">
        <v>119</v>
      </c>
      <c r="C49" s="41" t="s">
        <v>120</v>
      </c>
      <c r="D49" s="178">
        <v>3025</v>
      </c>
      <c r="E49" s="179">
        <v>3267</v>
      </c>
    </row>
    <row r="50" spans="1:5" ht="12.75" customHeight="1" x14ac:dyDescent="0.25">
      <c r="A50" s="39" t="s">
        <v>121</v>
      </c>
      <c r="B50" s="40" t="s">
        <v>122</v>
      </c>
      <c r="C50" s="41" t="s">
        <v>123</v>
      </c>
      <c r="D50" s="178">
        <v>0</v>
      </c>
      <c r="E50" s="179">
        <v>0</v>
      </c>
    </row>
    <row r="51" spans="1:5" ht="12.75" customHeight="1" x14ac:dyDescent="0.25">
      <c r="A51" s="39" t="s">
        <v>124</v>
      </c>
      <c r="B51" s="40" t="s">
        <v>125</v>
      </c>
      <c r="C51" s="41" t="s">
        <v>126</v>
      </c>
      <c r="D51" s="178">
        <v>154</v>
      </c>
      <c r="E51" s="179">
        <v>233</v>
      </c>
    </row>
    <row r="52" spans="1:5" ht="12.75" customHeight="1" x14ac:dyDescent="0.25">
      <c r="A52" s="39" t="s">
        <v>127</v>
      </c>
      <c r="B52" s="40" t="s">
        <v>128</v>
      </c>
      <c r="C52" s="41" t="s">
        <v>129</v>
      </c>
      <c r="D52" s="178">
        <v>0</v>
      </c>
      <c r="E52" s="179">
        <v>0</v>
      </c>
    </row>
    <row r="53" spans="1:5" ht="12.75" customHeight="1" x14ac:dyDescent="0.25">
      <c r="A53" s="39" t="s">
        <v>130</v>
      </c>
      <c r="B53" s="40" t="s">
        <v>131</v>
      </c>
      <c r="C53" s="41" t="s">
        <v>132</v>
      </c>
      <c r="D53" s="178">
        <v>14</v>
      </c>
      <c r="E53" s="179">
        <v>14</v>
      </c>
    </row>
    <row r="54" spans="1:5" ht="12.75" customHeight="1" x14ac:dyDescent="0.25">
      <c r="A54" s="39" t="s">
        <v>133</v>
      </c>
      <c r="B54" s="40" t="s">
        <v>134</v>
      </c>
      <c r="C54" s="41" t="s">
        <v>135</v>
      </c>
      <c r="D54" s="178">
        <v>0</v>
      </c>
      <c r="E54" s="179">
        <v>0</v>
      </c>
    </row>
    <row r="55" spans="1:5" ht="12.75" customHeight="1" x14ac:dyDescent="0.25">
      <c r="A55" s="39" t="s">
        <v>136</v>
      </c>
      <c r="B55" s="40" t="s">
        <v>137</v>
      </c>
      <c r="C55" s="41" t="s">
        <v>138</v>
      </c>
      <c r="D55" s="178">
        <v>4269</v>
      </c>
      <c r="E55" s="179">
        <v>4125</v>
      </c>
    </row>
    <row r="56" spans="1:5" ht="12.75" customHeight="1" x14ac:dyDescent="0.25">
      <c r="A56" s="39" t="s">
        <v>139</v>
      </c>
      <c r="B56" s="40" t="s">
        <v>140</v>
      </c>
      <c r="C56" s="41" t="s">
        <v>141</v>
      </c>
      <c r="D56" s="178">
        <v>0</v>
      </c>
      <c r="E56" s="179">
        <v>0</v>
      </c>
    </row>
    <row r="57" spans="1:5" ht="12.75" customHeight="1" x14ac:dyDescent="0.25">
      <c r="A57" s="39" t="s">
        <v>142</v>
      </c>
      <c r="B57" s="40" t="s">
        <v>143</v>
      </c>
      <c r="C57" s="41" t="s">
        <v>144</v>
      </c>
      <c r="D57" s="178">
        <v>0</v>
      </c>
      <c r="E57" s="179">
        <v>0</v>
      </c>
    </row>
    <row r="58" spans="1:5" ht="12.75" customHeight="1" x14ac:dyDescent="0.25">
      <c r="A58" s="42" t="s">
        <v>145</v>
      </c>
      <c r="B58" s="40" t="s">
        <v>146</v>
      </c>
      <c r="C58" s="41" t="s">
        <v>147</v>
      </c>
      <c r="D58" s="176">
        <f>SUM(D59:D77)</f>
        <v>19973</v>
      </c>
      <c r="E58" s="177">
        <f>SUM(E59:E77)</f>
        <v>10932</v>
      </c>
    </row>
    <row r="59" spans="1:5" ht="12.75" customHeight="1" x14ac:dyDescent="0.25">
      <c r="A59" s="39" t="s">
        <v>148</v>
      </c>
      <c r="B59" s="40" t="s">
        <v>149</v>
      </c>
      <c r="C59" s="41" t="s">
        <v>150</v>
      </c>
      <c r="D59" s="178">
        <v>9841</v>
      </c>
      <c r="E59" s="179">
        <v>4937</v>
      </c>
    </row>
    <row r="60" spans="1:5" ht="12.75" customHeight="1" x14ac:dyDescent="0.25">
      <c r="A60" s="39" t="s">
        <v>151</v>
      </c>
      <c r="B60" s="40" t="s">
        <v>152</v>
      </c>
      <c r="C60" s="41" t="s">
        <v>153</v>
      </c>
      <c r="D60" s="178">
        <v>0</v>
      </c>
      <c r="E60" s="179">
        <v>0</v>
      </c>
    </row>
    <row r="61" spans="1:5" ht="12.75" customHeight="1" x14ac:dyDescent="0.25">
      <c r="A61" s="39" t="s">
        <v>154</v>
      </c>
      <c r="B61" s="40" t="s">
        <v>155</v>
      </c>
      <c r="C61" s="41" t="s">
        <v>156</v>
      </c>
      <c r="D61" s="178">
        <v>0</v>
      </c>
      <c r="E61" s="179">
        <v>0</v>
      </c>
    </row>
    <row r="62" spans="1:5" ht="12.75" customHeight="1" x14ac:dyDescent="0.25">
      <c r="A62" s="39" t="s">
        <v>157</v>
      </c>
      <c r="B62" s="40" t="s">
        <v>143</v>
      </c>
      <c r="C62" s="41" t="s">
        <v>158</v>
      </c>
      <c r="D62" s="178">
        <v>2875</v>
      </c>
      <c r="E62" s="179">
        <v>3050</v>
      </c>
    </row>
    <row r="63" spans="1:5" ht="12.75" customHeight="1" x14ac:dyDescent="0.25">
      <c r="A63" s="39" t="s">
        <v>159</v>
      </c>
      <c r="B63" s="40" t="s">
        <v>160</v>
      </c>
      <c r="C63" s="41" t="s">
        <v>161</v>
      </c>
      <c r="D63" s="178">
        <v>0</v>
      </c>
      <c r="E63" s="179">
        <v>0</v>
      </c>
    </row>
    <row r="64" spans="1:5" ht="12.75" customHeight="1" x14ac:dyDescent="0.25">
      <c r="A64" s="39" t="s">
        <v>162</v>
      </c>
      <c r="B64" s="40" t="s">
        <v>163</v>
      </c>
      <c r="C64" s="41" t="s">
        <v>164</v>
      </c>
      <c r="D64" s="178">
        <v>783</v>
      </c>
      <c r="E64" s="179">
        <v>64</v>
      </c>
    </row>
    <row r="65" spans="1:6" ht="12.75" customHeight="1" x14ac:dyDescent="0.25">
      <c r="A65" s="314" t="s">
        <v>669</v>
      </c>
      <c r="B65" s="40" t="s">
        <v>165</v>
      </c>
      <c r="C65" s="41" t="s">
        <v>166</v>
      </c>
      <c r="D65" s="178">
        <v>0</v>
      </c>
      <c r="E65" s="179">
        <v>0</v>
      </c>
      <c r="F65"/>
    </row>
    <row r="66" spans="1:6" ht="12.75" customHeight="1" x14ac:dyDescent="0.25">
      <c r="A66" s="39" t="s">
        <v>167</v>
      </c>
      <c r="B66" s="40" t="s">
        <v>168</v>
      </c>
      <c r="C66" s="41" t="s">
        <v>169</v>
      </c>
      <c r="D66" s="178">
        <v>0</v>
      </c>
      <c r="E66" s="179">
        <v>922</v>
      </c>
    </row>
    <row r="67" spans="1:6" ht="12.75" customHeight="1" x14ac:dyDescent="0.25">
      <c r="A67" s="39" t="s">
        <v>170</v>
      </c>
      <c r="B67" s="40" t="s">
        <v>171</v>
      </c>
      <c r="C67" s="41" t="s">
        <v>172</v>
      </c>
      <c r="D67" s="178">
        <v>0</v>
      </c>
      <c r="E67" s="179">
        <v>0</v>
      </c>
    </row>
    <row r="68" spans="1:6" ht="12.75" customHeight="1" x14ac:dyDescent="0.25">
      <c r="A68" s="39" t="s">
        <v>173</v>
      </c>
      <c r="B68" s="40" t="s">
        <v>174</v>
      </c>
      <c r="C68" s="41" t="s">
        <v>175</v>
      </c>
      <c r="D68" s="178">
        <v>993</v>
      </c>
      <c r="E68" s="179">
        <v>864</v>
      </c>
    </row>
    <row r="69" spans="1:6" ht="12.75" customHeight="1" x14ac:dyDescent="0.25">
      <c r="A69" s="39" t="s">
        <v>176</v>
      </c>
      <c r="B69" s="40" t="s">
        <v>177</v>
      </c>
      <c r="C69" s="41" t="s">
        <v>178</v>
      </c>
      <c r="D69" s="178">
        <v>16</v>
      </c>
      <c r="E69" s="179">
        <v>15</v>
      </c>
    </row>
    <row r="70" spans="1:6" ht="12.75" customHeight="1" x14ac:dyDescent="0.25">
      <c r="A70" s="39" t="s">
        <v>1285</v>
      </c>
      <c r="B70" s="40" t="s">
        <v>179</v>
      </c>
      <c r="C70" s="41" t="s">
        <v>180</v>
      </c>
      <c r="D70" s="178">
        <v>0</v>
      </c>
      <c r="E70" s="179">
        <v>0</v>
      </c>
    </row>
    <row r="71" spans="1:6" ht="12.75" customHeight="1" x14ac:dyDescent="0.25">
      <c r="A71" s="39" t="s">
        <v>1286</v>
      </c>
      <c r="B71" s="40" t="s">
        <v>181</v>
      </c>
      <c r="C71" s="41" t="s">
        <v>182</v>
      </c>
      <c r="D71" s="178">
        <v>0</v>
      </c>
      <c r="E71" s="179">
        <v>0</v>
      </c>
    </row>
    <row r="72" spans="1:6" ht="12.75" customHeight="1" x14ac:dyDescent="0.25">
      <c r="A72" s="39" t="s">
        <v>183</v>
      </c>
      <c r="B72" s="40" t="s">
        <v>184</v>
      </c>
      <c r="C72" s="41" t="s">
        <v>185</v>
      </c>
      <c r="D72" s="178">
        <v>0</v>
      </c>
      <c r="E72" s="179">
        <v>1302</v>
      </c>
    </row>
    <row r="73" spans="1:6" ht="12.75" customHeight="1" x14ac:dyDescent="0.25">
      <c r="A73" s="39" t="s">
        <v>580</v>
      </c>
      <c r="B73" s="40" t="s">
        <v>186</v>
      </c>
      <c r="C73" s="41" t="s">
        <v>187</v>
      </c>
      <c r="D73" s="178">
        <v>0</v>
      </c>
      <c r="E73" s="179">
        <v>0</v>
      </c>
    </row>
    <row r="74" spans="1:6" ht="12.75" customHeight="1" x14ac:dyDescent="0.25">
      <c r="A74" s="39" t="s">
        <v>581</v>
      </c>
      <c r="B74" s="40" t="s">
        <v>188</v>
      </c>
      <c r="C74" s="41" t="s">
        <v>189</v>
      </c>
      <c r="D74" s="178">
        <v>0</v>
      </c>
      <c r="E74" s="179">
        <v>0</v>
      </c>
    </row>
    <row r="75" spans="1:6" ht="12.75" customHeight="1" x14ac:dyDescent="0.25">
      <c r="A75" s="39" t="s">
        <v>190</v>
      </c>
      <c r="B75" s="40" t="s">
        <v>191</v>
      </c>
      <c r="C75" s="41" t="s">
        <v>192</v>
      </c>
      <c r="D75" s="178">
        <v>266</v>
      </c>
      <c r="E75" s="179">
        <v>232</v>
      </c>
    </row>
    <row r="76" spans="1:6" ht="12.75" customHeight="1" x14ac:dyDescent="0.25">
      <c r="A76" s="39" t="s">
        <v>193</v>
      </c>
      <c r="B76" s="40" t="s">
        <v>194</v>
      </c>
      <c r="C76" s="41" t="s">
        <v>195</v>
      </c>
      <c r="D76" s="178">
        <v>5764</v>
      </c>
      <c r="E76" s="179">
        <v>93</v>
      </c>
    </row>
    <row r="77" spans="1:6" ht="12.75" customHeight="1" x14ac:dyDescent="0.25">
      <c r="A77" s="39" t="s">
        <v>196</v>
      </c>
      <c r="B77" s="40" t="s">
        <v>197</v>
      </c>
      <c r="C77" s="41" t="s">
        <v>198</v>
      </c>
      <c r="D77" s="178">
        <v>-565</v>
      </c>
      <c r="E77" s="179">
        <v>-547</v>
      </c>
    </row>
    <row r="78" spans="1:6" ht="12.75" customHeight="1" x14ac:dyDescent="0.25">
      <c r="A78" s="42" t="s">
        <v>199</v>
      </c>
      <c r="B78" s="40" t="s">
        <v>200</v>
      </c>
      <c r="C78" s="41" t="s">
        <v>201</v>
      </c>
      <c r="D78" s="176">
        <f>SUM(D79:D86)</f>
        <v>591307</v>
      </c>
      <c r="E78" s="177">
        <f>SUM(E79:E86)</f>
        <v>502397</v>
      </c>
    </row>
    <row r="79" spans="1:6" ht="12.75" customHeight="1" x14ac:dyDescent="0.25">
      <c r="A79" s="39" t="s">
        <v>202</v>
      </c>
      <c r="B79" s="40" t="s">
        <v>203</v>
      </c>
      <c r="C79" s="41" t="s">
        <v>204</v>
      </c>
      <c r="D79" s="178">
        <v>667</v>
      </c>
      <c r="E79" s="179">
        <v>552</v>
      </c>
    </row>
    <row r="80" spans="1:6" ht="12.75" customHeight="1" x14ac:dyDescent="0.25">
      <c r="A80" s="39" t="s">
        <v>205</v>
      </c>
      <c r="B80" s="40" t="s">
        <v>206</v>
      </c>
      <c r="C80" s="41" t="s">
        <v>207</v>
      </c>
      <c r="D80" s="178">
        <v>69</v>
      </c>
      <c r="E80" s="179">
        <v>37</v>
      </c>
    </row>
    <row r="81" spans="1:5" ht="12.75" customHeight="1" x14ac:dyDescent="0.25">
      <c r="A81" s="39" t="s">
        <v>208</v>
      </c>
      <c r="B81" s="40" t="s">
        <v>209</v>
      </c>
      <c r="C81" s="41" t="s">
        <v>210</v>
      </c>
      <c r="D81" s="178">
        <v>590571</v>
      </c>
      <c r="E81" s="179">
        <v>501808</v>
      </c>
    </row>
    <row r="82" spans="1:5" ht="12.75" customHeight="1" x14ac:dyDescent="0.25">
      <c r="A82" s="39" t="s">
        <v>211</v>
      </c>
      <c r="B82" s="40" t="s">
        <v>212</v>
      </c>
      <c r="C82" s="41" t="s">
        <v>213</v>
      </c>
      <c r="D82" s="178">
        <v>0</v>
      </c>
      <c r="E82" s="179">
        <v>0</v>
      </c>
    </row>
    <row r="83" spans="1:5" ht="12.75" customHeight="1" x14ac:dyDescent="0.25">
      <c r="A83" s="39" t="s">
        <v>214</v>
      </c>
      <c r="B83" s="40" t="s">
        <v>215</v>
      </c>
      <c r="C83" s="41" t="s">
        <v>216</v>
      </c>
      <c r="D83" s="178">
        <v>0</v>
      </c>
      <c r="E83" s="179">
        <v>0</v>
      </c>
    </row>
    <row r="84" spans="1:5" ht="12.75" customHeight="1" x14ac:dyDescent="0.25">
      <c r="A84" s="39" t="s">
        <v>217</v>
      </c>
      <c r="B84" s="40" t="s">
        <v>218</v>
      </c>
      <c r="C84" s="41" t="s">
        <v>219</v>
      </c>
      <c r="D84" s="178">
        <v>0</v>
      </c>
      <c r="E84" s="179">
        <v>0</v>
      </c>
    </row>
    <row r="85" spans="1:5" ht="12.75" customHeight="1" x14ac:dyDescent="0.25">
      <c r="A85" s="39" t="s">
        <v>220</v>
      </c>
      <c r="B85" s="40" t="s">
        <v>221</v>
      </c>
      <c r="C85" s="41" t="s">
        <v>222</v>
      </c>
      <c r="D85" s="178">
        <v>0</v>
      </c>
      <c r="E85" s="179">
        <v>0</v>
      </c>
    </row>
    <row r="86" spans="1:5" ht="12.75" customHeight="1" x14ac:dyDescent="0.25">
      <c r="A86" s="39" t="s">
        <v>223</v>
      </c>
      <c r="B86" s="40" t="s">
        <v>224</v>
      </c>
      <c r="C86" s="41" t="s">
        <v>225</v>
      </c>
      <c r="D86" s="178">
        <v>0</v>
      </c>
      <c r="E86" s="179">
        <v>0</v>
      </c>
    </row>
    <row r="87" spans="1:5" ht="12.75" customHeight="1" x14ac:dyDescent="0.25">
      <c r="A87" s="42" t="s">
        <v>226</v>
      </c>
      <c r="B87" s="40" t="s">
        <v>227</v>
      </c>
      <c r="C87" s="41" t="s">
        <v>228</v>
      </c>
      <c r="D87" s="176">
        <f>SUM(D88:D90)</f>
        <v>6598</v>
      </c>
      <c r="E87" s="177">
        <f>SUM(E88:E90)</f>
        <v>10151</v>
      </c>
    </row>
    <row r="88" spans="1:5" ht="12.75" customHeight="1" x14ac:dyDescent="0.25">
      <c r="A88" s="39" t="s">
        <v>229</v>
      </c>
      <c r="B88" s="40" t="s">
        <v>230</v>
      </c>
      <c r="C88" s="41" t="s">
        <v>231</v>
      </c>
      <c r="D88" s="178">
        <v>6598</v>
      </c>
      <c r="E88" s="179">
        <v>9991</v>
      </c>
    </row>
    <row r="89" spans="1:5" ht="12.75" customHeight="1" x14ac:dyDescent="0.25">
      <c r="A89" s="39" t="s">
        <v>232</v>
      </c>
      <c r="B89" s="40" t="s">
        <v>233</v>
      </c>
      <c r="C89" s="41" t="s">
        <v>234</v>
      </c>
      <c r="D89" s="178">
        <v>0</v>
      </c>
      <c r="E89" s="179">
        <v>160</v>
      </c>
    </row>
    <row r="90" spans="1:5" ht="12.75" customHeight="1" x14ac:dyDescent="0.25">
      <c r="A90" s="39" t="s">
        <v>235</v>
      </c>
      <c r="B90" s="40" t="s">
        <v>236</v>
      </c>
      <c r="C90" s="41" t="s">
        <v>237</v>
      </c>
      <c r="D90" s="178">
        <v>0</v>
      </c>
      <c r="E90" s="179">
        <v>0</v>
      </c>
    </row>
    <row r="91" spans="1:5" ht="12.75" customHeight="1" thickBot="1" x14ac:dyDescent="0.3">
      <c r="A91" s="43" t="s">
        <v>238</v>
      </c>
      <c r="B91" s="44" t="s">
        <v>239</v>
      </c>
      <c r="C91" s="45" t="s">
        <v>240</v>
      </c>
      <c r="D91" s="184">
        <f>D7+D47</f>
        <v>3142113</v>
      </c>
      <c r="E91" s="185">
        <f>E7+E47</f>
        <v>3170645</v>
      </c>
    </row>
    <row r="92" spans="1:5" ht="12.75" customHeight="1" thickBot="1" x14ac:dyDescent="0.3">
      <c r="A92" s="49" t="s">
        <v>241</v>
      </c>
      <c r="B92" s="1218" t="s">
        <v>242</v>
      </c>
      <c r="C92" s="1219"/>
      <c r="D92" s="170" t="s">
        <v>631</v>
      </c>
      <c r="E92" s="171" t="s">
        <v>632</v>
      </c>
    </row>
    <row r="93" spans="1:5" ht="12.75" customHeight="1" x14ac:dyDescent="0.25">
      <c r="A93" s="50" t="s">
        <v>243</v>
      </c>
      <c r="B93" s="37" t="s">
        <v>244</v>
      </c>
      <c r="C93" s="38" t="s">
        <v>245</v>
      </c>
      <c r="D93" s="174">
        <f>D94+D98</f>
        <v>2982920</v>
      </c>
      <c r="E93" s="175">
        <f>E94+E98</f>
        <v>3072908</v>
      </c>
    </row>
    <row r="94" spans="1:5" ht="12.75" customHeight="1" x14ac:dyDescent="0.25">
      <c r="A94" s="39" t="s">
        <v>246</v>
      </c>
      <c r="B94" s="40" t="s">
        <v>247</v>
      </c>
      <c r="C94" s="41" t="s">
        <v>248</v>
      </c>
      <c r="D94" s="176">
        <f>SUM(D95:D97)</f>
        <v>2970939</v>
      </c>
      <c r="E94" s="177">
        <f>SUM(E95:E97)</f>
        <v>3064035</v>
      </c>
    </row>
    <row r="95" spans="1:5" ht="12.75" customHeight="1" x14ac:dyDescent="0.25">
      <c r="A95" s="39" t="s">
        <v>249</v>
      </c>
      <c r="B95" s="40" t="s">
        <v>250</v>
      </c>
      <c r="C95" s="41" t="s">
        <v>251</v>
      </c>
      <c r="D95" s="178">
        <v>2531673</v>
      </c>
      <c r="E95" s="179">
        <v>2631740</v>
      </c>
    </row>
    <row r="96" spans="1:5" ht="12.75" customHeight="1" x14ac:dyDescent="0.25">
      <c r="A96" s="39" t="s">
        <v>252</v>
      </c>
      <c r="B96" s="40" t="s">
        <v>253</v>
      </c>
      <c r="C96" s="41" t="s">
        <v>254</v>
      </c>
      <c r="D96" s="178">
        <v>439266</v>
      </c>
      <c r="E96" s="179">
        <v>432295</v>
      </c>
    </row>
    <row r="97" spans="1:6" ht="12.75" customHeight="1" x14ac:dyDescent="0.25">
      <c r="A97" s="39" t="s">
        <v>255</v>
      </c>
      <c r="B97" s="40" t="s">
        <v>256</v>
      </c>
      <c r="C97" s="41" t="s">
        <v>257</v>
      </c>
      <c r="D97" s="178">
        <v>0</v>
      </c>
      <c r="E97" s="179">
        <v>0</v>
      </c>
      <c r="F97" s="130"/>
    </row>
    <row r="98" spans="1:6" ht="12.75" customHeight="1" x14ac:dyDescent="0.25">
      <c r="A98" s="42" t="s">
        <v>666</v>
      </c>
      <c r="B98" s="40" t="s">
        <v>258</v>
      </c>
      <c r="C98" s="41" t="s">
        <v>259</v>
      </c>
      <c r="D98" s="176">
        <f>SUM(D99:D101)</f>
        <v>11981</v>
      </c>
      <c r="E98" s="177">
        <f>SUM(E99:E101)</f>
        <v>8873</v>
      </c>
    </row>
    <row r="99" spans="1:6" ht="12.75" customHeight="1" x14ac:dyDescent="0.25">
      <c r="A99" s="39" t="s">
        <v>260</v>
      </c>
      <c r="B99" s="40" t="s">
        <v>261</v>
      </c>
      <c r="C99" s="41" t="s">
        <v>262</v>
      </c>
      <c r="D99" s="178">
        <v>0</v>
      </c>
      <c r="E99" s="179">
        <v>8873</v>
      </c>
    </row>
    <row r="100" spans="1:6" ht="12.75" customHeight="1" x14ac:dyDescent="0.25">
      <c r="A100" s="39" t="s">
        <v>263</v>
      </c>
      <c r="B100" s="40" t="s">
        <v>264</v>
      </c>
      <c r="C100" s="41" t="s">
        <v>265</v>
      </c>
      <c r="D100" s="178">
        <v>11981</v>
      </c>
      <c r="E100" s="179">
        <v>0</v>
      </c>
    </row>
    <row r="101" spans="1:6" ht="12.75" customHeight="1" x14ac:dyDescent="0.25">
      <c r="A101" s="39" t="s">
        <v>668</v>
      </c>
      <c r="B101" s="40" t="s">
        <v>266</v>
      </c>
      <c r="C101" s="41" t="s">
        <v>267</v>
      </c>
      <c r="D101" s="178">
        <v>0</v>
      </c>
      <c r="E101" s="179">
        <v>0</v>
      </c>
    </row>
    <row r="102" spans="1:6" ht="12.75" customHeight="1" x14ac:dyDescent="0.25">
      <c r="A102" s="39" t="s">
        <v>268</v>
      </c>
      <c r="B102" s="51" t="s">
        <v>269</v>
      </c>
      <c r="C102" s="41" t="s">
        <v>270</v>
      </c>
      <c r="D102" s="176">
        <f>D103+D105+D113+D137</f>
        <v>159193</v>
      </c>
      <c r="E102" s="177">
        <f>E103+E105+E113+E137</f>
        <v>97737</v>
      </c>
    </row>
    <row r="103" spans="1:6" ht="12.75" customHeight="1" x14ac:dyDescent="0.25">
      <c r="A103" s="39" t="s">
        <v>271</v>
      </c>
      <c r="B103" s="40" t="s">
        <v>272</v>
      </c>
      <c r="C103" s="41" t="s">
        <v>273</v>
      </c>
      <c r="D103" s="178">
        <v>3000</v>
      </c>
      <c r="E103" s="179">
        <v>2000</v>
      </c>
    </row>
    <row r="104" spans="1:6" ht="12.75" customHeight="1" x14ac:dyDescent="0.25">
      <c r="A104" s="39" t="s">
        <v>274</v>
      </c>
      <c r="B104" s="40" t="s">
        <v>275</v>
      </c>
      <c r="C104" s="41" t="s">
        <v>276</v>
      </c>
      <c r="D104" s="178">
        <v>3000</v>
      </c>
      <c r="E104" s="179">
        <v>2000</v>
      </c>
    </row>
    <row r="105" spans="1:6" ht="12.75" customHeight="1" x14ac:dyDescent="0.25">
      <c r="A105" s="39" t="s">
        <v>277</v>
      </c>
      <c r="B105" s="40" t="s">
        <v>278</v>
      </c>
      <c r="C105" s="41" t="s">
        <v>279</v>
      </c>
      <c r="D105" s="176">
        <f>SUM(D106:D112)</f>
        <v>0</v>
      </c>
      <c r="E105" s="177">
        <f>SUM(E106:E112)</f>
        <v>341</v>
      </c>
    </row>
    <row r="106" spans="1:6" ht="12.75" customHeight="1" x14ac:dyDescent="0.25">
      <c r="A106" s="39" t="s">
        <v>280</v>
      </c>
      <c r="B106" s="40" t="s">
        <v>281</v>
      </c>
      <c r="C106" s="41" t="s">
        <v>282</v>
      </c>
      <c r="D106" s="178">
        <v>0</v>
      </c>
      <c r="E106" s="179">
        <v>341</v>
      </c>
    </row>
    <row r="107" spans="1:6" ht="12.75" customHeight="1" x14ac:dyDescent="0.25">
      <c r="A107" s="39" t="s">
        <v>582</v>
      </c>
      <c r="B107" s="40" t="s">
        <v>283</v>
      </c>
      <c r="C107" s="41" t="s">
        <v>284</v>
      </c>
      <c r="D107" s="178">
        <v>0</v>
      </c>
      <c r="E107" s="179">
        <v>0</v>
      </c>
    </row>
    <row r="108" spans="1:6" ht="12.75" customHeight="1" x14ac:dyDescent="0.25">
      <c r="A108" s="39" t="s">
        <v>285</v>
      </c>
      <c r="B108" s="40" t="s">
        <v>286</v>
      </c>
      <c r="C108" s="41" t="s">
        <v>287</v>
      </c>
      <c r="D108" s="178">
        <v>0</v>
      </c>
      <c r="E108" s="179">
        <v>0</v>
      </c>
    </row>
    <row r="109" spans="1:6" ht="12.75" customHeight="1" x14ac:dyDescent="0.25">
      <c r="A109" s="39" t="s">
        <v>288</v>
      </c>
      <c r="B109" s="40" t="s">
        <v>289</v>
      </c>
      <c r="C109" s="41" t="s">
        <v>290</v>
      </c>
      <c r="D109" s="178">
        <v>0</v>
      </c>
      <c r="E109" s="179">
        <v>0</v>
      </c>
    </row>
    <row r="110" spans="1:6" ht="12.75" customHeight="1" x14ac:dyDescent="0.25">
      <c r="A110" s="39" t="s">
        <v>291</v>
      </c>
      <c r="B110" s="40" t="s">
        <v>292</v>
      </c>
      <c r="C110" s="41" t="s">
        <v>293</v>
      </c>
      <c r="D110" s="178">
        <v>0</v>
      </c>
      <c r="E110" s="179">
        <v>0</v>
      </c>
    </row>
    <row r="111" spans="1:6" ht="12.75" customHeight="1" x14ac:dyDescent="0.25">
      <c r="A111" s="39" t="s">
        <v>294</v>
      </c>
      <c r="B111" s="40" t="s">
        <v>295</v>
      </c>
      <c r="C111" s="41" t="s">
        <v>296</v>
      </c>
      <c r="D111" s="178">
        <v>0</v>
      </c>
      <c r="E111" s="179">
        <v>0</v>
      </c>
    </row>
    <row r="112" spans="1:6" ht="12.75" customHeight="1" x14ac:dyDescent="0.25">
      <c r="A112" s="39" t="s">
        <v>297</v>
      </c>
      <c r="B112" s="40" t="s">
        <v>298</v>
      </c>
      <c r="C112" s="41" t="s">
        <v>299</v>
      </c>
      <c r="D112" s="178">
        <v>0</v>
      </c>
      <c r="E112" s="179">
        <v>0</v>
      </c>
    </row>
    <row r="113" spans="1:5" ht="12.75" customHeight="1" x14ac:dyDescent="0.25">
      <c r="A113" s="42" t="s">
        <v>300</v>
      </c>
      <c r="B113" s="40" t="s">
        <v>301</v>
      </c>
      <c r="C113" s="41" t="s">
        <v>302</v>
      </c>
      <c r="D113" s="176">
        <f>SUM(D114:D136)</f>
        <v>99937</v>
      </c>
      <c r="E113" s="177">
        <f>SUM(E114:E136)</f>
        <v>80317</v>
      </c>
    </row>
    <row r="114" spans="1:5" ht="12.75" customHeight="1" x14ac:dyDescent="0.25">
      <c r="A114" s="39" t="s">
        <v>303</v>
      </c>
      <c r="B114" s="40" t="s">
        <v>304</v>
      </c>
      <c r="C114" s="41" t="s">
        <v>305</v>
      </c>
      <c r="D114" s="178">
        <v>28585</v>
      </c>
      <c r="E114" s="179">
        <v>17634</v>
      </c>
    </row>
    <row r="115" spans="1:5" ht="12.75" customHeight="1" x14ac:dyDescent="0.25">
      <c r="A115" s="39" t="s">
        <v>306</v>
      </c>
      <c r="B115" s="40" t="s">
        <v>307</v>
      </c>
      <c r="C115" s="41" t="s">
        <v>308</v>
      </c>
      <c r="D115" s="178">
        <v>0</v>
      </c>
      <c r="E115" s="179">
        <v>0</v>
      </c>
    </row>
    <row r="116" spans="1:5" ht="12.75" customHeight="1" x14ac:dyDescent="0.25">
      <c r="A116" s="39" t="s">
        <v>309</v>
      </c>
      <c r="B116" s="40" t="s">
        <v>310</v>
      </c>
      <c r="C116" s="41" t="s">
        <v>311</v>
      </c>
      <c r="D116" s="178">
        <v>952</v>
      </c>
      <c r="E116" s="179">
        <v>17</v>
      </c>
    </row>
    <row r="117" spans="1:5" ht="12.75" customHeight="1" x14ac:dyDescent="0.25">
      <c r="A117" s="39" t="s">
        <v>312</v>
      </c>
      <c r="B117" s="40" t="s">
        <v>313</v>
      </c>
      <c r="C117" s="41" t="s">
        <v>314</v>
      </c>
      <c r="D117" s="178">
        <v>10450</v>
      </c>
      <c r="E117" s="179">
        <v>9955</v>
      </c>
    </row>
    <row r="118" spans="1:5" ht="12.75" customHeight="1" x14ac:dyDescent="0.25">
      <c r="A118" s="39" t="s">
        <v>315</v>
      </c>
      <c r="B118" s="40" t="s">
        <v>316</v>
      </c>
      <c r="C118" s="41" t="s">
        <v>317</v>
      </c>
      <c r="D118" s="178">
        <v>32279</v>
      </c>
      <c r="E118" s="179">
        <v>27789</v>
      </c>
    </row>
    <row r="119" spans="1:5" ht="12.75" customHeight="1" x14ac:dyDescent="0.25">
      <c r="A119" s="39" t="s">
        <v>318</v>
      </c>
      <c r="B119" s="40" t="s">
        <v>319</v>
      </c>
      <c r="C119" s="41" t="s">
        <v>320</v>
      </c>
      <c r="D119" s="178">
        <v>0</v>
      </c>
      <c r="E119" s="179">
        <v>0</v>
      </c>
    </row>
    <row r="120" spans="1:5" ht="12.75" customHeight="1" x14ac:dyDescent="0.25">
      <c r="A120" s="39" t="s">
        <v>637</v>
      </c>
      <c r="B120" s="40" t="s">
        <v>165</v>
      </c>
      <c r="C120" s="41" t="s">
        <v>321</v>
      </c>
      <c r="D120" s="178">
        <v>17834</v>
      </c>
      <c r="E120" s="179">
        <v>15390</v>
      </c>
    </row>
    <row r="121" spans="1:5" ht="12.75" customHeight="1" x14ac:dyDescent="0.25">
      <c r="A121" s="39" t="s">
        <v>322</v>
      </c>
      <c r="B121" s="40" t="s">
        <v>168</v>
      </c>
      <c r="C121" s="41" t="s">
        <v>323</v>
      </c>
      <c r="D121" s="178">
        <v>1252</v>
      </c>
      <c r="E121" s="179">
        <v>0</v>
      </c>
    </row>
    <row r="122" spans="1:5" ht="12.75" customHeight="1" x14ac:dyDescent="0.25">
      <c r="A122" s="39" t="s">
        <v>324</v>
      </c>
      <c r="B122" s="40" t="s">
        <v>171</v>
      </c>
      <c r="C122" s="41" t="s">
        <v>325</v>
      </c>
      <c r="D122" s="178">
        <v>5431</v>
      </c>
      <c r="E122" s="179">
        <v>4405</v>
      </c>
    </row>
    <row r="123" spans="1:5" ht="12.75" customHeight="1" x14ac:dyDescent="0.25">
      <c r="A123" s="39" t="s">
        <v>326</v>
      </c>
      <c r="B123" s="40" t="s">
        <v>174</v>
      </c>
      <c r="C123" s="41" t="s">
        <v>327</v>
      </c>
      <c r="D123" s="178">
        <v>0</v>
      </c>
      <c r="E123" s="179">
        <v>0</v>
      </c>
    </row>
    <row r="124" spans="1:5" ht="12.75" customHeight="1" x14ac:dyDescent="0.25">
      <c r="A124" s="39" t="s">
        <v>328</v>
      </c>
      <c r="B124" s="40" t="s">
        <v>177</v>
      </c>
      <c r="C124" s="41" t="s">
        <v>329</v>
      </c>
      <c r="D124" s="178">
        <v>0</v>
      </c>
      <c r="E124" s="179">
        <v>0</v>
      </c>
    </row>
    <row r="125" spans="1:5" ht="12.75" customHeight="1" x14ac:dyDescent="0.25">
      <c r="A125" s="39" t="s">
        <v>330</v>
      </c>
      <c r="B125" s="40" t="s">
        <v>179</v>
      </c>
      <c r="C125" s="41" t="s">
        <v>331</v>
      </c>
      <c r="D125" s="178">
        <v>50</v>
      </c>
      <c r="E125" s="179">
        <v>2288</v>
      </c>
    </row>
    <row r="126" spans="1:5" x14ac:dyDescent="0.25">
      <c r="A126" s="39" t="s">
        <v>663</v>
      </c>
      <c r="B126" s="40" t="s">
        <v>181</v>
      </c>
      <c r="C126" s="41" t="s">
        <v>332</v>
      </c>
      <c r="D126" s="178">
        <v>0</v>
      </c>
      <c r="E126" s="179">
        <v>0</v>
      </c>
    </row>
    <row r="127" spans="1:5" x14ac:dyDescent="0.25">
      <c r="A127" s="314" t="s">
        <v>667</v>
      </c>
      <c r="B127" s="40" t="s">
        <v>333</v>
      </c>
      <c r="C127" s="41" t="s">
        <v>334</v>
      </c>
      <c r="D127" s="178">
        <v>0</v>
      </c>
      <c r="E127" s="179">
        <v>0</v>
      </c>
    </row>
    <row r="128" spans="1:5" ht="12.75" customHeight="1" x14ac:dyDescent="0.25">
      <c r="A128" s="39" t="s">
        <v>335</v>
      </c>
      <c r="B128" s="40" t="s">
        <v>336</v>
      </c>
      <c r="C128" s="41" t="s">
        <v>337</v>
      </c>
      <c r="D128" s="178">
        <v>0</v>
      </c>
      <c r="E128" s="179">
        <v>0</v>
      </c>
    </row>
    <row r="129" spans="1:5" ht="12.75" customHeight="1" x14ac:dyDescent="0.25">
      <c r="A129" s="39" t="s">
        <v>338</v>
      </c>
      <c r="B129" s="40" t="s">
        <v>186</v>
      </c>
      <c r="C129" s="41" t="s">
        <v>339</v>
      </c>
      <c r="D129" s="178">
        <v>0</v>
      </c>
      <c r="E129" s="179">
        <v>0</v>
      </c>
    </row>
    <row r="130" spans="1:5" ht="12.75" customHeight="1" x14ac:dyDescent="0.25">
      <c r="A130" s="39" t="s">
        <v>340</v>
      </c>
      <c r="B130" s="40" t="s">
        <v>341</v>
      </c>
      <c r="C130" s="41" t="s">
        <v>342</v>
      </c>
      <c r="D130" s="178">
        <v>149</v>
      </c>
      <c r="E130" s="179">
        <v>1066</v>
      </c>
    </row>
    <row r="131" spans="1:5" ht="12.75" customHeight="1" x14ac:dyDescent="0.25">
      <c r="A131" s="39" t="s">
        <v>343</v>
      </c>
      <c r="B131" s="40" t="s">
        <v>344</v>
      </c>
      <c r="C131" s="41" t="s">
        <v>345</v>
      </c>
      <c r="D131" s="178">
        <v>427</v>
      </c>
      <c r="E131" s="179">
        <v>0</v>
      </c>
    </row>
    <row r="132" spans="1:5" ht="12.75" customHeight="1" x14ac:dyDescent="0.25">
      <c r="A132" s="39" t="s">
        <v>346</v>
      </c>
      <c r="B132" s="40" t="s">
        <v>347</v>
      </c>
      <c r="C132" s="41" t="s">
        <v>348</v>
      </c>
      <c r="D132" s="178">
        <v>0</v>
      </c>
      <c r="E132" s="179">
        <v>0</v>
      </c>
    </row>
    <row r="133" spans="1:5" ht="12.75" customHeight="1" x14ac:dyDescent="0.25">
      <c r="A133" s="39" t="s">
        <v>583</v>
      </c>
      <c r="B133" s="40" t="s">
        <v>349</v>
      </c>
      <c r="C133" s="41" t="s">
        <v>350</v>
      </c>
      <c r="D133" s="178">
        <v>0</v>
      </c>
      <c r="E133" s="179">
        <v>0</v>
      </c>
    </row>
    <row r="134" spans="1:5" ht="12.75" customHeight="1" x14ac:dyDescent="0.25">
      <c r="A134" s="39" t="s">
        <v>351</v>
      </c>
      <c r="B134" s="40" t="s">
        <v>352</v>
      </c>
      <c r="C134" s="41" t="s">
        <v>353</v>
      </c>
      <c r="D134" s="178">
        <v>0</v>
      </c>
      <c r="E134" s="179">
        <v>0</v>
      </c>
    </row>
    <row r="135" spans="1:5" ht="12.75" customHeight="1" x14ac:dyDescent="0.25">
      <c r="A135" s="39" t="s">
        <v>354</v>
      </c>
      <c r="B135" s="40" t="s">
        <v>295</v>
      </c>
      <c r="C135" s="41" t="s">
        <v>355</v>
      </c>
      <c r="D135" s="178">
        <v>2528</v>
      </c>
      <c r="E135" s="179">
        <v>1773</v>
      </c>
    </row>
    <row r="136" spans="1:5" ht="12.75" customHeight="1" x14ac:dyDescent="0.25">
      <c r="A136" s="39" t="s">
        <v>356</v>
      </c>
      <c r="B136" s="40" t="s">
        <v>357</v>
      </c>
      <c r="C136" s="41" t="s">
        <v>358</v>
      </c>
      <c r="D136" s="178">
        <v>0</v>
      </c>
      <c r="E136" s="179">
        <v>0</v>
      </c>
    </row>
    <row r="137" spans="1:5" ht="12.75" customHeight="1" x14ac:dyDescent="0.25">
      <c r="A137" s="42" t="s">
        <v>359</v>
      </c>
      <c r="B137" s="40" t="s">
        <v>360</v>
      </c>
      <c r="C137" s="41" t="s">
        <v>361</v>
      </c>
      <c r="D137" s="176">
        <f>SUM(D138:D140)</f>
        <v>56256</v>
      </c>
      <c r="E137" s="177">
        <f>SUM(E138:E140)</f>
        <v>15079</v>
      </c>
    </row>
    <row r="138" spans="1:5" ht="12.75" customHeight="1" x14ac:dyDescent="0.25">
      <c r="A138" s="39" t="s">
        <v>362</v>
      </c>
      <c r="B138" s="40" t="s">
        <v>363</v>
      </c>
      <c r="C138" s="41" t="s">
        <v>364</v>
      </c>
      <c r="D138" s="178">
        <v>1466</v>
      </c>
      <c r="E138" s="179">
        <v>918</v>
      </c>
    </row>
    <row r="139" spans="1:5" ht="12.75" customHeight="1" x14ac:dyDescent="0.25">
      <c r="A139" s="39" t="s">
        <v>365</v>
      </c>
      <c r="B139" s="40" t="s">
        <v>366</v>
      </c>
      <c r="C139" s="41" t="s">
        <v>367</v>
      </c>
      <c r="D139" s="178">
        <v>54785</v>
      </c>
      <c r="E139" s="179">
        <v>14158</v>
      </c>
    </row>
    <row r="140" spans="1:5" ht="12.75" customHeight="1" x14ac:dyDescent="0.25">
      <c r="A140" s="39" t="s">
        <v>368</v>
      </c>
      <c r="B140" s="40" t="s">
        <v>369</v>
      </c>
      <c r="C140" s="41" t="s">
        <v>370</v>
      </c>
      <c r="D140" s="178">
        <v>5</v>
      </c>
      <c r="E140" s="179">
        <v>3</v>
      </c>
    </row>
    <row r="141" spans="1:5" ht="12.75" customHeight="1" thickBot="1" x14ac:dyDescent="0.3">
      <c r="A141" s="43" t="s">
        <v>371</v>
      </c>
      <c r="B141" s="52" t="s">
        <v>372</v>
      </c>
      <c r="C141" s="45" t="s">
        <v>373</v>
      </c>
      <c r="D141" s="186">
        <f>D93+D102</f>
        <v>3142113</v>
      </c>
      <c r="E141" s="185">
        <f>E93+E102</f>
        <v>3170645</v>
      </c>
    </row>
    <row r="142" spans="1:5" ht="12.75" customHeight="1" x14ac:dyDescent="0.25">
      <c r="A142" s="53"/>
      <c r="B142" s="54"/>
      <c r="C142" s="54"/>
    </row>
    <row r="143" spans="1:5" ht="12.75" customHeight="1" x14ac:dyDescent="0.25">
      <c r="A143" s="53" t="s">
        <v>616</v>
      </c>
      <c r="B143" s="54"/>
      <c r="C143" s="54"/>
    </row>
    <row r="144" spans="1:5" ht="12.75" customHeight="1" x14ac:dyDescent="0.25">
      <c r="A144" s="55" t="s">
        <v>635</v>
      </c>
      <c r="B144" s="56"/>
      <c r="C144" s="56"/>
    </row>
    <row r="145" spans="1:1" x14ac:dyDescent="0.25">
      <c r="A145" s="163" t="s">
        <v>1124</v>
      </c>
    </row>
    <row r="146" spans="1:1" ht="12.75" customHeight="1" x14ac:dyDescent="0.25">
      <c r="A146" s="161" t="s">
        <v>636</v>
      </c>
    </row>
    <row r="147" spans="1:1" ht="12.75" customHeight="1" x14ac:dyDescent="0.25">
      <c r="A147" s="163" t="s">
        <v>1060</v>
      </c>
    </row>
  </sheetData>
  <customSheetViews>
    <customSheetView guid="{2AF6EA2A-E5C5-45EB-B6C4-875AD1E4E056}">
      <pane ySplit="5" topLeftCell="A6" activePane="bottomLeft" state="frozenSplit"/>
      <selection pane="bottomLeft" sqref="A1:E1"/>
      <rowBreaks count="1" manualBreakCount="1">
        <brk id="77" max="4" man="1"/>
      </rowBreaks>
      <pageMargins left="0.59055118110236227" right="0" top="0.39370078740157483" bottom="0.19685039370078741" header="0" footer="0"/>
      <pageSetup paperSize="9" scale="78" orientation="portrait" r:id="rId1"/>
      <headerFooter alignWithMargins="0"/>
    </customSheetView>
  </customSheetViews>
  <mergeCells count="6">
    <mergeCell ref="A4:E4"/>
    <mergeCell ref="A3:E3"/>
    <mergeCell ref="B92:C92"/>
    <mergeCell ref="B6:C6"/>
    <mergeCell ref="A1:E1"/>
    <mergeCell ref="A2:E2"/>
  </mergeCells>
  <pageMargins left="0.59055118110236227" right="0" top="0.39370078740157483" bottom="0.19685039370078741" header="0" footer="0"/>
  <pageSetup paperSize="9" scale="78" orientation="portrait" r:id="rId2"/>
  <headerFooter alignWithMargins="0"/>
  <rowBreaks count="1" manualBreakCount="1">
    <brk id="77" max="4"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8">
    <tabColor theme="3" tint="0.39997558519241921"/>
    <pageSetUpPr fitToPage="1"/>
  </sheetPr>
  <dimension ref="A1:S18"/>
  <sheetViews>
    <sheetView zoomScaleNormal="100" workbookViewId="0">
      <selection activeCell="C20" sqref="C20"/>
    </sheetView>
  </sheetViews>
  <sheetFormatPr defaultColWidth="26.28515625" defaultRowHeight="12.75" x14ac:dyDescent="0.25"/>
  <cols>
    <col min="1" max="1" width="4.28515625" style="438" customWidth="1"/>
    <col min="2" max="2" width="11.85546875" style="438" customWidth="1"/>
    <col min="3" max="3" width="26.28515625" style="438" customWidth="1"/>
    <col min="4" max="4" width="12.140625" style="438" customWidth="1"/>
    <col min="5" max="5" width="10.7109375" style="438" customWidth="1"/>
    <col min="6" max="6" width="11.5703125" style="438" customWidth="1"/>
    <col min="7" max="7" width="10.7109375" style="438" customWidth="1"/>
    <col min="8" max="8" width="11.7109375" style="438" customWidth="1"/>
    <col min="9" max="9" width="10.7109375" style="438" customWidth="1"/>
    <col min="10" max="10" width="12.5703125" style="438" customWidth="1"/>
    <col min="11" max="11" width="2.28515625" style="438" customWidth="1"/>
    <col min="12" max="12" width="10.7109375" style="438" customWidth="1"/>
    <col min="13" max="13" width="14" style="438" customWidth="1"/>
    <col min="14" max="14" width="10.7109375" style="438" customWidth="1"/>
    <col min="15" max="15" width="8.85546875" style="438" customWidth="1"/>
    <col min="16" max="253" width="9.140625" style="438" customWidth="1"/>
    <col min="254" max="254" width="3.28515625" style="438" customWidth="1"/>
    <col min="255" max="255" width="11.85546875" style="438" customWidth="1"/>
    <col min="256" max="16384" width="26.28515625" style="438"/>
  </cols>
  <sheetData>
    <row r="1" spans="1:19" s="18" customFormat="1" ht="15.75" x14ac:dyDescent="0.25">
      <c r="A1" s="435" t="s">
        <v>1085</v>
      </c>
      <c r="C1" s="17"/>
      <c r="D1" s="17"/>
      <c r="E1" s="17"/>
      <c r="F1" s="17"/>
      <c r="G1" s="17"/>
      <c r="H1" s="436"/>
      <c r="I1" s="17"/>
      <c r="J1" s="17"/>
      <c r="K1" s="437"/>
      <c r="L1" s="17"/>
      <c r="M1" s="17"/>
      <c r="N1" s="17"/>
      <c r="P1" s="17"/>
      <c r="Q1" s="17"/>
      <c r="R1" s="17"/>
      <c r="S1" s="17"/>
    </row>
    <row r="2" spans="1:19" ht="13.5" thickBot="1" x14ac:dyDescent="0.3">
      <c r="B2" s="439"/>
      <c r="C2" s="439"/>
      <c r="D2" s="440"/>
      <c r="E2" s="440"/>
      <c r="F2" s="439"/>
      <c r="G2" s="439"/>
      <c r="H2" s="439"/>
      <c r="I2" s="439"/>
      <c r="K2" s="437"/>
      <c r="L2" s="439"/>
      <c r="M2" s="439"/>
      <c r="N2" s="441" t="s">
        <v>480</v>
      </c>
      <c r="O2" s="439"/>
      <c r="P2" s="439"/>
      <c r="Q2" s="439"/>
      <c r="R2" s="439"/>
      <c r="S2" s="439"/>
    </row>
    <row r="3" spans="1:19" ht="27" customHeight="1" x14ac:dyDescent="0.25">
      <c r="A3" s="1334" t="s">
        <v>460</v>
      </c>
      <c r="B3" s="1337" t="s">
        <v>569</v>
      </c>
      <c r="C3" s="1340" t="s">
        <v>719</v>
      </c>
      <c r="D3" s="1278" t="s">
        <v>752</v>
      </c>
      <c r="E3" s="1279"/>
      <c r="F3" s="1279" t="s">
        <v>692</v>
      </c>
      <c r="G3" s="1279"/>
      <c r="H3" s="1279" t="s">
        <v>720</v>
      </c>
      <c r="I3" s="1279"/>
      <c r="J3" s="1288" t="s">
        <v>709</v>
      </c>
      <c r="K3" s="437"/>
      <c r="L3" s="1343" t="s">
        <v>764</v>
      </c>
      <c r="M3" s="1330" t="s">
        <v>825</v>
      </c>
      <c r="N3" s="1332" t="s">
        <v>694</v>
      </c>
    </row>
    <row r="4" spans="1:19" ht="15" customHeight="1" x14ac:dyDescent="0.25">
      <c r="A4" s="1335"/>
      <c r="B4" s="1338"/>
      <c r="C4" s="1341"/>
      <c r="D4" s="442" t="s">
        <v>753</v>
      </c>
      <c r="E4" s="382" t="s">
        <v>623</v>
      </c>
      <c r="F4" s="442" t="s">
        <v>747</v>
      </c>
      <c r="G4" s="382" t="s">
        <v>623</v>
      </c>
      <c r="H4" s="442" t="s">
        <v>721</v>
      </c>
      <c r="I4" s="382" t="s">
        <v>623</v>
      </c>
      <c r="J4" s="1289"/>
      <c r="K4" s="437"/>
      <c r="L4" s="1344"/>
      <c r="M4" s="1331"/>
      <c r="N4" s="1333"/>
    </row>
    <row r="5" spans="1:19" ht="12.75" customHeight="1" thickBot="1" x14ac:dyDescent="0.3">
      <c r="A5" s="1336"/>
      <c r="B5" s="1339"/>
      <c r="C5" s="1342"/>
      <c r="D5" s="383" t="s">
        <v>539</v>
      </c>
      <c r="E5" s="384" t="s">
        <v>540</v>
      </c>
      <c r="F5" s="384" t="s">
        <v>541</v>
      </c>
      <c r="G5" s="384" t="s">
        <v>542</v>
      </c>
      <c r="H5" s="384" t="s">
        <v>620</v>
      </c>
      <c r="I5" s="384" t="s">
        <v>621</v>
      </c>
      <c r="J5" s="386" t="s">
        <v>695</v>
      </c>
      <c r="K5" s="437"/>
      <c r="L5" s="443" t="s">
        <v>546</v>
      </c>
      <c r="M5" s="385" t="s">
        <v>547</v>
      </c>
      <c r="N5" s="386" t="s">
        <v>722</v>
      </c>
    </row>
    <row r="6" spans="1:19" s="437" customFormat="1" ht="30" customHeight="1" x14ac:dyDescent="0.25">
      <c r="A6" s="445">
        <v>1</v>
      </c>
      <c r="B6" s="640" t="s">
        <v>1287</v>
      </c>
      <c r="C6" s="1006" t="s">
        <v>1288</v>
      </c>
      <c r="D6" s="641">
        <v>0</v>
      </c>
      <c r="E6" s="642">
        <v>0</v>
      </c>
      <c r="F6" s="642">
        <v>22979</v>
      </c>
      <c r="G6" s="642">
        <v>22732</v>
      </c>
      <c r="H6" s="643">
        <f t="shared" ref="H6:I8" si="0">+D6+F6</f>
        <v>22979</v>
      </c>
      <c r="I6" s="643">
        <f t="shared" si="0"/>
        <v>22732</v>
      </c>
      <c r="J6" s="644">
        <f>+H6-I6</f>
        <v>247</v>
      </c>
      <c r="K6" s="645"/>
      <c r="L6" s="646">
        <v>1187</v>
      </c>
      <c r="M6" s="647">
        <v>0</v>
      </c>
      <c r="N6" s="644">
        <f>+I6+L6+M6</f>
        <v>23919</v>
      </c>
    </row>
    <row r="7" spans="1:19" ht="30" customHeight="1" x14ac:dyDescent="0.25">
      <c r="A7" s="446">
        <f>+A6+1</f>
        <v>2</v>
      </c>
      <c r="B7" s="648" t="s">
        <v>1289</v>
      </c>
      <c r="C7" s="1007" t="s">
        <v>1290</v>
      </c>
      <c r="D7" s="649">
        <v>0</v>
      </c>
      <c r="E7" s="650">
        <v>0</v>
      </c>
      <c r="F7" s="650">
        <v>18318</v>
      </c>
      <c r="G7" s="650">
        <v>18318</v>
      </c>
      <c r="H7" s="604">
        <f t="shared" si="0"/>
        <v>18318</v>
      </c>
      <c r="I7" s="604">
        <f t="shared" si="0"/>
        <v>18318</v>
      </c>
      <c r="J7" s="605">
        <f>+H7-I7</f>
        <v>0</v>
      </c>
      <c r="K7" s="651"/>
      <c r="L7" s="649">
        <v>1241</v>
      </c>
      <c r="M7" s="650">
        <v>0</v>
      </c>
      <c r="N7" s="605">
        <f>+I7+L7+M7</f>
        <v>19559</v>
      </c>
    </row>
    <row r="8" spans="1:19" ht="30" customHeight="1" thickBot="1" x14ac:dyDescent="0.3">
      <c r="A8" s="542">
        <v>3</v>
      </c>
      <c r="B8" s="652" t="s">
        <v>1291</v>
      </c>
      <c r="C8" s="1008" t="s">
        <v>1292</v>
      </c>
      <c r="D8" s="653">
        <v>0</v>
      </c>
      <c r="E8" s="654">
        <v>0</v>
      </c>
      <c r="F8" s="654">
        <v>2059</v>
      </c>
      <c r="G8" s="654">
        <v>2059</v>
      </c>
      <c r="H8" s="636">
        <f t="shared" si="0"/>
        <v>2059</v>
      </c>
      <c r="I8" s="636">
        <f t="shared" si="0"/>
        <v>2059</v>
      </c>
      <c r="J8" s="639">
        <f>+H8-I8</f>
        <v>0</v>
      </c>
      <c r="K8" s="651"/>
      <c r="L8" s="655">
        <v>597</v>
      </c>
      <c r="M8" s="656">
        <v>0</v>
      </c>
      <c r="N8" s="639">
        <f>+I8+L8+M8</f>
        <v>2656</v>
      </c>
    </row>
    <row r="9" spans="1:19" s="447" customFormat="1" ht="12.75" customHeight="1" thickBot="1" x14ac:dyDescent="0.3">
      <c r="A9" s="1123">
        <f>+A8+1</f>
        <v>4</v>
      </c>
      <c r="B9" s="664" t="s">
        <v>1569</v>
      </c>
      <c r="C9" s="657"/>
      <c r="D9" s="1082">
        <f t="shared" ref="D9:J9" si="1">SUM(D6:D8)</f>
        <v>0</v>
      </c>
      <c r="E9" s="1079">
        <f t="shared" si="1"/>
        <v>0</v>
      </c>
      <c r="F9" s="1079">
        <f t="shared" si="1"/>
        <v>43356</v>
      </c>
      <c r="G9" s="1079">
        <f t="shared" si="1"/>
        <v>43109</v>
      </c>
      <c r="H9" s="1079">
        <f t="shared" si="1"/>
        <v>43356</v>
      </c>
      <c r="I9" s="1079">
        <f t="shared" si="1"/>
        <v>43109</v>
      </c>
      <c r="J9" s="1080">
        <f t="shared" si="1"/>
        <v>247</v>
      </c>
      <c r="K9" s="658"/>
      <c r="L9" s="1082">
        <f>SUM(L6:L8)</f>
        <v>3025</v>
      </c>
      <c r="M9" s="1079">
        <f>SUM(M6:M8)</f>
        <v>0</v>
      </c>
      <c r="N9" s="1080">
        <f>SUM(N6:N8)</f>
        <v>46134</v>
      </c>
    </row>
    <row r="10" spans="1:19" ht="12.75" customHeight="1" x14ac:dyDescent="0.25">
      <c r="A10" s="512"/>
      <c r="B10" s="513"/>
      <c r="C10" s="513"/>
      <c r="D10" s="514"/>
      <c r="E10" s="514"/>
      <c r="F10" s="514"/>
      <c r="G10" s="514"/>
      <c r="H10" s="514"/>
      <c r="I10" s="514"/>
      <c r="J10" s="514"/>
      <c r="K10" s="515"/>
      <c r="L10" s="514"/>
      <c r="M10" s="514"/>
      <c r="N10" s="514"/>
    </row>
    <row r="11" spans="1:19" ht="12.75" customHeight="1" x14ac:dyDescent="0.25">
      <c r="A11" s="206" t="s">
        <v>578</v>
      </c>
    </row>
    <row r="12" spans="1:19" ht="12.75" customHeight="1" x14ac:dyDescent="0.25">
      <c r="A12" s="1329" t="s">
        <v>1086</v>
      </c>
      <c r="B12" s="1329"/>
      <c r="C12" s="1329"/>
      <c r="D12" s="1329"/>
      <c r="E12" s="1329"/>
      <c r="F12" s="1329"/>
      <c r="G12" s="1329"/>
      <c r="H12" s="1329"/>
      <c r="I12" s="1329"/>
      <c r="J12" s="1329"/>
      <c r="K12" s="1329"/>
      <c r="L12" s="1329"/>
      <c r="M12" s="1329"/>
      <c r="N12" s="1329"/>
    </row>
    <row r="13" spans="1:19" ht="12.75" customHeight="1" x14ac:dyDescent="0.25">
      <c r="A13" s="1329" t="s">
        <v>1087</v>
      </c>
      <c r="B13" s="1329"/>
      <c r="C13" s="1329"/>
      <c r="D13" s="1329"/>
      <c r="E13" s="1329"/>
      <c r="F13" s="1329"/>
      <c r="G13" s="1329"/>
      <c r="H13" s="1329"/>
      <c r="I13" s="1329"/>
      <c r="J13" s="1329"/>
      <c r="K13" s="1329"/>
      <c r="L13" s="1329"/>
      <c r="M13" s="1329"/>
      <c r="N13" s="1329"/>
    </row>
    <row r="14" spans="1:19" s="447" customFormat="1" ht="12.75" customHeight="1" x14ac:dyDescent="0.25">
      <c r="A14" s="1329" t="s">
        <v>754</v>
      </c>
      <c r="B14" s="1329"/>
      <c r="C14" s="1329"/>
      <c r="D14" s="1329"/>
      <c r="E14" s="1329"/>
      <c r="F14" s="1329"/>
      <c r="G14" s="1329"/>
      <c r="H14" s="1329"/>
      <c r="I14" s="1329"/>
      <c r="J14" s="1329"/>
      <c r="K14" s="1329"/>
      <c r="L14" s="1329"/>
      <c r="M14" s="1329"/>
      <c r="N14" s="1329"/>
    </row>
    <row r="15" spans="1:19" s="516" customFormat="1" x14ac:dyDescent="0.25">
      <c r="A15" s="1329" t="s">
        <v>765</v>
      </c>
      <c r="B15" s="1329"/>
      <c r="C15" s="1329"/>
      <c r="D15" s="1329"/>
      <c r="E15" s="1329"/>
      <c r="F15" s="1329"/>
      <c r="G15" s="1329"/>
      <c r="H15" s="1329"/>
      <c r="I15" s="1329"/>
      <c r="J15" s="1329"/>
      <c r="K15" s="1329"/>
      <c r="L15" s="1329"/>
      <c r="M15" s="1329"/>
      <c r="N15" s="1329"/>
    </row>
    <row r="16" spans="1:19" ht="18" customHeight="1" x14ac:dyDescent="0.25">
      <c r="A16" s="1329" t="s">
        <v>785</v>
      </c>
      <c r="B16" s="1329"/>
      <c r="C16" s="1329"/>
      <c r="D16" s="1329"/>
      <c r="E16" s="1329"/>
      <c r="F16" s="1329"/>
      <c r="G16" s="1329"/>
      <c r="H16" s="1329"/>
      <c r="I16" s="1329"/>
      <c r="J16" s="1329"/>
      <c r="K16" s="1329"/>
      <c r="L16" s="1329"/>
      <c r="M16" s="1329"/>
      <c r="N16" s="1329"/>
    </row>
    <row r="17" spans="1:1" ht="30" customHeight="1" x14ac:dyDescent="0.25"/>
    <row r="18" spans="1:1" ht="14.25" customHeight="1" x14ac:dyDescent="0.25">
      <c r="A18" s="438" t="s">
        <v>1121</v>
      </c>
    </row>
  </sheetData>
  <sheetProtection insertRows="0" deleteRows="0"/>
  <customSheetViews>
    <customSheetView guid="{2AF6EA2A-E5C5-45EB-B6C4-875AD1E4E056}" fitToPage="1">
      <pageMargins left="0.19685039370078741" right="0.19685039370078741" top="0.98425196850393704" bottom="0.98425196850393704" header="0.51181102362204722" footer="0.51181102362204722"/>
      <printOptions horizontalCentered="1"/>
      <pageSetup paperSize="9" scale="89" orientation="landscape" cellComments="asDisplayed" r:id="rId1"/>
      <headerFooter alignWithMargins="0"/>
    </customSheetView>
  </customSheetViews>
  <mergeCells count="15">
    <mergeCell ref="A13:N13"/>
    <mergeCell ref="A14:N14"/>
    <mergeCell ref="A15:N15"/>
    <mergeCell ref="A16:N16"/>
    <mergeCell ref="M3:M4"/>
    <mergeCell ref="N3:N4"/>
    <mergeCell ref="H3:I3"/>
    <mergeCell ref="J3:J4"/>
    <mergeCell ref="A3:A5"/>
    <mergeCell ref="B3:B5"/>
    <mergeCell ref="C3:C5"/>
    <mergeCell ref="D3:E3"/>
    <mergeCell ref="F3:G3"/>
    <mergeCell ref="L3:L4"/>
    <mergeCell ref="A12:N12"/>
  </mergeCells>
  <printOptions horizontalCentered="1"/>
  <pageMargins left="0.19685039370078741" right="0.19685039370078741" top="0.98425196850393704" bottom="0.98425196850393704" header="0.51181102362204722" footer="0.51181102362204722"/>
  <pageSetup paperSize="9" scale="89" orientation="landscape" cellComments="asDisplayed" r:id="rId2"/>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9">
    <tabColor rgb="FFF07F52"/>
    <pageSetUpPr fitToPage="1"/>
  </sheetPr>
  <dimension ref="A1:S43"/>
  <sheetViews>
    <sheetView zoomScale="89" zoomScaleNormal="89" workbookViewId="0">
      <selection activeCell="A36" sqref="A36:S36"/>
    </sheetView>
  </sheetViews>
  <sheetFormatPr defaultColWidth="9.42578125" defaultRowHeight="15" x14ac:dyDescent="0.25"/>
  <cols>
    <col min="1" max="1" width="4" style="149" customWidth="1"/>
    <col min="2" max="2" width="2.28515625" style="149" customWidth="1"/>
    <col min="3" max="3" width="4.7109375" style="149" customWidth="1"/>
    <col min="4" max="4" width="7.7109375" style="149" customWidth="1"/>
    <col min="5" max="5" width="41.5703125" style="149" customWidth="1"/>
    <col min="6" max="6" width="5.42578125" style="149" customWidth="1"/>
    <col min="7" max="7" width="12.42578125" style="149" customWidth="1"/>
    <col min="8" max="8" width="10.140625" style="149" customWidth="1"/>
    <col min="9" max="9" width="11" style="149" customWidth="1"/>
    <col min="10" max="10" width="9.7109375" style="149" customWidth="1"/>
    <col min="11" max="11" width="11.28515625" style="149" customWidth="1"/>
    <col min="12" max="12" width="9.42578125" style="149" customWidth="1"/>
    <col min="13" max="13" width="10.85546875" style="149" customWidth="1"/>
    <col min="14" max="14" width="10.7109375" style="149" customWidth="1"/>
    <col min="15" max="15" width="10.42578125" style="149" customWidth="1"/>
    <col min="16" max="16" width="10.85546875" style="149" customWidth="1"/>
    <col min="17" max="17" width="2.140625" style="149" customWidth="1"/>
    <col min="18" max="19" width="10.140625" style="149" customWidth="1"/>
    <col min="20" max="248" width="9.140625" style="149" customWidth="1"/>
    <col min="249" max="249" width="5.28515625" style="149" customWidth="1"/>
    <col min="250" max="250" width="5.42578125" style="149" customWidth="1"/>
    <col min="251" max="251" width="7.7109375" style="149" customWidth="1"/>
    <col min="252" max="252" width="39.42578125" style="149" customWidth="1"/>
    <col min="253" max="253" width="11.28515625" style="149" customWidth="1"/>
    <col min="254" max="16384" width="9.42578125" style="149"/>
  </cols>
  <sheetData>
    <row r="1" spans="1:19" ht="15.75" x14ac:dyDescent="0.25">
      <c r="A1" s="544" t="s">
        <v>1088</v>
      </c>
      <c r="C1" s="153"/>
      <c r="D1" s="153"/>
      <c r="E1" s="153"/>
      <c r="F1" s="153"/>
    </row>
    <row r="2" spans="1:19" ht="16.5" thickBot="1" x14ac:dyDescent="0.3">
      <c r="B2" s="153"/>
      <c r="C2" s="153"/>
      <c r="D2" s="153"/>
      <c r="S2" s="459" t="s">
        <v>488</v>
      </c>
    </row>
    <row r="3" spans="1:19" s="152" customFormat="1" ht="50.25" customHeight="1" x14ac:dyDescent="0.25">
      <c r="A3" s="1290" t="s">
        <v>460</v>
      </c>
      <c r="B3" s="1295" t="s">
        <v>767</v>
      </c>
      <c r="C3" s="1295"/>
      <c r="D3" s="1295"/>
      <c r="E3" s="1295"/>
      <c r="F3" s="1352" t="s">
        <v>771</v>
      </c>
      <c r="G3" s="1278" t="s">
        <v>691</v>
      </c>
      <c r="H3" s="1279"/>
      <c r="I3" s="1279" t="s">
        <v>692</v>
      </c>
      <c r="J3" s="1279"/>
      <c r="K3" s="1279" t="s">
        <v>693</v>
      </c>
      <c r="L3" s="1358"/>
      <c r="M3" s="1350" t="s">
        <v>770</v>
      </c>
      <c r="N3" s="1312" t="s">
        <v>1051</v>
      </c>
      <c r="O3" s="1330" t="s">
        <v>873</v>
      </c>
      <c r="P3" s="1288" t="s">
        <v>874</v>
      </c>
      <c r="R3" s="1343" t="s">
        <v>828</v>
      </c>
      <c r="S3" s="1345" t="s">
        <v>694</v>
      </c>
    </row>
    <row r="4" spans="1:19" s="152" customFormat="1" ht="15" customHeight="1" x14ac:dyDescent="0.25">
      <c r="A4" s="1291"/>
      <c r="B4" s="1297"/>
      <c r="C4" s="1297"/>
      <c r="D4" s="1297"/>
      <c r="E4" s="1297"/>
      <c r="F4" s="1353"/>
      <c r="G4" s="442" t="s">
        <v>768</v>
      </c>
      <c r="H4" s="382" t="s">
        <v>769</v>
      </c>
      <c r="I4" s="382" t="s">
        <v>618</v>
      </c>
      <c r="J4" s="382" t="s">
        <v>623</v>
      </c>
      <c r="K4" s="382" t="s">
        <v>618</v>
      </c>
      <c r="L4" s="496" t="s">
        <v>623</v>
      </c>
      <c r="M4" s="1351"/>
      <c r="N4" s="1313"/>
      <c r="O4" s="1331"/>
      <c r="P4" s="1289"/>
      <c r="R4" s="1344"/>
      <c r="S4" s="1346"/>
    </row>
    <row r="5" spans="1:19" s="152" customFormat="1" ht="17.25" customHeight="1" thickBot="1" x14ac:dyDescent="0.3">
      <c r="A5" s="1292"/>
      <c r="B5" s="1299"/>
      <c r="C5" s="1299"/>
      <c r="D5" s="1299"/>
      <c r="E5" s="1299"/>
      <c r="F5" s="1354"/>
      <c r="G5" s="383" t="s">
        <v>539</v>
      </c>
      <c r="H5" s="384" t="s">
        <v>540</v>
      </c>
      <c r="I5" s="384" t="s">
        <v>541</v>
      </c>
      <c r="J5" s="384" t="s">
        <v>542</v>
      </c>
      <c r="K5" s="384" t="s">
        <v>620</v>
      </c>
      <c r="L5" s="497" t="s">
        <v>621</v>
      </c>
      <c r="M5" s="486" t="s">
        <v>757</v>
      </c>
      <c r="N5" s="510" t="s">
        <v>766</v>
      </c>
      <c r="O5" s="385" t="s">
        <v>695</v>
      </c>
      <c r="P5" s="386" t="s">
        <v>546</v>
      </c>
      <c r="R5" s="443" t="s">
        <v>547</v>
      </c>
      <c r="S5" s="444" t="s">
        <v>852</v>
      </c>
    </row>
    <row r="6" spans="1:19" s="154" customFormat="1" ht="16.5" customHeight="1" x14ac:dyDescent="0.25">
      <c r="A6" s="525">
        <v>1</v>
      </c>
      <c r="B6" s="1355" t="s">
        <v>622</v>
      </c>
      <c r="C6" s="1356"/>
      <c r="D6" s="1356"/>
      <c r="E6" s="1357"/>
      <c r="F6" s="519"/>
      <c r="G6" s="599">
        <f t="shared" ref="G6:L6" si="0">+G7+G15</f>
        <v>31420</v>
      </c>
      <c r="H6" s="596">
        <f t="shared" si="0"/>
        <v>64084.6</v>
      </c>
      <c r="I6" s="596">
        <f t="shared" si="0"/>
        <v>133467</v>
      </c>
      <c r="J6" s="596">
        <f t="shared" si="0"/>
        <v>145520</v>
      </c>
      <c r="K6" s="596">
        <f t="shared" si="0"/>
        <v>164887</v>
      </c>
      <c r="L6" s="611">
        <f t="shared" si="0"/>
        <v>209604.6</v>
      </c>
      <c r="M6" s="630">
        <v>85</v>
      </c>
      <c r="N6" s="630">
        <f>+N7+N15</f>
        <v>3917</v>
      </c>
      <c r="O6" s="596">
        <f>+O7+O15</f>
        <v>-44717.599999999999</v>
      </c>
      <c r="P6" s="597">
        <f>+P7+P15</f>
        <v>10965</v>
      </c>
      <c r="Q6" s="598"/>
      <c r="R6" s="599">
        <f>+R7+R15</f>
        <v>44695</v>
      </c>
      <c r="S6" s="597">
        <f>+S7+S15</f>
        <v>254299.6</v>
      </c>
    </row>
    <row r="7" spans="1:19" s="154" customFormat="1" ht="12.75" x14ac:dyDescent="0.25">
      <c r="A7" s="526">
        <f>A6+1</f>
        <v>2</v>
      </c>
      <c r="B7" s="1347" t="s">
        <v>846</v>
      </c>
      <c r="C7" s="1348"/>
      <c r="D7" s="1348"/>
      <c r="E7" s="1349"/>
      <c r="F7" s="498"/>
      <c r="G7" s="603">
        <f t="shared" ref="G7:L7" si="1">G8+G13</f>
        <v>27778</v>
      </c>
      <c r="H7" s="631">
        <f t="shared" si="1"/>
        <v>57572</v>
      </c>
      <c r="I7" s="631">
        <f t="shared" si="1"/>
        <v>0</v>
      </c>
      <c r="J7" s="631">
        <f t="shared" si="1"/>
        <v>0</v>
      </c>
      <c r="K7" s="631">
        <f t="shared" si="1"/>
        <v>27778</v>
      </c>
      <c r="L7" s="613">
        <f t="shared" si="1"/>
        <v>57572</v>
      </c>
      <c r="M7" s="631">
        <v>85</v>
      </c>
      <c r="N7" s="631">
        <f>N8+N13</f>
        <v>3917</v>
      </c>
      <c r="O7" s="600">
        <f>O8+O13</f>
        <v>-29794</v>
      </c>
      <c r="P7" s="601">
        <f>P8+P13</f>
        <v>8803</v>
      </c>
      <c r="Q7" s="598"/>
      <c r="R7" s="603">
        <f>R8+R13</f>
        <v>3</v>
      </c>
      <c r="S7" s="601">
        <f>S8+S13</f>
        <v>57575</v>
      </c>
    </row>
    <row r="8" spans="1:19" s="152" customFormat="1" ht="12.75" customHeight="1" x14ac:dyDescent="0.25">
      <c r="A8" s="467">
        <f>+A7+1</f>
        <v>3</v>
      </c>
      <c r="B8" s="468"/>
      <c r="C8" s="1368" t="s">
        <v>697</v>
      </c>
      <c r="D8" s="1368"/>
      <c r="E8" s="1373"/>
      <c r="F8" s="500"/>
      <c r="G8" s="772">
        <f>+G9+G10+G11+G12</f>
        <v>27778</v>
      </c>
      <c r="H8" s="771">
        <f>+H9+H10+H11+H12</f>
        <v>57572</v>
      </c>
      <c r="I8" s="604">
        <f>+I9+I10+I11+I12</f>
        <v>0</v>
      </c>
      <c r="J8" s="632">
        <f>+J9+J10+J11+J12</f>
        <v>0</v>
      </c>
      <c r="K8" s="604">
        <f t="shared" ref="K8:L12" si="2">+G8+I8</f>
        <v>27778</v>
      </c>
      <c r="L8" s="614">
        <f t="shared" si="2"/>
        <v>57572</v>
      </c>
      <c r="M8" s="632">
        <v>85</v>
      </c>
      <c r="N8" s="632">
        <f>+N9+N10+N11+N12</f>
        <v>3917</v>
      </c>
      <c r="O8" s="604">
        <f t="shared" ref="O8:O12" si="3">+K8-L8</f>
        <v>-29794</v>
      </c>
      <c r="P8" s="605">
        <f>+P9+P10+P11+P12</f>
        <v>8803</v>
      </c>
      <c r="Q8" s="602"/>
      <c r="R8" s="607">
        <f>+R9+R10+R11+R12</f>
        <v>3</v>
      </c>
      <c r="S8" s="605">
        <f t="shared" ref="S8:S12" si="4">+L8+R8</f>
        <v>57575</v>
      </c>
    </row>
    <row r="9" spans="1:19" s="152" customFormat="1" ht="12.75" x14ac:dyDescent="0.25">
      <c r="A9" s="1084">
        <f t="shared" ref="A9:A30" si="5">+A8+1</f>
        <v>4</v>
      </c>
      <c r="B9" s="1016"/>
      <c r="C9" s="1016"/>
      <c r="D9" s="1374" t="s">
        <v>698</v>
      </c>
      <c r="E9" s="1375"/>
      <c r="F9" s="1085"/>
      <c r="G9" s="772">
        <f>12642-3503</f>
        <v>9139</v>
      </c>
      <c r="H9" s="771">
        <v>21755</v>
      </c>
      <c r="I9" s="604">
        <v>0</v>
      </c>
      <c r="J9" s="604">
        <v>0</v>
      </c>
      <c r="K9" s="604">
        <f t="shared" si="2"/>
        <v>9139</v>
      </c>
      <c r="L9" s="614">
        <f>+H9+J9</f>
        <v>21755</v>
      </c>
      <c r="M9" s="632">
        <v>85</v>
      </c>
      <c r="N9" s="632">
        <v>454</v>
      </c>
      <c r="O9" s="604">
        <f t="shared" si="3"/>
        <v>-12616</v>
      </c>
      <c r="P9" s="605">
        <v>6893</v>
      </c>
      <c r="Q9" s="1072"/>
      <c r="R9" s="607">
        <v>1</v>
      </c>
      <c r="S9" s="605">
        <f>+L9+R9</f>
        <v>21756</v>
      </c>
    </row>
    <row r="10" spans="1:19" s="152" customFormat="1" ht="12.75" x14ac:dyDescent="0.25">
      <c r="A10" s="1084">
        <f t="shared" si="5"/>
        <v>5</v>
      </c>
      <c r="B10" s="1016"/>
      <c r="C10" s="1016"/>
      <c r="D10" s="1374" t="s">
        <v>699</v>
      </c>
      <c r="E10" s="1375"/>
      <c r="F10" s="1085"/>
      <c r="G10" s="607">
        <v>14477</v>
      </c>
      <c r="H10" s="604">
        <v>13377</v>
      </c>
      <c r="I10" s="604">
        <v>0</v>
      </c>
      <c r="J10" s="604">
        <v>0</v>
      </c>
      <c r="K10" s="604">
        <f t="shared" si="2"/>
        <v>14477</v>
      </c>
      <c r="L10" s="614">
        <f t="shared" si="2"/>
        <v>13377</v>
      </c>
      <c r="M10" s="632">
        <v>85</v>
      </c>
      <c r="N10" s="632">
        <v>2805</v>
      </c>
      <c r="O10" s="604">
        <f t="shared" si="3"/>
        <v>1100</v>
      </c>
      <c r="P10" s="605">
        <v>13</v>
      </c>
      <c r="Q10" s="1072"/>
      <c r="R10" s="607">
        <v>0</v>
      </c>
      <c r="S10" s="605">
        <f t="shared" si="4"/>
        <v>13377</v>
      </c>
    </row>
    <row r="11" spans="1:19" s="152" customFormat="1" ht="12.75" x14ac:dyDescent="0.25">
      <c r="A11" s="1084">
        <f t="shared" si="5"/>
        <v>6</v>
      </c>
      <c r="B11" s="1016"/>
      <c r="C11" s="1016"/>
      <c r="D11" s="1374" t="s">
        <v>699</v>
      </c>
      <c r="E11" s="1375"/>
      <c r="F11" s="1085" t="s">
        <v>605</v>
      </c>
      <c r="G11" s="607">
        <f>8435-4273</f>
        <v>4162</v>
      </c>
      <c r="H11" s="604">
        <v>22440</v>
      </c>
      <c r="I11" s="604">
        <v>0</v>
      </c>
      <c r="J11" s="604">
        <v>0</v>
      </c>
      <c r="K11" s="604">
        <f t="shared" si="2"/>
        <v>4162</v>
      </c>
      <c r="L11" s="614">
        <f t="shared" si="2"/>
        <v>22440</v>
      </c>
      <c r="M11" s="632">
        <v>85</v>
      </c>
      <c r="N11" s="632">
        <v>658</v>
      </c>
      <c r="O11" s="604">
        <f t="shared" si="3"/>
        <v>-18278</v>
      </c>
      <c r="P11" s="605">
        <v>1897</v>
      </c>
      <c r="Q11" s="1072"/>
      <c r="R11" s="607">
        <v>2</v>
      </c>
      <c r="S11" s="605">
        <f t="shared" si="4"/>
        <v>22442</v>
      </c>
    </row>
    <row r="12" spans="1:19" s="152" customFormat="1" ht="12.75" x14ac:dyDescent="0.25">
      <c r="A12" s="1084">
        <f t="shared" si="5"/>
        <v>7</v>
      </c>
      <c r="B12" s="1086"/>
      <c r="C12" s="1086"/>
      <c r="D12" s="1374" t="s">
        <v>700</v>
      </c>
      <c r="E12" s="1375"/>
      <c r="F12" s="1087"/>
      <c r="G12" s="607">
        <v>0</v>
      </c>
      <c r="H12" s="604">
        <v>0</v>
      </c>
      <c r="I12" s="604">
        <v>0</v>
      </c>
      <c r="J12" s="604">
        <v>0</v>
      </c>
      <c r="K12" s="604">
        <f t="shared" si="2"/>
        <v>0</v>
      </c>
      <c r="L12" s="614">
        <f t="shared" si="2"/>
        <v>0</v>
      </c>
      <c r="M12" s="632">
        <v>85</v>
      </c>
      <c r="N12" s="632">
        <v>0</v>
      </c>
      <c r="O12" s="604">
        <f t="shared" si="3"/>
        <v>0</v>
      </c>
      <c r="P12" s="605">
        <v>0</v>
      </c>
      <c r="Q12" s="1072"/>
      <c r="R12" s="607">
        <v>0</v>
      </c>
      <c r="S12" s="605">
        <f t="shared" si="4"/>
        <v>0</v>
      </c>
    </row>
    <row r="13" spans="1:19" s="154" customFormat="1" ht="12.75" x14ac:dyDescent="0.25">
      <c r="A13" s="467">
        <f t="shared" si="5"/>
        <v>8</v>
      </c>
      <c r="B13" s="472"/>
      <c r="C13" s="1369" t="s">
        <v>1385</v>
      </c>
      <c r="D13" s="1369"/>
      <c r="E13" s="1370"/>
      <c r="F13" s="499"/>
      <c r="G13" s="607">
        <f t="shared" ref="G13:L13" si="6">+G14</f>
        <v>0</v>
      </c>
      <c r="H13" s="604">
        <f t="shared" si="6"/>
        <v>0</v>
      </c>
      <c r="I13" s="604">
        <f t="shared" si="6"/>
        <v>0</v>
      </c>
      <c r="J13" s="604">
        <f t="shared" si="6"/>
        <v>0</v>
      </c>
      <c r="K13" s="604">
        <f t="shared" si="6"/>
        <v>0</v>
      </c>
      <c r="L13" s="614">
        <f t="shared" si="6"/>
        <v>0</v>
      </c>
      <c r="M13" s="632">
        <v>85</v>
      </c>
      <c r="N13" s="632">
        <f>+N14</f>
        <v>0</v>
      </c>
      <c r="O13" s="604">
        <f>+O14</f>
        <v>0</v>
      </c>
      <c r="P13" s="605">
        <f>+P14</f>
        <v>0</v>
      </c>
      <c r="Q13" s="602"/>
      <c r="R13" s="607">
        <f>+R14</f>
        <v>0</v>
      </c>
      <c r="S13" s="605">
        <f>+S14</f>
        <v>0</v>
      </c>
    </row>
    <row r="14" spans="1:19" s="152" customFormat="1" ht="12.75" x14ac:dyDescent="0.25">
      <c r="A14" s="1084">
        <f t="shared" si="5"/>
        <v>9</v>
      </c>
      <c r="B14" s="1016"/>
      <c r="C14" s="1016"/>
      <c r="D14" s="1371" t="s">
        <v>1386</v>
      </c>
      <c r="E14" s="1372"/>
      <c r="F14" s="1085"/>
      <c r="G14" s="607">
        <v>0</v>
      </c>
      <c r="H14" s="604">
        <v>0</v>
      </c>
      <c r="I14" s="604">
        <v>0</v>
      </c>
      <c r="J14" s="604">
        <v>0</v>
      </c>
      <c r="K14" s="604">
        <f>+G14+I14</f>
        <v>0</v>
      </c>
      <c r="L14" s="614">
        <f>+H14+J14</f>
        <v>0</v>
      </c>
      <c r="M14" s="632">
        <v>85</v>
      </c>
      <c r="N14" s="632">
        <v>0</v>
      </c>
      <c r="O14" s="604">
        <f>+K14-L14</f>
        <v>0</v>
      </c>
      <c r="P14" s="605">
        <v>0</v>
      </c>
      <c r="Q14" s="1072"/>
      <c r="R14" s="607">
        <v>0</v>
      </c>
      <c r="S14" s="605">
        <f>+L14+R14</f>
        <v>0</v>
      </c>
    </row>
    <row r="15" spans="1:19" s="152" customFormat="1" ht="12.75" x14ac:dyDescent="0.25">
      <c r="A15" s="520">
        <f t="shared" si="5"/>
        <v>10</v>
      </c>
      <c r="B15" s="1348" t="s">
        <v>847</v>
      </c>
      <c r="C15" s="1348"/>
      <c r="D15" s="1348"/>
      <c r="E15" s="1348"/>
      <c r="F15" s="1093" t="s">
        <v>605</v>
      </c>
      <c r="G15" s="603">
        <f>G20+G23</f>
        <v>3642</v>
      </c>
      <c r="H15" s="600">
        <f>H20+H23</f>
        <v>6512.6</v>
      </c>
      <c r="I15" s="600">
        <f>I20+I23</f>
        <v>133467</v>
      </c>
      <c r="J15" s="600">
        <f>J20+J23</f>
        <v>145520</v>
      </c>
      <c r="K15" s="600">
        <f t="shared" ref="K15" si="7">K20+K23</f>
        <v>137109</v>
      </c>
      <c r="L15" s="613">
        <f>L20+L23</f>
        <v>152032.6</v>
      </c>
      <c r="M15" s="631">
        <v>85</v>
      </c>
      <c r="N15" s="600">
        <f>N20+N23</f>
        <v>0</v>
      </c>
      <c r="O15" s="600">
        <f>O20+O23</f>
        <v>-14923.6</v>
      </c>
      <c r="P15" s="601">
        <f>P20+P23</f>
        <v>2162</v>
      </c>
      <c r="Q15" s="598"/>
      <c r="R15" s="603">
        <f>R20+R23</f>
        <v>44692</v>
      </c>
      <c r="S15" s="601">
        <f>S20+S23</f>
        <v>196724.6</v>
      </c>
    </row>
    <row r="16" spans="1:19" s="152" customFormat="1" ht="12.75" x14ac:dyDescent="0.25">
      <c r="A16" s="467">
        <f t="shared" si="5"/>
        <v>11</v>
      </c>
      <c r="B16" s="468"/>
      <c r="C16" s="1368" t="s">
        <v>701</v>
      </c>
      <c r="D16" s="1368"/>
      <c r="E16" s="1368"/>
      <c r="F16" s="500"/>
      <c r="G16" s="607">
        <v>0</v>
      </c>
      <c r="H16" s="604">
        <v>0</v>
      </c>
      <c r="I16" s="604">
        <v>0</v>
      </c>
      <c r="J16" s="604">
        <v>0</v>
      </c>
      <c r="K16" s="604">
        <f t="shared" ref="K16:L24" si="8">+G16+I16</f>
        <v>0</v>
      </c>
      <c r="L16" s="614">
        <f t="shared" si="8"/>
        <v>0</v>
      </c>
      <c r="M16" s="632">
        <v>0</v>
      </c>
      <c r="N16" s="632">
        <v>0</v>
      </c>
      <c r="O16" s="604">
        <f t="shared" ref="O16:O24" si="9">+K16-L16</f>
        <v>0</v>
      </c>
      <c r="P16" s="605">
        <v>0</v>
      </c>
      <c r="Q16" s="602"/>
      <c r="R16" s="607">
        <v>0</v>
      </c>
      <c r="S16" s="605">
        <f t="shared" ref="S16:S24" si="10">+L16+R16</f>
        <v>0</v>
      </c>
    </row>
    <row r="17" spans="1:19" s="152" customFormat="1" ht="12.75" x14ac:dyDescent="0.25">
      <c r="A17" s="467">
        <f t="shared" si="5"/>
        <v>12</v>
      </c>
      <c r="B17" s="468"/>
      <c r="C17" s="983"/>
      <c r="D17" s="983" t="s">
        <v>702</v>
      </c>
      <c r="E17" s="983"/>
      <c r="F17" s="500"/>
      <c r="G17" s="607">
        <v>0</v>
      </c>
      <c r="H17" s="604">
        <v>0</v>
      </c>
      <c r="I17" s="604"/>
      <c r="J17" s="604"/>
      <c r="K17" s="604">
        <f t="shared" si="8"/>
        <v>0</v>
      </c>
      <c r="L17" s="614">
        <f t="shared" si="8"/>
        <v>0</v>
      </c>
      <c r="M17" s="632">
        <v>0</v>
      </c>
      <c r="N17" s="632">
        <v>0</v>
      </c>
      <c r="O17" s="604">
        <f t="shared" si="9"/>
        <v>0</v>
      </c>
      <c r="P17" s="605">
        <v>0</v>
      </c>
      <c r="Q17" s="602"/>
      <c r="R17" s="607">
        <v>0</v>
      </c>
      <c r="S17" s="605">
        <f t="shared" si="10"/>
        <v>0</v>
      </c>
    </row>
    <row r="18" spans="1:19" s="152" customFormat="1" ht="12.75" x14ac:dyDescent="0.25">
      <c r="A18" s="467">
        <f t="shared" si="5"/>
        <v>13</v>
      </c>
      <c r="B18" s="468"/>
      <c r="C18" s="1368" t="s">
        <v>703</v>
      </c>
      <c r="D18" s="1368"/>
      <c r="E18" s="1368"/>
      <c r="F18" s="500"/>
      <c r="G18" s="607">
        <v>0</v>
      </c>
      <c r="H18" s="604">
        <v>0</v>
      </c>
      <c r="I18" s="604">
        <v>0</v>
      </c>
      <c r="J18" s="604">
        <v>0</v>
      </c>
      <c r="K18" s="604">
        <f t="shared" si="8"/>
        <v>0</v>
      </c>
      <c r="L18" s="614">
        <f t="shared" si="8"/>
        <v>0</v>
      </c>
      <c r="M18" s="632">
        <v>0</v>
      </c>
      <c r="N18" s="632">
        <v>0</v>
      </c>
      <c r="O18" s="604">
        <f t="shared" si="9"/>
        <v>0</v>
      </c>
      <c r="P18" s="605">
        <v>0</v>
      </c>
      <c r="Q18" s="602"/>
      <c r="R18" s="607">
        <v>0</v>
      </c>
      <c r="S18" s="605">
        <f t="shared" si="10"/>
        <v>0</v>
      </c>
    </row>
    <row r="19" spans="1:19" s="152" customFormat="1" ht="12.75" x14ac:dyDescent="0.25">
      <c r="A19" s="467">
        <f t="shared" si="5"/>
        <v>14</v>
      </c>
      <c r="B19" s="326"/>
      <c r="C19" s="484"/>
      <c r="D19" s="470" t="s">
        <v>704</v>
      </c>
      <c r="E19" s="983"/>
      <c r="F19" s="500"/>
      <c r="G19" s="607">
        <v>0</v>
      </c>
      <c r="H19" s="604">
        <v>0</v>
      </c>
      <c r="I19" s="604">
        <v>0</v>
      </c>
      <c r="J19" s="604">
        <v>0</v>
      </c>
      <c r="K19" s="604">
        <f t="shared" si="8"/>
        <v>0</v>
      </c>
      <c r="L19" s="614">
        <f t="shared" si="8"/>
        <v>0</v>
      </c>
      <c r="M19" s="632">
        <v>0</v>
      </c>
      <c r="N19" s="632">
        <v>0</v>
      </c>
      <c r="O19" s="604">
        <f t="shared" si="9"/>
        <v>0</v>
      </c>
      <c r="P19" s="605">
        <v>0</v>
      </c>
      <c r="Q19" s="602"/>
      <c r="R19" s="607">
        <v>0</v>
      </c>
      <c r="S19" s="605">
        <f t="shared" si="10"/>
        <v>0</v>
      </c>
    </row>
    <row r="20" spans="1:19" s="152" customFormat="1" ht="12.75" x14ac:dyDescent="0.25">
      <c r="A20" s="467">
        <f t="shared" si="5"/>
        <v>15</v>
      </c>
      <c r="B20" s="326"/>
      <c r="C20" s="983" t="s">
        <v>705</v>
      </c>
      <c r="D20" s="326"/>
      <c r="E20" s="983"/>
      <c r="F20" s="500" t="s">
        <v>605</v>
      </c>
      <c r="G20" s="607">
        <v>0</v>
      </c>
      <c r="H20" s="604">
        <f>1918.1-10.5</f>
        <v>1907.6</v>
      </c>
      <c r="I20" s="604">
        <v>0</v>
      </c>
      <c r="J20" s="604">
        <v>-385</v>
      </c>
      <c r="K20" s="604">
        <f t="shared" si="8"/>
        <v>0</v>
      </c>
      <c r="L20" s="614">
        <f t="shared" si="8"/>
        <v>1522.6</v>
      </c>
      <c r="M20" s="632">
        <v>85</v>
      </c>
      <c r="N20" s="632">
        <v>0</v>
      </c>
      <c r="O20" s="604">
        <f t="shared" si="9"/>
        <v>-1522.6</v>
      </c>
      <c r="P20" s="605">
        <f>826+177</f>
        <v>1003</v>
      </c>
      <c r="Q20" s="602"/>
      <c r="R20" s="607">
        <f>404+11</f>
        <v>415</v>
      </c>
      <c r="S20" s="605">
        <f t="shared" si="10"/>
        <v>1937.6</v>
      </c>
    </row>
    <row r="21" spans="1:19" s="152" customFormat="1" ht="12.75" x14ac:dyDescent="0.25">
      <c r="A21" s="467">
        <f t="shared" si="5"/>
        <v>16</v>
      </c>
      <c r="B21" s="326"/>
      <c r="C21" s="326"/>
      <c r="D21" s="1359" t="s">
        <v>624</v>
      </c>
      <c r="E21" s="1359" t="s">
        <v>624</v>
      </c>
      <c r="F21" s="501"/>
      <c r="G21" s="607">
        <v>0</v>
      </c>
      <c r="H21" s="604">
        <v>0</v>
      </c>
      <c r="I21" s="604">
        <v>0</v>
      </c>
      <c r="J21" s="604">
        <v>0</v>
      </c>
      <c r="K21" s="604">
        <f t="shared" si="8"/>
        <v>0</v>
      </c>
      <c r="L21" s="614">
        <f t="shared" si="8"/>
        <v>0</v>
      </c>
      <c r="M21" s="632">
        <v>0</v>
      </c>
      <c r="N21" s="632">
        <v>0</v>
      </c>
      <c r="O21" s="604">
        <f t="shared" si="9"/>
        <v>0</v>
      </c>
      <c r="P21" s="605">
        <v>0</v>
      </c>
      <c r="Q21" s="602"/>
      <c r="R21" s="607">
        <v>0</v>
      </c>
      <c r="S21" s="605">
        <f t="shared" si="10"/>
        <v>0</v>
      </c>
    </row>
    <row r="22" spans="1:19" s="152" customFormat="1" ht="12.75" x14ac:dyDescent="0.25">
      <c r="A22" s="467">
        <f t="shared" si="5"/>
        <v>17</v>
      </c>
      <c r="B22" s="326"/>
      <c r="C22" s="983" t="s">
        <v>706</v>
      </c>
      <c r="D22" s="326"/>
      <c r="E22" s="983"/>
      <c r="F22" s="500" t="s">
        <v>605</v>
      </c>
      <c r="G22" s="607">
        <f>G23</f>
        <v>3642</v>
      </c>
      <c r="H22" s="604">
        <f t="shared" ref="H22:J22" si="11">H23</f>
        <v>4605</v>
      </c>
      <c r="I22" s="604">
        <f t="shared" si="11"/>
        <v>133467</v>
      </c>
      <c r="J22" s="604">
        <f t="shared" si="11"/>
        <v>145905</v>
      </c>
      <c r="K22" s="604">
        <f t="shared" si="8"/>
        <v>137109</v>
      </c>
      <c r="L22" s="614">
        <f t="shared" si="8"/>
        <v>150510</v>
      </c>
      <c r="M22" s="632">
        <v>85</v>
      </c>
      <c r="N22" s="632">
        <f>N23</f>
        <v>0</v>
      </c>
      <c r="O22" s="604">
        <f t="shared" si="9"/>
        <v>-13401</v>
      </c>
      <c r="P22" s="605">
        <f>P23</f>
        <v>1159</v>
      </c>
      <c r="Q22" s="602"/>
      <c r="R22" s="607">
        <f>R23</f>
        <v>44277</v>
      </c>
      <c r="S22" s="605">
        <f t="shared" si="10"/>
        <v>194787</v>
      </c>
    </row>
    <row r="23" spans="1:19" s="154" customFormat="1" ht="12.75" x14ac:dyDescent="0.25">
      <c r="A23" s="467">
        <f t="shared" si="5"/>
        <v>18</v>
      </c>
      <c r="B23" s="469"/>
      <c r="C23" s="984"/>
      <c r="D23" s="470" t="s">
        <v>707</v>
      </c>
      <c r="E23" s="983"/>
      <c r="F23" s="500" t="s">
        <v>605</v>
      </c>
      <c r="G23" s="607">
        <v>3642</v>
      </c>
      <c r="H23" s="604">
        <f>4616-11</f>
        <v>4605</v>
      </c>
      <c r="I23" s="604">
        <v>133467</v>
      </c>
      <c r="J23" s="604">
        <v>145905</v>
      </c>
      <c r="K23" s="604">
        <f t="shared" si="8"/>
        <v>137109</v>
      </c>
      <c r="L23" s="614">
        <f t="shared" si="8"/>
        <v>150510</v>
      </c>
      <c r="M23" s="632">
        <v>85</v>
      </c>
      <c r="N23" s="632">
        <v>0</v>
      </c>
      <c r="O23" s="604">
        <f t="shared" si="9"/>
        <v>-13401</v>
      </c>
      <c r="P23" s="605">
        <v>1159</v>
      </c>
      <c r="Q23" s="602"/>
      <c r="R23" s="607">
        <f>44266+11</f>
        <v>44277</v>
      </c>
      <c r="S23" s="605">
        <f t="shared" si="10"/>
        <v>194787</v>
      </c>
    </row>
    <row r="24" spans="1:19" s="154" customFormat="1" ht="12.75" x14ac:dyDescent="0.25">
      <c r="A24" s="467">
        <f t="shared" si="5"/>
        <v>19</v>
      </c>
      <c r="B24" s="326"/>
      <c r="C24" s="326"/>
      <c r="D24" s="1359" t="s">
        <v>624</v>
      </c>
      <c r="E24" s="1359" t="s">
        <v>624</v>
      </c>
      <c r="F24" s="501"/>
      <c r="G24" s="607">
        <v>0</v>
      </c>
      <c r="H24" s="604">
        <v>0</v>
      </c>
      <c r="I24" s="604">
        <v>0</v>
      </c>
      <c r="J24" s="604">
        <v>0</v>
      </c>
      <c r="K24" s="604">
        <f t="shared" si="8"/>
        <v>0</v>
      </c>
      <c r="L24" s="637">
        <f t="shared" si="8"/>
        <v>0</v>
      </c>
      <c r="M24" s="638">
        <v>0</v>
      </c>
      <c r="N24" s="638">
        <v>0</v>
      </c>
      <c r="O24" s="636">
        <f t="shared" si="9"/>
        <v>0</v>
      </c>
      <c r="P24" s="639">
        <v>0</v>
      </c>
      <c r="Q24" s="602"/>
      <c r="R24" s="635">
        <v>0</v>
      </c>
      <c r="S24" s="639">
        <f t="shared" si="10"/>
        <v>0</v>
      </c>
    </row>
    <row r="25" spans="1:19" s="152" customFormat="1" ht="12.75" x14ac:dyDescent="0.25">
      <c r="A25" s="465">
        <f t="shared" si="5"/>
        <v>20</v>
      </c>
      <c r="B25" s="1360" t="s">
        <v>758</v>
      </c>
      <c r="C25" s="1306"/>
      <c r="D25" s="1306"/>
      <c r="E25" s="1361"/>
      <c r="F25" s="524"/>
      <c r="G25" s="610">
        <v>0</v>
      </c>
      <c r="H25" s="608">
        <v>0</v>
      </c>
      <c r="I25" s="608">
        <v>0</v>
      </c>
      <c r="J25" s="608">
        <v>0</v>
      </c>
      <c r="K25" s="608">
        <v>0</v>
      </c>
      <c r="L25" s="629">
        <v>0</v>
      </c>
      <c r="M25" s="633">
        <v>0</v>
      </c>
      <c r="N25" s="633">
        <v>0</v>
      </c>
      <c r="O25" s="608">
        <v>0</v>
      </c>
      <c r="P25" s="609">
        <v>0</v>
      </c>
      <c r="Q25" s="598"/>
      <c r="R25" s="610">
        <v>0</v>
      </c>
      <c r="S25" s="609">
        <v>0</v>
      </c>
    </row>
    <row r="26" spans="1:19" s="154" customFormat="1" ht="12.75" x14ac:dyDescent="0.25">
      <c r="A26" s="520">
        <f t="shared" si="5"/>
        <v>21</v>
      </c>
      <c r="B26" s="1303" t="s">
        <v>833</v>
      </c>
      <c r="C26" s="1301"/>
      <c r="D26" s="1301"/>
      <c r="E26" s="1364"/>
      <c r="F26" s="523"/>
      <c r="G26" s="603">
        <v>0</v>
      </c>
      <c r="H26" s="600">
        <v>0</v>
      </c>
      <c r="I26" s="600">
        <v>0</v>
      </c>
      <c r="J26" s="600">
        <v>0</v>
      </c>
      <c r="K26" s="600">
        <v>0</v>
      </c>
      <c r="L26" s="613">
        <v>0</v>
      </c>
      <c r="M26" s="631">
        <v>0</v>
      </c>
      <c r="N26" s="631">
        <v>0</v>
      </c>
      <c r="O26" s="600">
        <v>0</v>
      </c>
      <c r="P26" s="601">
        <v>0</v>
      </c>
      <c r="Q26" s="598"/>
      <c r="R26" s="603">
        <v>0</v>
      </c>
      <c r="S26" s="601">
        <v>0</v>
      </c>
    </row>
    <row r="27" spans="1:19" s="154" customFormat="1" ht="12.75" x14ac:dyDescent="0.25">
      <c r="A27" s="465">
        <f t="shared" si="5"/>
        <v>22</v>
      </c>
      <c r="B27" s="1360" t="s">
        <v>756</v>
      </c>
      <c r="C27" s="1306"/>
      <c r="D27" s="1306"/>
      <c r="E27" s="1361"/>
      <c r="F27" s="524"/>
      <c r="G27" s="610">
        <v>0</v>
      </c>
      <c r="H27" s="608">
        <v>0</v>
      </c>
      <c r="I27" s="608">
        <v>0</v>
      </c>
      <c r="J27" s="608">
        <v>0</v>
      </c>
      <c r="K27" s="608">
        <v>0</v>
      </c>
      <c r="L27" s="629">
        <v>0</v>
      </c>
      <c r="M27" s="633">
        <v>0</v>
      </c>
      <c r="N27" s="633">
        <v>0</v>
      </c>
      <c r="O27" s="608">
        <v>0</v>
      </c>
      <c r="P27" s="609">
        <v>0</v>
      </c>
      <c r="Q27" s="598"/>
      <c r="R27" s="610">
        <v>0</v>
      </c>
      <c r="S27" s="609">
        <v>0</v>
      </c>
    </row>
    <row r="28" spans="1:19" s="152" customFormat="1" ht="12.75" x14ac:dyDescent="0.25">
      <c r="A28" s="520">
        <f t="shared" si="5"/>
        <v>23</v>
      </c>
      <c r="B28" s="1303" t="s">
        <v>833</v>
      </c>
      <c r="C28" s="1301"/>
      <c r="D28" s="1301"/>
      <c r="E28" s="1364"/>
      <c r="F28" s="523"/>
      <c r="G28" s="603">
        <v>0</v>
      </c>
      <c r="H28" s="600">
        <v>0</v>
      </c>
      <c r="I28" s="600">
        <v>0</v>
      </c>
      <c r="J28" s="600">
        <v>0</v>
      </c>
      <c r="K28" s="600">
        <v>0</v>
      </c>
      <c r="L28" s="613">
        <v>0</v>
      </c>
      <c r="M28" s="631">
        <v>0</v>
      </c>
      <c r="N28" s="631">
        <v>0</v>
      </c>
      <c r="O28" s="600">
        <v>0</v>
      </c>
      <c r="P28" s="601">
        <v>0</v>
      </c>
      <c r="Q28" s="598"/>
      <c r="R28" s="603">
        <v>0</v>
      </c>
      <c r="S28" s="601">
        <v>0</v>
      </c>
    </row>
    <row r="29" spans="1:19" s="152" customFormat="1" ht="12.75" x14ac:dyDescent="0.25">
      <c r="A29" s="1088">
        <f t="shared" si="5"/>
        <v>24</v>
      </c>
      <c r="B29" s="1365" t="s">
        <v>1387</v>
      </c>
      <c r="C29" s="1366"/>
      <c r="D29" s="1366"/>
      <c r="E29" s="1367"/>
      <c r="F29" s="524"/>
      <c r="G29" s="749">
        <f>+G30</f>
        <v>0</v>
      </c>
      <c r="H29" s="1089">
        <f t="shared" ref="H29:L29" si="12">+H30</f>
        <v>0</v>
      </c>
      <c r="I29" s="1089">
        <f t="shared" si="12"/>
        <v>0</v>
      </c>
      <c r="J29" s="1089">
        <f t="shared" si="12"/>
        <v>0</v>
      </c>
      <c r="K29" s="1089">
        <f t="shared" si="12"/>
        <v>0</v>
      </c>
      <c r="L29" s="1090">
        <f t="shared" si="12"/>
        <v>0</v>
      </c>
      <c r="M29" s="1091">
        <v>0</v>
      </c>
      <c r="N29" s="1091">
        <f>+N30</f>
        <v>0</v>
      </c>
      <c r="O29" s="1089">
        <f t="shared" ref="O29:P29" si="13">+O30</f>
        <v>0</v>
      </c>
      <c r="P29" s="750">
        <f t="shared" si="13"/>
        <v>0</v>
      </c>
      <c r="Q29" s="598"/>
      <c r="R29" s="749">
        <f t="shared" ref="R29:S29" si="14">+R30</f>
        <v>0</v>
      </c>
      <c r="S29" s="750">
        <f t="shared" si="14"/>
        <v>0</v>
      </c>
    </row>
    <row r="30" spans="1:19" s="152" customFormat="1" ht="13.5" thickBot="1" x14ac:dyDescent="0.3">
      <c r="A30" s="526">
        <f t="shared" si="5"/>
        <v>25</v>
      </c>
      <c r="B30" s="1303" t="s">
        <v>833</v>
      </c>
      <c r="C30" s="1301"/>
      <c r="D30" s="1301"/>
      <c r="E30" s="1364"/>
      <c r="F30" s="523"/>
      <c r="G30" s="603">
        <v>0</v>
      </c>
      <c r="H30" s="600">
        <v>0</v>
      </c>
      <c r="I30" s="600">
        <v>0</v>
      </c>
      <c r="J30" s="600">
        <v>0</v>
      </c>
      <c r="K30" s="600">
        <v>0</v>
      </c>
      <c r="L30" s="613">
        <v>0</v>
      </c>
      <c r="M30" s="631">
        <v>0</v>
      </c>
      <c r="N30" s="631">
        <v>0</v>
      </c>
      <c r="O30" s="600">
        <v>0</v>
      </c>
      <c r="P30" s="601">
        <v>0</v>
      </c>
      <c r="Q30" s="598"/>
      <c r="R30" s="603">
        <v>0</v>
      </c>
      <c r="S30" s="601">
        <v>0</v>
      </c>
    </row>
    <row r="31" spans="1:19" s="507" customFormat="1" ht="18.75" customHeight="1" thickBot="1" x14ac:dyDescent="0.3">
      <c r="A31" s="1077">
        <f>+A30+1</f>
        <v>26</v>
      </c>
      <c r="B31" s="485" t="s">
        <v>708</v>
      </c>
      <c r="C31" s="485"/>
      <c r="D31" s="485"/>
      <c r="E31" s="485"/>
      <c r="F31" s="502"/>
      <c r="G31" s="1082">
        <f t="shared" ref="G31:L31" si="15">+G6++G25+G27+G29</f>
        <v>31420</v>
      </c>
      <c r="H31" s="1079">
        <f t="shared" si="15"/>
        <v>64084.6</v>
      </c>
      <c r="I31" s="1079">
        <f t="shared" si="15"/>
        <v>133467</v>
      </c>
      <c r="J31" s="1079">
        <f t="shared" si="15"/>
        <v>145520</v>
      </c>
      <c r="K31" s="1079">
        <f t="shared" si="15"/>
        <v>164887</v>
      </c>
      <c r="L31" s="1092">
        <f t="shared" si="15"/>
        <v>209604.6</v>
      </c>
      <c r="M31" s="1078"/>
      <c r="N31" s="1078">
        <f>+N6++N25+N27+N29</f>
        <v>3917</v>
      </c>
      <c r="O31" s="1079">
        <f>+O6++O25+O27+O29</f>
        <v>-44717.599999999999</v>
      </c>
      <c r="P31" s="1080">
        <f>+P6++P25+P27+P29</f>
        <v>10965</v>
      </c>
      <c r="Q31" s="598"/>
      <c r="R31" s="1082">
        <f>+R6++R25+R27+R29</f>
        <v>44695</v>
      </c>
      <c r="S31" s="1080">
        <f>+S6++S25+S27+S29</f>
        <v>254299.6</v>
      </c>
    </row>
    <row r="32" spans="1:19" ht="20.25" customHeight="1" x14ac:dyDescent="0.25">
      <c r="A32" s="152" t="s">
        <v>616</v>
      </c>
    </row>
    <row r="33" spans="1:19" ht="55.5" customHeight="1" x14ac:dyDescent="0.25">
      <c r="A33" s="1280" t="s">
        <v>786</v>
      </c>
      <c r="B33" s="1316"/>
      <c r="C33" s="1316"/>
      <c r="D33" s="1316"/>
      <c r="E33" s="1316"/>
      <c r="F33" s="1316"/>
      <c r="G33" s="1316"/>
      <c r="H33" s="1316"/>
      <c r="I33" s="1316"/>
      <c r="J33" s="1316"/>
      <c r="K33" s="1316"/>
      <c r="L33" s="1316"/>
      <c r="M33" s="1316"/>
      <c r="N33" s="1316"/>
      <c r="O33" s="1316"/>
      <c r="P33" s="1316"/>
      <c r="Q33" s="1316"/>
      <c r="R33" s="1316"/>
      <c r="S33" s="1316"/>
    </row>
    <row r="34" spans="1:19" ht="17.25" customHeight="1" x14ac:dyDescent="0.25">
      <c r="A34" s="1280" t="s">
        <v>1132</v>
      </c>
      <c r="B34" s="1316"/>
      <c r="C34" s="1316"/>
      <c r="D34" s="1316"/>
      <c r="E34" s="1316"/>
      <c r="F34" s="1316"/>
      <c r="G34" s="1316"/>
      <c r="H34" s="1316"/>
      <c r="I34" s="1316"/>
      <c r="J34" s="1316"/>
      <c r="K34" s="1316"/>
      <c r="L34" s="1316"/>
      <c r="M34" s="1316"/>
      <c r="N34" s="1316"/>
      <c r="O34" s="1316"/>
      <c r="P34" s="1316"/>
      <c r="Q34" s="1316"/>
      <c r="R34" s="1316"/>
      <c r="S34" s="1316"/>
    </row>
    <row r="35" spans="1:19" ht="15" customHeight="1" x14ac:dyDescent="0.25">
      <c r="A35" s="1280" t="s">
        <v>1106</v>
      </c>
      <c r="B35" s="1316"/>
      <c r="C35" s="1316"/>
      <c r="D35" s="1316"/>
      <c r="E35" s="1316"/>
      <c r="F35" s="1316"/>
      <c r="G35" s="1316"/>
      <c r="H35" s="1316"/>
      <c r="I35" s="1316"/>
      <c r="J35" s="1316"/>
      <c r="K35" s="1316"/>
      <c r="L35" s="1316"/>
      <c r="M35" s="1316"/>
      <c r="N35" s="1316"/>
      <c r="O35" s="1316"/>
      <c r="P35" s="1316"/>
      <c r="Q35" s="1316"/>
      <c r="R35" s="1316"/>
      <c r="S35" s="1316"/>
    </row>
    <row r="36" spans="1:19" ht="15" customHeight="1" x14ac:dyDescent="0.25">
      <c r="A36" s="1280" t="s">
        <v>1133</v>
      </c>
      <c r="B36" s="1316"/>
      <c r="C36" s="1316"/>
      <c r="D36" s="1316"/>
      <c r="E36" s="1316"/>
      <c r="F36" s="1316"/>
      <c r="G36" s="1316"/>
      <c r="H36" s="1316"/>
      <c r="I36" s="1316"/>
      <c r="J36" s="1316"/>
      <c r="K36" s="1316"/>
      <c r="L36" s="1316"/>
      <c r="M36" s="1316"/>
      <c r="N36" s="1316"/>
      <c r="O36" s="1316"/>
      <c r="P36" s="1316"/>
      <c r="Q36" s="1316"/>
      <c r="R36" s="1316"/>
      <c r="S36" s="1316"/>
    </row>
    <row r="37" spans="1:19" ht="15" customHeight="1" x14ac:dyDescent="0.25">
      <c r="A37" s="1280" t="s">
        <v>772</v>
      </c>
      <c r="B37" s="1316"/>
      <c r="C37" s="1316"/>
      <c r="D37" s="1316"/>
      <c r="E37" s="1316"/>
      <c r="F37" s="1316"/>
      <c r="G37" s="1316"/>
      <c r="H37" s="1316"/>
      <c r="I37" s="1316"/>
      <c r="J37" s="1316"/>
      <c r="K37" s="1316"/>
      <c r="L37" s="1316"/>
      <c r="M37" s="1316"/>
      <c r="N37" s="1316"/>
      <c r="O37" s="1316"/>
      <c r="P37" s="1316"/>
      <c r="Q37" s="1316"/>
      <c r="R37" s="1316"/>
      <c r="S37" s="1316"/>
    </row>
    <row r="38" spans="1:19" ht="15" customHeight="1" x14ac:dyDescent="0.25">
      <c r="A38" s="1280" t="s">
        <v>877</v>
      </c>
      <c r="B38" s="1316"/>
      <c r="C38" s="1316"/>
      <c r="D38" s="1316"/>
      <c r="E38" s="1316"/>
      <c r="F38" s="1316"/>
      <c r="G38" s="1316"/>
      <c r="H38" s="1316"/>
      <c r="I38" s="1316"/>
      <c r="J38" s="1316"/>
      <c r="K38" s="1316"/>
      <c r="L38" s="1316"/>
      <c r="M38" s="1316"/>
      <c r="N38" s="1316"/>
      <c r="O38" s="1316"/>
      <c r="P38" s="1316"/>
      <c r="Q38" s="1316"/>
      <c r="R38" s="1316"/>
      <c r="S38" s="1316"/>
    </row>
    <row r="39" spans="1:19" ht="15" customHeight="1" x14ac:dyDescent="0.25">
      <c r="A39" s="1280" t="s">
        <v>875</v>
      </c>
      <c r="B39" s="1316"/>
      <c r="C39" s="1316"/>
      <c r="D39" s="1316"/>
      <c r="E39" s="1316"/>
      <c r="F39" s="1316"/>
      <c r="G39" s="1316"/>
      <c r="H39" s="1316"/>
      <c r="I39" s="1316"/>
      <c r="J39" s="1316"/>
      <c r="K39" s="1316"/>
      <c r="L39" s="1316"/>
      <c r="M39" s="1316"/>
      <c r="N39" s="1316"/>
      <c r="O39" s="1316"/>
      <c r="P39" s="1316"/>
      <c r="Q39" s="1316"/>
      <c r="R39" s="1316"/>
      <c r="S39" s="1316"/>
    </row>
    <row r="40" spans="1:19" ht="15" customHeight="1" x14ac:dyDescent="0.25">
      <c r="A40" s="1362" t="s">
        <v>876</v>
      </c>
      <c r="B40" s="1363"/>
      <c r="C40" s="1363"/>
      <c r="D40" s="1363"/>
      <c r="E40" s="1363"/>
      <c r="F40" s="1363"/>
      <c r="G40" s="1363"/>
      <c r="H40" s="1363"/>
      <c r="I40" s="1363"/>
      <c r="J40" s="1363"/>
      <c r="K40" s="1363"/>
      <c r="L40" s="1363"/>
      <c r="M40" s="1363"/>
      <c r="N40" s="1363"/>
      <c r="O40" s="1363"/>
      <c r="P40" s="1363"/>
      <c r="Q40" s="1363"/>
      <c r="R40" s="1363"/>
      <c r="S40" s="1363"/>
    </row>
    <row r="41" spans="1:19" ht="30.75" customHeight="1" x14ac:dyDescent="0.25">
      <c r="A41" s="1280" t="s">
        <v>773</v>
      </c>
      <c r="B41" s="1316"/>
      <c r="C41" s="1316"/>
      <c r="D41" s="1316"/>
      <c r="E41" s="1316"/>
      <c r="F41" s="1316"/>
      <c r="G41" s="1316"/>
      <c r="H41" s="1316"/>
      <c r="I41" s="1316"/>
      <c r="J41" s="1316"/>
      <c r="K41" s="1316"/>
      <c r="L41" s="1316"/>
      <c r="M41" s="1316"/>
      <c r="N41" s="1316"/>
      <c r="O41" s="1316"/>
      <c r="P41" s="1316"/>
      <c r="Q41" s="1316"/>
      <c r="R41" s="1316"/>
      <c r="S41" s="1316"/>
    </row>
    <row r="42" spans="1:19" ht="14.25" customHeight="1" x14ac:dyDescent="0.25">
      <c r="C42" s="471"/>
      <c r="D42" s="471"/>
      <c r="E42" s="471"/>
      <c r="F42" s="471"/>
    </row>
    <row r="43" spans="1:19" x14ac:dyDescent="0.25">
      <c r="A43" s="152" t="s">
        <v>1121</v>
      </c>
    </row>
  </sheetData>
  <customSheetViews>
    <customSheetView guid="{2AF6EA2A-E5C5-45EB-B6C4-875AD1E4E056}" scale="89" fitToPage="1">
      <pageMargins left="0.51181102362204722" right="0.51181102362204722" top="0.78740157480314965" bottom="0.78740157480314965" header="0.31496062992125984" footer="0.31496062992125984"/>
      <pageSetup paperSize="9" scale="68" orientation="landscape" r:id="rId1"/>
    </customSheetView>
  </customSheetViews>
  <mergeCells count="41">
    <mergeCell ref="C8:E8"/>
    <mergeCell ref="D9:E9"/>
    <mergeCell ref="D10:E10"/>
    <mergeCell ref="D11:E11"/>
    <mergeCell ref="D12:E12"/>
    <mergeCell ref="C16:E16"/>
    <mergeCell ref="C13:E13"/>
    <mergeCell ref="D14:E14"/>
    <mergeCell ref="B15:E15"/>
    <mergeCell ref="C18:E18"/>
    <mergeCell ref="D21:E21"/>
    <mergeCell ref="D24:E24"/>
    <mergeCell ref="B25:E25"/>
    <mergeCell ref="A39:S39"/>
    <mergeCell ref="A40:S40"/>
    <mergeCell ref="B28:E28"/>
    <mergeCell ref="B29:E29"/>
    <mergeCell ref="A33:S33"/>
    <mergeCell ref="B30:E30"/>
    <mergeCell ref="B26:E26"/>
    <mergeCell ref="B27:E27"/>
    <mergeCell ref="A41:S41"/>
    <mergeCell ref="A34:S34"/>
    <mergeCell ref="A35:S35"/>
    <mergeCell ref="A36:S36"/>
    <mergeCell ref="A37:S37"/>
    <mergeCell ref="A38:S38"/>
    <mergeCell ref="A3:A5"/>
    <mergeCell ref="B3:E5"/>
    <mergeCell ref="G3:H3"/>
    <mergeCell ref="I3:J3"/>
    <mergeCell ref="K3:L3"/>
    <mergeCell ref="R3:R4"/>
    <mergeCell ref="S3:S4"/>
    <mergeCell ref="B7:E7"/>
    <mergeCell ref="M3:M4"/>
    <mergeCell ref="F3:F5"/>
    <mergeCell ref="N3:N4"/>
    <mergeCell ref="O3:O4"/>
    <mergeCell ref="P3:P4"/>
    <mergeCell ref="B6:E6"/>
  </mergeCells>
  <pageMargins left="0.51181102362204722" right="0.51181102362204722" top="0.78740157480314965" bottom="0.78740157480314965" header="0.31496062992125984" footer="0.31496062992125984"/>
  <pageSetup paperSize="9" scale="68"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V45"/>
  <sheetViews>
    <sheetView zoomScale="90" zoomScaleNormal="90" workbookViewId="0">
      <selection activeCell="A47" sqref="A47:XFD51"/>
    </sheetView>
  </sheetViews>
  <sheetFormatPr defaultRowHeight="15" x14ac:dyDescent="0.25"/>
  <cols>
    <col min="1" max="1" width="5" style="460" customWidth="1"/>
    <col min="2" max="2" width="61.42578125" style="460" bestFit="1" customWidth="1"/>
    <col min="3" max="3" width="12.42578125" style="460" bestFit="1" customWidth="1"/>
    <col min="4" max="4" width="12.42578125" style="460" customWidth="1"/>
    <col min="5" max="5" width="12.42578125" style="460" bestFit="1" customWidth="1"/>
    <col min="6" max="6" width="12.42578125" style="460" customWidth="1"/>
    <col min="7" max="7" width="12.42578125" style="460" bestFit="1" customWidth="1"/>
    <col min="8" max="8" width="12.42578125" style="460" customWidth="1"/>
    <col min="9" max="9" width="11.28515625" style="460" customWidth="1"/>
    <col min="10" max="10" width="12.42578125" style="460" bestFit="1" customWidth="1"/>
    <col min="11" max="11" width="11.28515625" style="460" customWidth="1"/>
    <col min="12" max="12" width="14.85546875" style="460" bestFit="1" customWidth="1"/>
    <col min="13" max="13" width="13.5703125" style="460" customWidth="1"/>
    <col min="14" max="14" width="3.28515625" style="460" customWidth="1"/>
    <col min="15" max="15" width="9.7109375" style="460" bestFit="1" customWidth="1"/>
    <col min="16" max="236" width="9.140625" style="460"/>
    <col min="237" max="237" width="59.7109375" style="460" customWidth="1"/>
    <col min="238" max="244" width="10.5703125" style="460" customWidth="1"/>
    <col min="245" max="16384" width="9.140625" style="460"/>
  </cols>
  <sheetData>
    <row r="1" spans="1:16" ht="15.75" x14ac:dyDescent="0.25">
      <c r="A1" s="153" t="s">
        <v>1134</v>
      </c>
      <c r="C1" s="481"/>
      <c r="D1" s="481"/>
      <c r="E1" s="481"/>
      <c r="F1" s="481"/>
      <c r="G1" s="481"/>
      <c r="H1" s="481"/>
      <c r="J1" s="481"/>
    </row>
    <row r="2" spans="1:16" ht="15.75" x14ac:dyDescent="0.25">
      <c r="A2" s="153"/>
      <c r="B2" s="152"/>
    </row>
    <row r="3" spans="1:16" ht="13.5" customHeight="1" thickBot="1" x14ac:dyDescent="0.3">
      <c r="B3" s="458"/>
      <c r="I3" s="459"/>
      <c r="L3" s="459"/>
      <c r="M3" s="459"/>
      <c r="P3" s="459" t="s">
        <v>480</v>
      </c>
    </row>
    <row r="4" spans="1:16" s="152" customFormat="1" ht="38.25" customHeight="1" x14ac:dyDescent="0.25">
      <c r="A4" s="1317" t="s">
        <v>460</v>
      </c>
      <c r="B4" s="1380" t="s">
        <v>1135</v>
      </c>
      <c r="C4" s="1383" t="s">
        <v>691</v>
      </c>
      <c r="D4" s="1279"/>
      <c r="E4" s="1279" t="s">
        <v>692</v>
      </c>
      <c r="F4" s="1279"/>
      <c r="G4" s="1279" t="s">
        <v>693</v>
      </c>
      <c r="H4" s="1279"/>
      <c r="I4" s="1279" t="s">
        <v>1136</v>
      </c>
      <c r="J4" s="1279"/>
      <c r="K4" s="1279"/>
      <c r="L4" s="1281" t="s">
        <v>873</v>
      </c>
      <c r="M4" s="1377" t="s">
        <v>709</v>
      </c>
      <c r="O4" s="1286" t="s">
        <v>1047</v>
      </c>
      <c r="P4" s="1284" t="s">
        <v>694</v>
      </c>
    </row>
    <row r="5" spans="1:16" s="152" customFormat="1" ht="12.75" x14ac:dyDescent="0.25">
      <c r="A5" s="1291"/>
      <c r="B5" s="1381"/>
      <c r="C5" s="449" t="s">
        <v>768</v>
      </c>
      <c r="D5" s="382" t="s">
        <v>769</v>
      </c>
      <c r="E5" s="382" t="s">
        <v>618</v>
      </c>
      <c r="F5" s="382" t="s">
        <v>623</v>
      </c>
      <c r="G5" s="382" t="s">
        <v>618</v>
      </c>
      <c r="H5" s="382" t="s">
        <v>623</v>
      </c>
      <c r="I5" s="450" t="s">
        <v>723</v>
      </c>
      <c r="J5" s="450" t="s">
        <v>724</v>
      </c>
      <c r="K5" s="450" t="s">
        <v>725</v>
      </c>
      <c r="L5" s="1376"/>
      <c r="M5" s="1378"/>
      <c r="O5" s="1287"/>
      <c r="P5" s="1285"/>
    </row>
    <row r="6" spans="1:16" s="152" customFormat="1" ht="15" customHeight="1" thickBot="1" x14ac:dyDescent="0.3">
      <c r="A6" s="1379"/>
      <c r="B6" s="1382"/>
      <c r="C6" s="734" t="s">
        <v>539</v>
      </c>
      <c r="D6" s="735" t="s">
        <v>540</v>
      </c>
      <c r="E6" s="735" t="s">
        <v>541</v>
      </c>
      <c r="F6" s="735" t="s">
        <v>542</v>
      </c>
      <c r="G6" s="735" t="s">
        <v>620</v>
      </c>
      <c r="H6" s="735" t="s">
        <v>621</v>
      </c>
      <c r="I6" s="736" t="s">
        <v>545</v>
      </c>
      <c r="J6" s="736" t="s">
        <v>546</v>
      </c>
      <c r="K6" s="736" t="s">
        <v>547</v>
      </c>
      <c r="L6" s="451" t="s">
        <v>824</v>
      </c>
      <c r="M6" s="737" t="s">
        <v>588</v>
      </c>
      <c r="O6" s="443" t="s">
        <v>1137</v>
      </c>
      <c r="P6" s="386" t="s">
        <v>1138</v>
      </c>
    </row>
    <row r="7" spans="1:16" s="154" customFormat="1" ht="12.75" x14ac:dyDescent="0.25">
      <c r="A7" s="525">
        <v>1</v>
      </c>
      <c r="B7" s="738" t="s">
        <v>1139</v>
      </c>
      <c r="C7" s="739">
        <v>0</v>
      </c>
      <c r="D7" s="740">
        <v>0</v>
      </c>
      <c r="E7" s="740">
        <v>0</v>
      </c>
      <c r="F7" s="740">
        <v>0</v>
      </c>
      <c r="G7" s="740">
        <f t="shared" ref="G7:H41" si="0">+C7+E7</f>
        <v>0</v>
      </c>
      <c r="H7" s="740">
        <f t="shared" si="0"/>
        <v>0</v>
      </c>
      <c r="I7" s="740">
        <v>0</v>
      </c>
      <c r="J7" s="740">
        <v>0</v>
      </c>
      <c r="K7" s="740">
        <v>0</v>
      </c>
      <c r="L7" s="741">
        <f>G7-H7</f>
        <v>0</v>
      </c>
      <c r="M7" s="742">
        <f>+G7-H7</f>
        <v>0</v>
      </c>
      <c r="O7" s="743">
        <v>0</v>
      </c>
      <c r="P7" s="744">
        <f>+H7+O7</f>
        <v>0</v>
      </c>
    </row>
    <row r="8" spans="1:16" s="154" customFormat="1" ht="12.75" x14ac:dyDescent="0.25">
      <c r="A8" s="465">
        <f t="shared" ref="A8:A45" si="1">A7+1</f>
        <v>2</v>
      </c>
      <c r="B8" s="745" t="s">
        <v>1140</v>
      </c>
      <c r="C8" s="746">
        <f>+C9+C10+C26+C27</f>
        <v>28876</v>
      </c>
      <c r="D8" s="608">
        <f t="shared" ref="D8:M8" si="2">+D9+D10+D26+D27</f>
        <v>28861</v>
      </c>
      <c r="E8" s="608">
        <f t="shared" si="2"/>
        <v>0</v>
      </c>
      <c r="F8" s="608">
        <f t="shared" si="2"/>
        <v>0</v>
      </c>
      <c r="G8" s="608">
        <f t="shared" si="2"/>
        <v>28876</v>
      </c>
      <c r="H8" s="608">
        <f t="shared" si="2"/>
        <v>28861</v>
      </c>
      <c r="I8" s="608">
        <f t="shared" si="2"/>
        <v>0</v>
      </c>
      <c r="J8" s="608">
        <f t="shared" si="2"/>
        <v>0</v>
      </c>
      <c r="K8" s="608">
        <f t="shared" si="2"/>
        <v>159</v>
      </c>
      <c r="L8" s="747">
        <f t="shared" ref="L8:L41" si="3">G8-H8</f>
        <v>15</v>
      </c>
      <c r="M8" s="609">
        <f t="shared" si="2"/>
        <v>15</v>
      </c>
      <c r="N8" s="748"/>
      <c r="O8" s="749">
        <f t="shared" ref="O8" si="4">+O9+O10+O26+O27</f>
        <v>1265</v>
      </c>
      <c r="P8" s="750">
        <f>+P9+P10+P26+P27</f>
        <v>30126</v>
      </c>
    </row>
    <row r="9" spans="1:16" s="154" customFormat="1" ht="12.75" x14ac:dyDescent="0.25">
      <c r="A9" s="522">
        <f t="shared" si="1"/>
        <v>3</v>
      </c>
      <c r="B9" s="751" t="s">
        <v>1141</v>
      </c>
      <c r="C9" s="752">
        <v>0</v>
      </c>
      <c r="D9" s="600">
        <v>0</v>
      </c>
      <c r="E9" s="600">
        <v>0</v>
      </c>
      <c r="F9" s="600">
        <v>0</v>
      </c>
      <c r="G9" s="600">
        <f t="shared" si="0"/>
        <v>0</v>
      </c>
      <c r="H9" s="600">
        <f t="shared" si="0"/>
        <v>0</v>
      </c>
      <c r="I9" s="600">
        <v>0</v>
      </c>
      <c r="J9" s="600">
        <v>0</v>
      </c>
      <c r="K9" s="600">
        <v>0</v>
      </c>
      <c r="L9" s="753">
        <f t="shared" si="3"/>
        <v>0</v>
      </c>
      <c r="M9" s="601">
        <f>+G9-H9</f>
        <v>0</v>
      </c>
      <c r="O9" s="603">
        <v>0</v>
      </c>
      <c r="P9" s="601">
        <f>+H9+O9</f>
        <v>0</v>
      </c>
    </row>
    <row r="10" spans="1:16" s="754" customFormat="1" ht="12.75" x14ac:dyDescent="0.25">
      <c r="A10" s="522">
        <f t="shared" si="1"/>
        <v>4</v>
      </c>
      <c r="B10" s="751" t="s">
        <v>1142</v>
      </c>
      <c r="C10" s="752">
        <f>+C11+C14+C18+C20+C22+C24</f>
        <v>28876</v>
      </c>
      <c r="D10" s="600">
        <f t="shared" ref="D10:M10" si="5">+D11+D14+D18+D20+D22+D24</f>
        <v>28861</v>
      </c>
      <c r="E10" s="600">
        <f t="shared" si="5"/>
        <v>0</v>
      </c>
      <c r="F10" s="600">
        <f t="shared" si="5"/>
        <v>0</v>
      </c>
      <c r="G10" s="600">
        <f t="shared" si="5"/>
        <v>28876</v>
      </c>
      <c r="H10" s="600">
        <f t="shared" si="5"/>
        <v>28861</v>
      </c>
      <c r="I10" s="600">
        <f t="shared" si="5"/>
        <v>0</v>
      </c>
      <c r="J10" s="600">
        <f t="shared" si="5"/>
        <v>0</v>
      </c>
      <c r="K10" s="600">
        <f t="shared" si="5"/>
        <v>159</v>
      </c>
      <c r="L10" s="753">
        <f t="shared" si="3"/>
        <v>15</v>
      </c>
      <c r="M10" s="601">
        <f t="shared" si="5"/>
        <v>15</v>
      </c>
      <c r="N10" s="154"/>
      <c r="O10" s="603">
        <f t="shared" ref="O10:P10" si="6">+O11+O14+O18+O20+O22+O24</f>
        <v>1265</v>
      </c>
      <c r="P10" s="601">
        <f t="shared" si="6"/>
        <v>30126</v>
      </c>
    </row>
    <row r="11" spans="1:16" s="754" customFormat="1" ht="12.75" x14ac:dyDescent="0.25">
      <c r="A11" s="755">
        <f t="shared" si="1"/>
        <v>5</v>
      </c>
      <c r="B11" s="756" t="s">
        <v>1143</v>
      </c>
      <c r="C11" s="752">
        <f>+C12+C13</f>
        <v>5721</v>
      </c>
      <c r="D11" s="600">
        <f t="shared" ref="D11:M11" si="7">+D12+D13</f>
        <v>5721</v>
      </c>
      <c r="E11" s="600">
        <f t="shared" si="7"/>
        <v>0</v>
      </c>
      <c r="F11" s="600">
        <f t="shared" si="7"/>
        <v>0</v>
      </c>
      <c r="G11" s="600">
        <f t="shared" si="7"/>
        <v>5721</v>
      </c>
      <c r="H11" s="600">
        <f t="shared" si="7"/>
        <v>5721</v>
      </c>
      <c r="I11" s="600">
        <f t="shared" si="7"/>
        <v>0</v>
      </c>
      <c r="J11" s="600">
        <f t="shared" si="7"/>
        <v>0</v>
      </c>
      <c r="K11" s="600">
        <f t="shared" si="7"/>
        <v>99</v>
      </c>
      <c r="L11" s="753">
        <f t="shared" si="3"/>
        <v>0</v>
      </c>
      <c r="M11" s="601">
        <f t="shared" si="7"/>
        <v>0</v>
      </c>
      <c r="N11" s="757"/>
      <c r="O11" s="603">
        <f t="shared" ref="O11:P11" si="8">+O12+O13</f>
        <v>0</v>
      </c>
      <c r="P11" s="601">
        <f t="shared" si="8"/>
        <v>5721</v>
      </c>
    </row>
    <row r="12" spans="1:16" s="154" customFormat="1" ht="12.75" x14ac:dyDescent="0.25">
      <c r="A12" s="545">
        <f t="shared" si="1"/>
        <v>6</v>
      </c>
      <c r="B12" s="758" t="s">
        <v>1144</v>
      </c>
      <c r="C12" s="759">
        <v>3521</v>
      </c>
      <c r="D12" s="760">
        <v>3521</v>
      </c>
      <c r="E12" s="760">
        <v>0</v>
      </c>
      <c r="F12" s="760">
        <v>0</v>
      </c>
      <c r="G12" s="760">
        <f t="shared" si="0"/>
        <v>3521</v>
      </c>
      <c r="H12" s="760">
        <f t="shared" si="0"/>
        <v>3521</v>
      </c>
      <c r="I12" s="760">
        <v>0</v>
      </c>
      <c r="J12" s="760">
        <v>0</v>
      </c>
      <c r="K12" s="760">
        <v>45</v>
      </c>
      <c r="L12" s="761">
        <f t="shared" si="3"/>
        <v>0</v>
      </c>
      <c r="M12" s="762">
        <f>+G12-H12</f>
        <v>0</v>
      </c>
      <c r="N12" s="757"/>
      <c r="O12" s="763">
        <v>0</v>
      </c>
      <c r="P12" s="762">
        <f>+H12+O12</f>
        <v>3521</v>
      </c>
    </row>
    <row r="13" spans="1:16" s="757" customFormat="1" ht="12.75" x14ac:dyDescent="0.25">
      <c r="A13" s="545">
        <f t="shared" si="1"/>
        <v>7</v>
      </c>
      <c r="B13" s="758" t="s">
        <v>1145</v>
      </c>
      <c r="C13" s="759">
        <v>2200</v>
      </c>
      <c r="D13" s="760">
        <v>2200</v>
      </c>
      <c r="E13" s="760">
        <v>0</v>
      </c>
      <c r="F13" s="760">
        <v>0</v>
      </c>
      <c r="G13" s="760">
        <f t="shared" si="0"/>
        <v>2200</v>
      </c>
      <c r="H13" s="760">
        <f t="shared" si="0"/>
        <v>2200</v>
      </c>
      <c r="I13" s="760">
        <v>0</v>
      </c>
      <c r="J13" s="760">
        <v>0</v>
      </c>
      <c r="K13" s="760">
        <v>54</v>
      </c>
      <c r="L13" s="761">
        <f t="shared" si="3"/>
        <v>0</v>
      </c>
      <c r="M13" s="762">
        <f>+G13-H13</f>
        <v>0</v>
      </c>
      <c r="O13" s="763">
        <v>0</v>
      </c>
      <c r="P13" s="762">
        <f>+H13+O13</f>
        <v>2200</v>
      </c>
    </row>
    <row r="14" spans="1:16" s="757" customFormat="1" ht="12.75" x14ac:dyDescent="0.25">
      <c r="A14" s="755">
        <f t="shared" si="1"/>
        <v>8</v>
      </c>
      <c r="B14" s="756" t="s">
        <v>1146</v>
      </c>
      <c r="C14" s="752">
        <f t="shared" ref="C14:K14" si="9">SUM(C15:C17)</f>
        <v>20546</v>
      </c>
      <c r="D14" s="600">
        <f t="shared" si="9"/>
        <v>20546</v>
      </c>
      <c r="E14" s="600">
        <f t="shared" si="9"/>
        <v>0</v>
      </c>
      <c r="F14" s="600">
        <f t="shared" si="9"/>
        <v>0</v>
      </c>
      <c r="G14" s="600">
        <f t="shared" si="9"/>
        <v>20546</v>
      </c>
      <c r="H14" s="600">
        <f t="shared" si="9"/>
        <v>20546</v>
      </c>
      <c r="I14" s="600">
        <f t="shared" si="9"/>
        <v>0</v>
      </c>
      <c r="J14" s="600">
        <f t="shared" si="9"/>
        <v>0</v>
      </c>
      <c r="K14" s="600">
        <f t="shared" si="9"/>
        <v>60</v>
      </c>
      <c r="L14" s="753">
        <f t="shared" si="3"/>
        <v>0</v>
      </c>
      <c r="M14" s="601">
        <f>SUM(M15:M17)</f>
        <v>0</v>
      </c>
      <c r="O14" s="603">
        <f t="shared" ref="O14:P14" si="10">SUM(O15:O17)</f>
        <v>1265</v>
      </c>
      <c r="P14" s="601">
        <f t="shared" si="10"/>
        <v>21811</v>
      </c>
    </row>
    <row r="15" spans="1:16" s="757" customFormat="1" ht="12.75" x14ac:dyDescent="0.25">
      <c r="A15" s="545">
        <f t="shared" si="1"/>
        <v>9</v>
      </c>
      <c r="B15" s="764" t="s">
        <v>1147</v>
      </c>
      <c r="C15" s="759">
        <v>8360</v>
      </c>
      <c r="D15" s="760">
        <v>8360</v>
      </c>
      <c r="E15" s="760">
        <v>0</v>
      </c>
      <c r="F15" s="760">
        <v>0</v>
      </c>
      <c r="G15" s="760">
        <f t="shared" si="0"/>
        <v>8360</v>
      </c>
      <c r="H15" s="760">
        <f t="shared" si="0"/>
        <v>8360</v>
      </c>
      <c r="I15" s="760">
        <v>0</v>
      </c>
      <c r="J15" s="760">
        <v>0</v>
      </c>
      <c r="K15" s="760">
        <v>60</v>
      </c>
      <c r="L15" s="761">
        <f t="shared" si="3"/>
        <v>0</v>
      </c>
      <c r="M15" s="762">
        <f>+G15-H15</f>
        <v>0</v>
      </c>
      <c r="O15" s="765">
        <f>252+44</f>
        <v>296</v>
      </c>
      <c r="P15" s="766">
        <f>+H15+O15</f>
        <v>8656</v>
      </c>
    </row>
    <row r="16" spans="1:16" s="757" customFormat="1" ht="12.75" x14ac:dyDescent="0.25">
      <c r="A16" s="545">
        <f t="shared" si="1"/>
        <v>10</v>
      </c>
      <c r="B16" s="764" t="s">
        <v>1354</v>
      </c>
      <c r="C16" s="759">
        <v>2564</v>
      </c>
      <c r="D16" s="760">
        <v>2564</v>
      </c>
      <c r="E16" s="760">
        <v>0</v>
      </c>
      <c r="F16" s="760">
        <v>0</v>
      </c>
      <c r="G16" s="760">
        <f t="shared" si="0"/>
        <v>2564</v>
      </c>
      <c r="H16" s="760">
        <f t="shared" si="0"/>
        <v>2564</v>
      </c>
      <c r="I16" s="760">
        <v>0</v>
      </c>
      <c r="J16" s="760">
        <v>0</v>
      </c>
      <c r="K16" s="760">
        <v>0</v>
      </c>
      <c r="L16" s="761">
        <f t="shared" si="3"/>
        <v>0</v>
      </c>
      <c r="M16" s="762">
        <f>+G16-H16</f>
        <v>0</v>
      </c>
      <c r="O16" s="765">
        <v>71</v>
      </c>
      <c r="P16" s="766">
        <f>+H16+O16</f>
        <v>2635</v>
      </c>
    </row>
    <row r="17" spans="1:22" s="757" customFormat="1" ht="12.75" x14ac:dyDescent="0.25">
      <c r="A17" s="545">
        <f>A15+1</f>
        <v>10</v>
      </c>
      <c r="B17" s="764" t="s">
        <v>1148</v>
      </c>
      <c r="C17" s="759">
        <v>9622</v>
      </c>
      <c r="D17" s="760">
        <v>9622</v>
      </c>
      <c r="E17" s="760">
        <v>0</v>
      </c>
      <c r="F17" s="760">
        <v>0</v>
      </c>
      <c r="G17" s="760">
        <f t="shared" si="0"/>
        <v>9622</v>
      </c>
      <c r="H17" s="760">
        <f t="shared" si="0"/>
        <v>9622</v>
      </c>
      <c r="I17" s="760">
        <v>0</v>
      </c>
      <c r="J17" s="760">
        <v>0</v>
      </c>
      <c r="K17" s="760">
        <v>0</v>
      </c>
      <c r="L17" s="761">
        <f t="shared" si="3"/>
        <v>0</v>
      </c>
      <c r="M17" s="762">
        <f>+G17-H17</f>
        <v>0</v>
      </c>
      <c r="O17" s="765">
        <v>898</v>
      </c>
      <c r="P17" s="766">
        <f>+H17+O17</f>
        <v>10520</v>
      </c>
    </row>
    <row r="18" spans="1:22" s="754" customFormat="1" ht="12.75" x14ac:dyDescent="0.25">
      <c r="A18" s="755">
        <f t="shared" si="1"/>
        <v>11</v>
      </c>
      <c r="B18" s="767" t="s">
        <v>1149</v>
      </c>
      <c r="C18" s="752">
        <f>+C19</f>
        <v>1330</v>
      </c>
      <c r="D18" s="600">
        <f t="shared" ref="D18:M18" si="11">+D19</f>
        <v>1328</v>
      </c>
      <c r="E18" s="600">
        <f t="shared" si="11"/>
        <v>0</v>
      </c>
      <c r="F18" s="600">
        <f t="shared" si="11"/>
        <v>0</v>
      </c>
      <c r="G18" s="600">
        <f t="shared" si="11"/>
        <v>1330</v>
      </c>
      <c r="H18" s="600">
        <f t="shared" si="11"/>
        <v>1328</v>
      </c>
      <c r="I18" s="600">
        <f t="shared" si="11"/>
        <v>0</v>
      </c>
      <c r="J18" s="600">
        <f t="shared" si="11"/>
        <v>0</v>
      </c>
      <c r="K18" s="600">
        <f t="shared" si="11"/>
        <v>0</v>
      </c>
      <c r="L18" s="753">
        <f t="shared" si="3"/>
        <v>2</v>
      </c>
      <c r="M18" s="601">
        <f t="shared" si="11"/>
        <v>2</v>
      </c>
      <c r="O18" s="603">
        <f t="shared" ref="O18:P18" si="12">+O19</f>
        <v>0</v>
      </c>
      <c r="P18" s="601">
        <f t="shared" si="12"/>
        <v>1328</v>
      </c>
    </row>
    <row r="19" spans="1:22" s="757" customFormat="1" ht="12.75" x14ac:dyDescent="0.25">
      <c r="A19" s="545">
        <f t="shared" si="1"/>
        <v>12</v>
      </c>
      <c r="B19" s="764" t="s">
        <v>1150</v>
      </c>
      <c r="C19" s="759">
        <v>1330</v>
      </c>
      <c r="D19" s="760">
        <v>1328</v>
      </c>
      <c r="E19" s="760">
        <v>0</v>
      </c>
      <c r="F19" s="760">
        <v>0</v>
      </c>
      <c r="G19" s="760">
        <f t="shared" si="0"/>
        <v>1330</v>
      </c>
      <c r="H19" s="760">
        <f t="shared" si="0"/>
        <v>1328</v>
      </c>
      <c r="I19" s="760">
        <v>0</v>
      </c>
      <c r="J19" s="760">
        <v>0</v>
      </c>
      <c r="K19" s="760">
        <v>0</v>
      </c>
      <c r="L19" s="761">
        <f t="shared" si="3"/>
        <v>2</v>
      </c>
      <c r="M19" s="762">
        <f>+G19-H19</f>
        <v>2</v>
      </c>
      <c r="O19" s="765">
        <v>0</v>
      </c>
      <c r="P19" s="766">
        <f>+H19+O19</f>
        <v>1328</v>
      </c>
    </row>
    <row r="20" spans="1:22" s="754" customFormat="1" ht="12.75" x14ac:dyDescent="0.25">
      <c r="A20" s="755">
        <f t="shared" si="1"/>
        <v>13</v>
      </c>
      <c r="B20" s="767" t="s">
        <v>1151</v>
      </c>
      <c r="C20" s="752">
        <f>+C21</f>
        <v>290</v>
      </c>
      <c r="D20" s="600">
        <f t="shared" ref="D20:M20" si="13">+D21</f>
        <v>290</v>
      </c>
      <c r="E20" s="600">
        <f t="shared" si="13"/>
        <v>0</v>
      </c>
      <c r="F20" s="600">
        <f t="shared" si="13"/>
        <v>0</v>
      </c>
      <c r="G20" s="600">
        <f t="shared" si="13"/>
        <v>290</v>
      </c>
      <c r="H20" s="600">
        <f t="shared" si="13"/>
        <v>290</v>
      </c>
      <c r="I20" s="600">
        <f t="shared" si="13"/>
        <v>0</v>
      </c>
      <c r="J20" s="600">
        <f t="shared" si="13"/>
        <v>0</v>
      </c>
      <c r="K20" s="600">
        <f t="shared" si="13"/>
        <v>0</v>
      </c>
      <c r="L20" s="753">
        <f t="shared" si="3"/>
        <v>0</v>
      </c>
      <c r="M20" s="601">
        <f t="shared" si="13"/>
        <v>0</v>
      </c>
      <c r="O20" s="603">
        <f t="shared" ref="O20:P20" si="14">+O21</f>
        <v>0</v>
      </c>
      <c r="P20" s="601">
        <f t="shared" si="14"/>
        <v>290</v>
      </c>
    </row>
    <row r="21" spans="1:22" s="757" customFormat="1" ht="12.75" x14ac:dyDescent="0.25">
      <c r="A21" s="545">
        <f t="shared" si="1"/>
        <v>14</v>
      </c>
      <c r="B21" s="764" t="s">
        <v>1152</v>
      </c>
      <c r="C21" s="759">
        <v>290</v>
      </c>
      <c r="D21" s="760">
        <v>290</v>
      </c>
      <c r="E21" s="760">
        <v>0</v>
      </c>
      <c r="F21" s="760">
        <v>0</v>
      </c>
      <c r="G21" s="760">
        <f t="shared" si="0"/>
        <v>290</v>
      </c>
      <c r="H21" s="760">
        <f t="shared" si="0"/>
        <v>290</v>
      </c>
      <c r="I21" s="760">
        <v>0</v>
      </c>
      <c r="J21" s="760">
        <v>0</v>
      </c>
      <c r="K21" s="760">
        <v>0</v>
      </c>
      <c r="L21" s="761">
        <f t="shared" si="3"/>
        <v>0</v>
      </c>
      <c r="M21" s="762">
        <f>+G21-H21</f>
        <v>0</v>
      </c>
      <c r="O21" s="765">
        <v>0</v>
      </c>
      <c r="P21" s="766">
        <f>+H21+O21</f>
        <v>290</v>
      </c>
    </row>
    <row r="22" spans="1:22" s="757" customFormat="1" ht="12.75" x14ac:dyDescent="0.25">
      <c r="A22" s="755">
        <f t="shared" si="1"/>
        <v>15</v>
      </c>
      <c r="B22" s="767" t="s">
        <v>1153</v>
      </c>
      <c r="C22" s="752">
        <f>+C23</f>
        <v>400</v>
      </c>
      <c r="D22" s="600">
        <f t="shared" ref="D22:M22" si="15">+D23</f>
        <v>400</v>
      </c>
      <c r="E22" s="600">
        <f t="shared" si="15"/>
        <v>0</v>
      </c>
      <c r="F22" s="600">
        <f t="shared" si="15"/>
        <v>0</v>
      </c>
      <c r="G22" s="600">
        <f t="shared" si="15"/>
        <v>400</v>
      </c>
      <c r="H22" s="600">
        <f t="shared" si="15"/>
        <v>400</v>
      </c>
      <c r="I22" s="600">
        <f t="shared" si="15"/>
        <v>0</v>
      </c>
      <c r="J22" s="600">
        <f t="shared" si="15"/>
        <v>0</v>
      </c>
      <c r="K22" s="600">
        <f t="shared" si="15"/>
        <v>0</v>
      </c>
      <c r="L22" s="753">
        <f t="shared" si="3"/>
        <v>0</v>
      </c>
      <c r="M22" s="601">
        <f t="shared" si="15"/>
        <v>0</v>
      </c>
      <c r="N22" s="754"/>
      <c r="O22" s="603">
        <f t="shared" ref="O22:P22" si="16">+O23</f>
        <v>0</v>
      </c>
      <c r="P22" s="601">
        <f t="shared" si="16"/>
        <v>400</v>
      </c>
    </row>
    <row r="23" spans="1:22" s="754" customFormat="1" ht="12.75" x14ac:dyDescent="0.25">
      <c r="A23" s="545">
        <f t="shared" si="1"/>
        <v>16</v>
      </c>
      <c r="B23" s="764" t="s">
        <v>1154</v>
      </c>
      <c r="C23" s="759">
        <v>400</v>
      </c>
      <c r="D23" s="760">
        <v>400</v>
      </c>
      <c r="E23" s="760">
        <v>0</v>
      </c>
      <c r="F23" s="760">
        <v>0</v>
      </c>
      <c r="G23" s="760">
        <f t="shared" si="0"/>
        <v>400</v>
      </c>
      <c r="H23" s="760">
        <f t="shared" si="0"/>
        <v>400</v>
      </c>
      <c r="I23" s="760">
        <v>0</v>
      </c>
      <c r="J23" s="760">
        <v>0</v>
      </c>
      <c r="K23" s="760">
        <v>0</v>
      </c>
      <c r="L23" s="761">
        <f t="shared" si="3"/>
        <v>0</v>
      </c>
      <c r="M23" s="762">
        <f>+G23-H23</f>
        <v>0</v>
      </c>
      <c r="N23" s="757"/>
      <c r="O23" s="765">
        <v>0</v>
      </c>
      <c r="P23" s="766">
        <f>+H23+O23</f>
        <v>400</v>
      </c>
    </row>
    <row r="24" spans="1:22" s="757" customFormat="1" ht="12.75" x14ac:dyDescent="0.25">
      <c r="A24" s="755">
        <f t="shared" si="1"/>
        <v>17</v>
      </c>
      <c r="B24" s="767" t="s">
        <v>1155</v>
      </c>
      <c r="C24" s="752">
        <f>C25</f>
        <v>589</v>
      </c>
      <c r="D24" s="600">
        <f t="shared" ref="D24:M24" si="17">D25</f>
        <v>576</v>
      </c>
      <c r="E24" s="600">
        <f t="shared" si="17"/>
        <v>0</v>
      </c>
      <c r="F24" s="600">
        <f t="shared" si="17"/>
        <v>0</v>
      </c>
      <c r="G24" s="600">
        <f t="shared" si="17"/>
        <v>589</v>
      </c>
      <c r="H24" s="600">
        <f t="shared" si="17"/>
        <v>576</v>
      </c>
      <c r="I24" s="600">
        <f t="shared" si="17"/>
        <v>0</v>
      </c>
      <c r="J24" s="600">
        <f t="shared" si="17"/>
        <v>0</v>
      </c>
      <c r="K24" s="600">
        <f t="shared" si="17"/>
        <v>0</v>
      </c>
      <c r="L24" s="753">
        <f t="shared" si="3"/>
        <v>13</v>
      </c>
      <c r="M24" s="601">
        <f t="shared" si="17"/>
        <v>13</v>
      </c>
      <c r="N24" s="754"/>
      <c r="O24" s="603">
        <f t="shared" ref="O24:P24" si="18">O25</f>
        <v>0</v>
      </c>
      <c r="P24" s="601">
        <f t="shared" si="18"/>
        <v>576</v>
      </c>
    </row>
    <row r="25" spans="1:22" s="754" customFormat="1" ht="12.75" x14ac:dyDescent="0.25">
      <c r="A25" s="545">
        <f t="shared" si="1"/>
        <v>18</v>
      </c>
      <c r="B25" s="764" t="s">
        <v>1156</v>
      </c>
      <c r="C25" s="759">
        <v>589</v>
      </c>
      <c r="D25" s="760">
        <v>576</v>
      </c>
      <c r="E25" s="760">
        <v>0</v>
      </c>
      <c r="F25" s="760">
        <v>0</v>
      </c>
      <c r="G25" s="760">
        <f t="shared" si="0"/>
        <v>589</v>
      </c>
      <c r="H25" s="760">
        <f t="shared" si="0"/>
        <v>576</v>
      </c>
      <c r="I25" s="760">
        <v>0</v>
      </c>
      <c r="J25" s="760">
        <v>0</v>
      </c>
      <c r="K25" s="760">
        <v>0</v>
      </c>
      <c r="L25" s="761">
        <f t="shared" si="3"/>
        <v>13</v>
      </c>
      <c r="M25" s="762">
        <f>+G25-H25</f>
        <v>13</v>
      </c>
      <c r="N25" s="757"/>
      <c r="O25" s="765">
        <v>0</v>
      </c>
      <c r="P25" s="766">
        <f>+H25+O25</f>
        <v>576</v>
      </c>
    </row>
    <row r="26" spans="1:22" s="757" customFormat="1" ht="12.75" x14ac:dyDescent="0.25">
      <c r="A26" s="522">
        <f t="shared" si="1"/>
        <v>19</v>
      </c>
      <c r="B26" s="751" t="s">
        <v>1157</v>
      </c>
      <c r="C26" s="752">
        <v>0</v>
      </c>
      <c r="D26" s="600">
        <v>0</v>
      </c>
      <c r="E26" s="600">
        <v>0</v>
      </c>
      <c r="F26" s="600">
        <v>0</v>
      </c>
      <c r="G26" s="600">
        <v>0</v>
      </c>
      <c r="H26" s="600">
        <v>0</v>
      </c>
      <c r="I26" s="600">
        <v>0</v>
      </c>
      <c r="J26" s="600">
        <v>0</v>
      </c>
      <c r="K26" s="600">
        <v>0</v>
      </c>
      <c r="L26" s="753">
        <f t="shared" si="3"/>
        <v>0</v>
      </c>
      <c r="M26" s="601">
        <v>0</v>
      </c>
      <c r="N26" s="154"/>
      <c r="O26" s="603">
        <v>0</v>
      </c>
      <c r="P26" s="601">
        <v>0</v>
      </c>
    </row>
    <row r="27" spans="1:22" s="757" customFormat="1" ht="12.75" x14ac:dyDescent="0.25">
      <c r="A27" s="522">
        <f t="shared" si="1"/>
        <v>20</v>
      </c>
      <c r="B27" s="751" t="s">
        <v>1158</v>
      </c>
      <c r="C27" s="752">
        <v>0</v>
      </c>
      <c r="D27" s="600">
        <v>0</v>
      </c>
      <c r="E27" s="600">
        <v>0</v>
      </c>
      <c r="F27" s="600">
        <v>0</v>
      </c>
      <c r="G27" s="600">
        <v>0</v>
      </c>
      <c r="H27" s="600">
        <v>0</v>
      </c>
      <c r="I27" s="600">
        <v>0</v>
      </c>
      <c r="J27" s="600">
        <v>0</v>
      </c>
      <c r="K27" s="600">
        <v>0</v>
      </c>
      <c r="L27" s="753">
        <f t="shared" si="3"/>
        <v>0</v>
      </c>
      <c r="M27" s="601">
        <v>0</v>
      </c>
      <c r="N27" s="154"/>
      <c r="O27" s="603">
        <v>0</v>
      </c>
      <c r="P27" s="601">
        <v>0</v>
      </c>
    </row>
    <row r="28" spans="1:22" s="154" customFormat="1" ht="12.75" x14ac:dyDescent="0.25">
      <c r="A28" s="465">
        <f>+A27+1</f>
        <v>21</v>
      </c>
      <c r="B28" s="768" t="s">
        <v>1159</v>
      </c>
      <c r="C28" s="746">
        <f t="shared" ref="C28:M28" si="19">C29+C37+C42</f>
        <v>1541</v>
      </c>
      <c r="D28" s="608">
        <f t="shared" si="19"/>
        <v>261</v>
      </c>
      <c r="E28" s="608">
        <f t="shared" si="19"/>
        <v>0</v>
      </c>
      <c r="F28" s="608">
        <f t="shared" si="19"/>
        <v>0</v>
      </c>
      <c r="G28" s="608">
        <f t="shared" si="19"/>
        <v>1541</v>
      </c>
      <c r="H28" s="608">
        <f t="shared" si="19"/>
        <v>261</v>
      </c>
      <c r="I28" s="608">
        <f t="shared" si="19"/>
        <v>0</v>
      </c>
      <c r="J28" s="608">
        <f t="shared" si="19"/>
        <v>0</v>
      </c>
      <c r="K28" s="608">
        <f t="shared" si="19"/>
        <v>0</v>
      </c>
      <c r="L28" s="747">
        <f t="shared" si="19"/>
        <v>1280</v>
      </c>
      <c r="M28" s="609">
        <f t="shared" si="19"/>
        <v>1605</v>
      </c>
      <c r="O28" s="749">
        <f>O29+O37+O42</f>
        <v>0</v>
      </c>
      <c r="P28" s="750">
        <f>P29+P37+P42</f>
        <v>261</v>
      </c>
    </row>
    <row r="29" spans="1:22" s="154" customFormat="1" ht="12.75" x14ac:dyDescent="0.25">
      <c r="A29" s="522">
        <f t="shared" si="1"/>
        <v>22</v>
      </c>
      <c r="B29" s="751" t="s">
        <v>1160</v>
      </c>
      <c r="C29" s="752">
        <f>C30+C35</f>
        <v>169</v>
      </c>
      <c r="D29" s="600">
        <f t="shared" ref="D29:M29" si="20">D30+D35</f>
        <v>261</v>
      </c>
      <c r="E29" s="600">
        <f t="shared" si="20"/>
        <v>0</v>
      </c>
      <c r="F29" s="600">
        <f t="shared" si="20"/>
        <v>0</v>
      </c>
      <c r="G29" s="600">
        <f t="shared" si="20"/>
        <v>169</v>
      </c>
      <c r="H29" s="600">
        <f t="shared" si="20"/>
        <v>261</v>
      </c>
      <c r="I29" s="600">
        <f t="shared" si="20"/>
        <v>0</v>
      </c>
      <c r="J29" s="600">
        <f t="shared" si="20"/>
        <v>0</v>
      </c>
      <c r="K29" s="600">
        <f t="shared" si="20"/>
        <v>0</v>
      </c>
      <c r="L29" s="753">
        <f t="shared" si="3"/>
        <v>-92</v>
      </c>
      <c r="M29" s="601">
        <f t="shared" si="20"/>
        <v>1605</v>
      </c>
      <c r="O29" s="603">
        <f t="shared" ref="O29:P29" si="21">O30+O35</f>
        <v>0</v>
      </c>
      <c r="P29" s="601">
        <f t="shared" si="21"/>
        <v>261</v>
      </c>
    </row>
    <row r="30" spans="1:22" s="154" customFormat="1" ht="12.75" x14ac:dyDescent="0.25">
      <c r="A30" s="526">
        <f t="shared" si="1"/>
        <v>23</v>
      </c>
      <c r="B30" s="769" t="s">
        <v>1161</v>
      </c>
      <c r="C30" s="752">
        <f>C31</f>
        <v>169</v>
      </c>
      <c r="D30" s="600">
        <f t="shared" ref="D30:M30" si="22">D31</f>
        <v>261</v>
      </c>
      <c r="E30" s="600">
        <f t="shared" si="22"/>
        <v>0</v>
      </c>
      <c r="F30" s="600">
        <f t="shared" si="22"/>
        <v>0</v>
      </c>
      <c r="G30" s="600">
        <f t="shared" si="22"/>
        <v>169</v>
      </c>
      <c r="H30" s="600">
        <f t="shared" si="22"/>
        <v>261</v>
      </c>
      <c r="I30" s="600">
        <f t="shared" si="22"/>
        <v>0</v>
      </c>
      <c r="J30" s="600">
        <f t="shared" si="22"/>
        <v>0</v>
      </c>
      <c r="K30" s="600">
        <f t="shared" si="22"/>
        <v>0</v>
      </c>
      <c r="L30" s="753">
        <f t="shared" si="3"/>
        <v>-92</v>
      </c>
      <c r="M30" s="601">
        <f t="shared" si="22"/>
        <v>1605</v>
      </c>
      <c r="O30" s="603">
        <f t="shared" ref="O30:P30" si="23">O31</f>
        <v>0</v>
      </c>
      <c r="P30" s="601">
        <f t="shared" si="23"/>
        <v>261</v>
      </c>
    </row>
    <row r="31" spans="1:22" s="152" customFormat="1" ht="12.75" x14ac:dyDescent="0.25">
      <c r="A31" s="467">
        <f t="shared" si="1"/>
        <v>24</v>
      </c>
      <c r="B31" s="770" t="s">
        <v>1162</v>
      </c>
      <c r="C31" s="607">
        <f>SUM(C32:C34)</f>
        <v>169</v>
      </c>
      <c r="D31" s="604">
        <f>SUM(D32:D34)</f>
        <v>261</v>
      </c>
      <c r="E31" s="604">
        <f>SUM(E32:E34)</f>
        <v>0</v>
      </c>
      <c r="F31" s="604">
        <v>0</v>
      </c>
      <c r="G31" s="604">
        <f>+C31+E31</f>
        <v>169</v>
      </c>
      <c r="H31" s="604">
        <f t="shared" si="0"/>
        <v>261</v>
      </c>
      <c r="I31" s="604">
        <v>0</v>
      </c>
      <c r="J31" s="604">
        <v>0</v>
      </c>
      <c r="K31" s="604">
        <v>0</v>
      </c>
      <c r="L31" s="771">
        <f t="shared" si="3"/>
        <v>-92</v>
      </c>
      <c r="M31" s="605">
        <f>SUM(M32:M34)</f>
        <v>1605</v>
      </c>
      <c r="O31" s="607">
        <f>SUM(O32:O34)</f>
        <v>0</v>
      </c>
      <c r="P31" s="605">
        <f>+H31+O31</f>
        <v>261</v>
      </c>
      <c r="V31" s="154"/>
    </row>
    <row r="32" spans="1:22" s="152" customFormat="1" ht="12.75" x14ac:dyDescent="0.25">
      <c r="A32" s="467">
        <f t="shared" si="1"/>
        <v>25</v>
      </c>
      <c r="B32" s="1016" t="s">
        <v>1163</v>
      </c>
      <c r="C32" s="772">
        <v>169</v>
      </c>
      <c r="D32" s="604">
        <v>155</v>
      </c>
      <c r="E32" s="604">
        <v>0</v>
      </c>
      <c r="F32" s="604">
        <v>0</v>
      </c>
      <c r="G32" s="604">
        <f t="shared" si="0"/>
        <v>169</v>
      </c>
      <c r="H32" s="604">
        <f t="shared" si="0"/>
        <v>155</v>
      </c>
      <c r="I32" s="604">
        <v>0</v>
      </c>
      <c r="J32" s="604">
        <v>0</v>
      </c>
      <c r="K32" s="604">
        <v>0</v>
      </c>
      <c r="L32" s="771">
        <f t="shared" si="3"/>
        <v>14</v>
      </c>
      <c r="M32" s="605">
        <v>1193</v>
      </c>
      <c r="O32" s="607">
        <v>0</v>
      </c>
      <c r="P32" s="605">
        <f>+H32+O32</f>
        <v>155</v>
      </c>
      <c r="V32" s="154"/>
    </row>
    <row r="33" spans="1:22" s="152" customFormat="1" ht="12.75" x14ac:dyDescent="0.25">
      <c r="A33" s="467">
        <f t="shared" si="1"/>
        <v>26</v>
      </c>
      <c r="B33" s="1016" t="s">
        <v>1164</v>
      </c>
      <c r="C33" s="772">
        <v>0</v>
      </c>
      <c r="D33" s="604">
        <v>106</v>
      </c>
      <c r="E33" s="604">
        <v>0</v>
      </c>
      <c r="F33" s="604">
        <v>0</v>
      </c>
      <c r="G33" s="604">
        <f t="shared" si="0"/>
        <v>0</v>
      </c>
      <c r="H33" s="604">
        <f t="shared" si="0"/>
        <v>106</v>
      </c>
      <c r="I33" s="604">
        <v>0</v>
      </c>
      <c r="J33" s="604">
        <v>0</v>
      </c>
      <c r="K33" s="604">
        <v>0</v>
      </c>
      <c r="L33" s="771">
        <f t="shared" si="3"/>
        <v>-106</v>
      </c>
      <c r="M33" s="605">
        <v>403</v>
      </c>
      <c r="O33" s="607">
        <v>0</v>
      </c>
      <c r="P33" s="605">
        <f>+H33+O33</f>
        <v>106</v>
      </c>
      <c r="V33" s="154"/>
    </row>
    <row r="34" spans="1:22" s="152" customFormat="1" ht="12.75" x14ac:dyDescent="0.25">
      <c r="A34" s="467">
        <f t="shared" si="1"/>
        <v>27</v>
      </c>
      <c r="B34" s="1016" t="s">
        <v>1165</v>
      </c>
      <c r="C34" s="772">
        <v>0</v>
      </c>
      <c r="D34" s="604">
        <v>0</v>
      </c>
      <c r="E34" s="604">
        <v>0</v>
      </c>
      <c r="F34" s="604">
        <v>0</v>
      </c>
      <c r="G34" s="604">
        <f t="shared" si="0"/>
        <v>0</v>
      </c>
      <c r="H34" s="604">
        <f t="shared" si="0"/>
        <v>0</v>
      </c>
      <c r="I34" s="604">
        <v>0</v>
      </c>
      <c r="J34" s="604">
        <v>0</v>
      </c>
      <c r="K34" s="604">
        <v>0</v>
      </c>
      <c r="L34" s="771">
        <f>G34-H34</f>
        <v>0</v>
      </c>
      <c r="M34" s="605">
        <v>9</v>
      </c>
      <c r="O34" s="607">
        <v>0</v>
      </c>
      <c r="P34" s="605">
        <f>+H34+O34</f>
        <v>0</v>
      </c>
      <c r="V34" s="154"/>
    </row>
    <row r="35" spans="1:22" s="154" customFormat="1" ht="12.75" x14ac:dyDescent="0.25">
      <c r="A35" s="526">
        <f t="shared" si="1"/>
        <v>28</v>
      </c>
      <c r="B35" s="769" t="s">
        <v>1166</v>
      </c>
      <c r="C35" s="752">
        <f>C36</f>
        <v>0</v>
      </c>
      <c r="D35" s="600">
        <f t="shared" ref="D35:M35" si="24">D36</f>
        <v>0</v>
      </c>
      <c r="E35" s="600">
        <f t="shared" si="24"/>
        <v>0</v>
      </c>
      <c r="F35" s="600">
        <f t="shared" si="24"/>
        <v>0</v>
      </c>
      <c r="G35" s="600">
        <f t="shared" si="24"/>
        <v>0</v>
      </c>
      <c r="H35" s="600">
        <f t="shared" si="24"/>
        <v>0</v>
      </c>
      <c r="I35" s="600">
        <f t="shared" si="24"/>
        <v>0</v>
      </c>
      <c r="J35" s="600">
        <f t="shared" si="24"/>
        <v>0</v>
      </c>
      <c r="K35" s="600">
        <f t="shared" si="24"/>
        <v>0</v>
      </c>
      <c r="L35" s="753">
        <f t="shared" si="3"/>
        <v>0</v>
      </c>
      <c r="M35" s="601">
        <f t="shared" si="24"/>
        <v>0</v>
      </c>
      <c r="O35" s="603">
        <f t="shared" ref="O35:P35" si="25">O36</f>
        <v>0</v>
      </c>
      <c r="P35" s="601">
        <f t="shared" si="25"/>
        <v>0</v>
      </c>
    </row>
    <row r="36" spans="1:22" s="154" customFormat="1" ht="12.75" x14ac:dyDescent="0.25">
      <c r="A36" s="773">
        <f t="shared" si="1"/>
        <v>29</v>
      </c>
      <c r="B36" s="1018" t="s">
        <v>1167</v>
      </c>
      <c r="C36" s="772">
        <v>0</v>
      </c>
      <c r="D36" s="604">
        <v>0</v>
      </c>
      <c r="E36" s="604"/>
      <c r="F36" s="604"/>
      <c r="G36" s="604">
        <f t="shared" si="0"/>
        <v>0</v>
      </c>
      <c r="H36" s="604">
        <f t="shared" si="0"/>
        <v>0</v>
      </c>
      <c r="I36" s="604">
        <v>0</v>
      </c>
      <c r="J36" s="604">
        <v>0</v>
      </c>
      <c r="K36" s="604">
        <v>0</v>
      </c>
      <c r="L36" s="771">
        <f t="shared" si="3"/>
        <v>0</v>
      </c>
      <c r="M36" s="605">
        <f>+G36-H36</f>
        <v>0</v>
      </c>
      <c r="N36" s="152"/>
      <c r="O36" s="607">
        <v>0</v>
      </c>
      <c r="P36" s="605">
        <f>+H36+O36</f>
        <v>0</v>
      </c>
    </row>
    <row r="37" spans="1:22" s="154" customFormat="1" ht="12.75" x14ac:dyDescent="0.25">
      <c r="A37" s="522">
        <f t="shared" si="1"/>
        <v>30</v>
      </c>
      <c r="B37" s="751" t="s">
        <v>1157</v>
      </c>
      <c r="C37" s="752">
        <f t="shared" ref="C37:P39" si="26">C38</f>
        <v>221</v>
      </c>
      <c r="D37" s="600">
        <f t="shared" si="26"/>
        <v>0</v>
      </c>
      <c r="E37" s="600">
        <f t="shared" si="26"/>
        <v>0</v>
      </c>
      <c r="F37" s="600">
        <f t="shared" si="26"/>
        <v>0</v>
      </c>
      <c r="G37" s="600">
        <f t="shared" si="26"/>
        <v>221</v>
      </c>
      <c r="H37" s="600">
        <f t="shared" si="26"/>
        <v>0</v>
      </c>
      <c r="I37" s="600">
        <f t="shared" si="26"/>
        <v>0</v>
      </c>
      <c r="J37" s="600">
        <f t="shared" si="26"/>
        <v>0</v>
      </c>
      <c r="K37" s="600">
        <f t="shared" si="26"/>
        <v>0</v>
      </c>
      <c r="L37" s="753">
        <f t="shared" si="3"/>
        <v>221</v>
      </c>
      <c r="M37" s="601">
        <f t="shared" si="26"/>
        <v>0</v>
      </c>
      <c r="O37" s="603">
        <f t="shared" si="26"/>
        <v>0</v>
      </c>
      <c r="P37" s="601">
        <f t="shared" si="26"/>
        <v>0</v>
      </c>
    </row>
    <row r="38" spans="1:22" s="152" customFormat="1" ht="12.75" x14ac:dyDescent="0.25">
      <c r="A38" s="520">
        <f t="shared" si="1"/>
        <v>31</v>
      </c>
      <c r="B38" s="774" t="s">
        <v>1168</v>
      </c>
      <c r="C38" s="752">
        <f t="shared" si="26"/>
        <v>221</v>
      </c>
      <c r="D38" s="600">
        <f t="shared" si="26"/>
        <v>0</v>
      </c>
      <c r="E38" s="600">
        <f t="shared" si="26"/>
        <v>0</v>
      </c>
      <c r="F38" s="600">
        <f t="shared" si="26"/>
        <v>0</v>
      </c>
      <c r="G38" s="600">
        <f t="shared" si="26"/>
        <v>221</v>
      </c>
      <c r="H38" s="600">
        <f t="shared" si="26"/>
        <v>0</v>
      </c>
      <c r="I38" s="600">
        <f t="shared" si="26"/>
        <v>0</v>
      </c>
      <c r="J38" s="600">
        <f t="shared" si="26"/>
        <v>0</v>
      </c>
      <c r="K38" s="600">
        <f t="shared" si="26"/>
        <v>0</v>
      </c>
      <c r="L38" s="753">
        <f t="shared" si="3"/>
        <v>221</v>
      </c>
      <c r="M38" s="601">
        <f t="shared" si="26"/>
        <v>0</v>
      </c>
      <c r="N38" s="154"/>
      <c r="O38" s="603">
        <f t="shared" si="26"/>
        <v>0</v>
      </c>
      <c r="P38" s="601">
        <f t="shared" si="26"/>
        <v>0</v>
      </c>
    </row>
    <row r="39" spans="1:22" s="152" customFormat="1" ht="12.75" x14ac:dyDescent="0.25">
      <c r="A39" s="520">
        <f t="shared" si="1"/>
        <v>32</v>
      </c>
      <c r="B39" s="774" t="s">
        <v>1169</v>
      </c>
      <c r="C39" s="752">
        <f t="shared" si="26"/>
        <v>221</v>
      </c>
      <c r="D39" s="600">
        <f t="shared" si="26"/>
        <v>0</v>
      </c>
      <c r="E39" s="600">
        <f t="shared" si="26"/>
        <v>0</v>
      </c>
      <c r="F39" s="600">
        <f t="shared" si="26"/>
        <v>0</v>
      </c>
      <c r="G39" s="600">
        <f t="shared" si="26"/>
        <v>221</v>
      </c>
      <c r="H39" s="600">
        <f t="shared" si="26"/>
        <v>0</v>
      </c>
      <c r="I39" s="600">
        <f t="shared" si="26"/>
        <v>0</v>
      </c>
      <c r="J39" s="600">
        <f t="shared" si="26"/>
        <v>0</v>
      </c>
      <c r="K39" s="600">
        <f t="shared" si="26"/>
        <v>0</v>
      </c>
      <c r="L39" s="753">
        <f t="shared" si="3"/>
        <v>221</v>
      </c>
      <c r="M39" s="601">
        <f t="shared" si="26"/>
        <v>0</v>
      </c>
      <c r="N39" s="154"/>
      <c r="O39" s="603">
        <f t="shared" si="26"/>
        <v>0</v>
      </c>
      <c r="P39" s="601">
        <f t="shared" si="26"/>
        <v>0</v>
      </c>
    </row>
    <row r="40" spans="1:22" s="481" customFormat="1" ht="13.5" customHeight="1" x14ac:dyDescent="0.25">
      <c r="A40" s="467">
        <f t="shared" si="1"/>
        <v>33</v>
      </c>
      <c r="B40" s="770" t="s">
        <v>1170</v>
      </c>
      <c r="C40" s="772">
        <f>SUM(C41:C41)</f>
        <v>221</v>
      </c>
      <c r="D40" s="604">
        <f>SUM(D41:D41)</f>
        <v>0</v>
      </c>
      <c r="E40" s="604">
        <f>SUM(E41:E41)</f>
        <v>0</v>
      </c>
      <c r="F40" s="604">
        <v>0</v>
      </c>
      <c r="G40" s="604">
        <f t="shared" si="0"/>
        <v>221</v>
      </c>
      <c r="H40" s="604">
        <f t="shared" si="0"/>
        <v>0</v>
      </c>
      <c r="I40" s="604">
        <v>0</v>
      </c>
      <c r="J40" s="604">
        <v>0</v>
      </c>
      <c r="K40" s="604">
        <v>0</v>
      </c>
      <c r="L40" s="771">
        <f>G40-H40</f>
        <v>221</v>
      </c>
      <c r="M40" s="605">
        <v>0</v>
      </c>
      <c r="N40" s="152"/>
      <c r="O40" s="607">
        <f>SUM(O41:O41)</f>
        <v>0</v>
      </c>
      <c r="P40" s="605">
        <f>+H40+O40</f>
        <v>0</v>
      </c>
      <c r="R40" s="152"/>
    </row>
    <row r="41" spans="1:22" s="154" customFormat="1" ht="12.75" x14ac:dyDescent="0.25">
      <c r="A41" s="467">
        <f t="shared" si="1"/>
        <v>34</v>
      </c>
      <c r="B41" s="1017" t="s">
        <v>1171</v>
      </c>
      <c r="C41" s="775">
        <v>221</v>
      </c>
      <c r="D41" s="604">
        <v>0</v>
      </c>
      <c r="E41" s="636">
        <v>0</v>
      </c>
      <c r="F41" s="636">
        <v>0</v>
      </c>
      <c r="G41" s="636">
        <f t="shared" si="0"/>
        <v>221</v>
      </c>
      <c r="H41" s="636">
        <f t="shared" si="0"/>
        <v>0</v>
      </c>
      <c r="I41" s="636">
        <v>0</v>
      </c>
      <c r="J41" s="636">
        <v>0</v>
      </c>
      <c r="K41" s="636">
        <v>0</v>
      </c>
      <c r="L41" s="776">
        <f t="shared" si="3"/>
        <v>221</v>
      </c>
      <c r="M41" s="639">
        <v>0</v>
      </c>
      <c r="N41" s="152"/>
      <c r="O41" s="607">
        <v>0</v>
      </c>
      <c r="P41" s="605">
        <f>+H41+O41</f>
        <v>0</v>
      </c>
    </row>
    <row r="42" spans="1:22" s="154" customFormat="1" ht="12.75" x14ac:dyDescent="0.25">
      <c r="A42" s="522">
        <f t="shared" si="1"/>
        <v>35</v>
      </c>
      <c r="B42" s="751" t="s">
        <v>1158</v>
      </c>
      <c r="C42" s="752">
        <f>C43</f>
        <v>1151</v>
      </c>
      <c r="D42" s="600">
        <f t="shared" ref="D42:M43" si="27">D43</f>
        <v>0</v>
      </c>
      <c r="E42" s="600">
        <f t="shared" si="27"/>
        <v>0</v>
      </c>
      <c r="F42" s="600">
        <f t="shared" si="27"/>
        <v>0</v>
      </c>
      <c r="G42" s="600">
        <f t="shared" si="27"/>
        <v>1151</v>
      </c>
      <c r="H42" s="600">
        <f t="shared" si="27"/>
        <v>0</v>
      </c>
      <c r="I42" s="600">
        <f t="shared" si="27"/>
        <v>0</v>
      </c>
      <c r="J42" s="600">
        <f t="shared" si="27"/>
        <v>0</v>
      </c>
      <c r="K42" s="600">
        <f t="shared" si="27"/>
        <v>0</v>
      </c>
      <c r="L42" s="753">
        <f t="shared" si="27"/>
        <v>1151</v>
      </c>
      <c r="M42" s="601">
        <f t="shared" si="27"/>
        <v>0</v>
      </c>
      <c r="O42" s="603">
        <f t="shared" ref="O42:P43" si="28">O43</f>
        <v>0</v>
      </c>
      <c r="P42" s="601">
        <f t="shared" si="28"/>
        <v>0</v>
      </c>
    </row>
    <row r="43" spans="1:22" s="152" customFormat="1" ht="12.75" x14ac:dyDescent="0.25">
      <c r="A43" s="526">
        <f t="shared" si="1"/>
        <v>36</v>
      </c>
      <c r="B43" s="769" t="s">
        <v>1172</v>
      </c>
      <c r="C43" s="752">
        <f>C44</f>
        <v>1151</v>
      </c>
      <c r="D43" s="600">
        <f t="shared" si="27"/>
        <v>0</v>
      </c>
      <c r="E43" s="600">
        <f t="shared" si="27"/>
        <v>0</v>
      </c>
      <c r="F43" s="600">
        <f t="shared" si="27"/>
        <v>0</v>
      </c>
      <c r="G43" s="600">
        <f t="shared" si="27"/>
        <v>1151</v>
      </c>
      <c r="H43" s="600">
        <f t="shared" si="27"/>
        <v>0</v>
      </c>
      <c r="I43" s="600">
        <f t="shared" si="27"/>
        <v>0</v>
      </c>
      <c r="J43" s="600">
        <f t="shared" si="27"/>
        <v>0</v>
      </c>
      <c r="K43" s="600">
        <f t="shared" si="27"/>
        <v>0</v>
      </c>
      <c r="L43" s="753">
        <f t="shared" si="27"/>
        <v>1151</v>
      </c>
      <c r="M43" s="601">
        <f t="shared" si="27"/>
        <v>0</v>
      </c>
      <c r="N43" s="154"/>
      <c r="O43" s="603">
        <f t="shared" si="28"/>
        <v>0</v>
      </c>
      <c r="P43" s="601">
        <f t="shared" si="28"/>
        <v>0</v>
      </c>
    </row>
    <row r="44" spans="1:22" ht="15.75" thickBot="1" x14ac:dyDescent="0.3">
      <c r="A44" s="467">
        <f t="shared" si="1"/>
        <v>37</v>
      </c>
      <c r="B44" s="1018" t="s">
        <v>1173</v>
      </c>
      <c r="C44" s="772">
        <v>1151</v>
      </c>
      <c r="D44" s="604">
        <v>0</v>
      </c>
      <c r="E44" s="604">
        <v>0</v>
      </c>
      <c r="F44" s="604">
        <v>0</v>
      </c>
      <c r="G44" s="604">
        <f t="shared" ref="G44:H44" si="29">+C44+E44</f>
        <v>1151</v>
      </c>
      <c r="H44" s="604">
        <f t="shared" si="29"/>
        <v>0</v>
      </c>
      <c r="I44" s="604">
        <v>0</v>
      </c>
      <c r="J44" s="604">
        <v>0</v>
      </c>
      <c r="K44" s="604">
        <v>0</v>
      </c>
      <c r="L44" s="771">
        <f>G44-H44</f>
        <v>1151</v>
      </c>
      <c r="M44" s="605">
        <v>0</v>
      </c>
      <c r="N44" s="152"/>
      <c r="O44" s="607">
        <v>0</v>
      </c>
      <c r="P44" s="605">
        <f>+H44+O44</f>
        <v>0</v>
      </c>
    </row>
    <row r="45" spans="1:22" s="151" customFormat="1" ht="15.75" thickBot="1" x14ac:dyDescent="0.3">
      <c r="A45" s="1124">
        <f t="shared" si="1"/>
        <v>38</v>
      </c>
      <c r="B45" s="777" t="s">
        <v>708</v>
      </c>
      <c r="C45" s="1051">
        <f t="shared" ref="C45:M45" si="30">C7+C8+C28</f>
        <v>30417</v>
      </c>
      <c r="D45" s="1052">
        <f t="shared" si="30"/>
        <v>29122</v>
      </c>
      <c r="E45" s="1052">
        <f t="shared" si="30"/>
        <v>0</v>
      </c>
      <c r="F45" s="1052">
        <f t="shared" si="30"/>
        <v>0</v>
      </c>
      <c r="G45" s="1052">
        <f t="shared" si="30"/>
        <v>30417</v>
      </c>
      <c r="H45" s="1052">
        <f t="shared" si="30"/>
        <v>29122</v>
      </c>
      <c r="I45" s="1052">
        <f t="shared" si="30"/>
        <v>0</v>
      </c>
      <c r="J45" s="1052">
        <f t="shared" si="30"/>
        <v>0</v>
      </c>
      <c r="K45" s="1052">
        <f t="shared" si="30"/>
        <v>159</v>
      </c>
      <c r="L45" s="1125">
        <f t="shared" si="30"/>
        <v>1295</v>
      </c>
      <c r="M45" s="1056">
        <f t="shared" si="30"/>
        <v>1620</v>
      </c>
      <c r="N45" s="754"/>
      <c r="O45" s="1051">
        <f>O7+O8+O28</f>
        <v>1265</v>
      </c>
      <c r="P45" s="1056">
        <f>P7+P8+P28</f>
        <v>30387</v>
      </c>
    </row>
  </sheetData>
  <mergeCells count="10">
    <mergeCell ref="L4:L5"/>
    <mergeCell ref="M4:M5"/>
    <mergeCell ref="O4:O5"/>
    <mergeCell ref="P4:P5"/>
    <mergeCell ref="A4:A6"/>
    <mergeCell ref="B4:B6"/>
    <mergeCell ref="C4:D4"/>
    <mergeCell ref="E4:F4"/>
    <mergeCell ref="G4:H4"/>
    <mergeCell ref="I4:K4"/>
  </mergeCells>
  <pageMargins left="0.7" right="0.7" top="0.78740157499999996" bottom="0.78740157499999996"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0">
    <pageSetUpPr fitToPage="1"/>
  </sheetPr>
  <dimension ref="A1:H42"/>
  <sheetViews>
    <sheetView topLeftCell="A19" zoomScaleNormal="100" workbookViewId="0">
      <selection activeCell="C34" sqref="C34"/>
    </sheetView>
  </sheetViews>
  <sheetFormatPr defaultRowHeight="12.75" x14ac:dyDescent="0.25"/>
  <cols>
    <col min="1" max="1" width="3.28515625" style="6" customWidth="1"/>
    <col min="2" max="2" width="7.85546875" style="6" customWidth="1"/>
    <col min="3" max="3" width="56.7109375" style="6" customWidth="1"/>
    <col min="4" max="4" width="17" style="6" customWidth="1"/>
    <col min="5" max="5" width="16.5703125" style="6" customWidth="1"/>
    <col min="6" max="6" width="11.42578125" style="6" customWidth="1"/>
    <col min="7" max="7" width="2.42578125" style="6" customWidth="1"/>
    <col min="8" max="8" width="29.85546875" style="6" customWidth="1"/>
    <col min="9" max="16384" width="9.140625" style="6"/>
  </cols>
  <sheetData>
    <row r="1" spans="1:8" ht="15.75" x14ac:dyDescent="0.25">
      <c r="A1" s="74" t="s">
        <v>1089</v>
      </c>
      <c r="B1" s="11"/>
      <c r="C1" s="11"/>
      <c r="D1" s="69"/>
      <c r="E1" s="12"/>
      <c r="F1" s="75"/>
      <c r="G1" s="30"/>
      <c r="H1" s="8"/>
    </row>
    <row r="2" spans="1:8" s="3" customFormat="1" ht="13.5" thickBot="1" x14ac:dyDescent="0.3">
      <c r="A2" s="12"/>
      <c r="B2" s="12"/>
      <c r="C2" s="12"/>
      <c r="D2" s="12"/>
      <c r="E2" s="12"/>
      <c r="F2" s="13" t="s">
        <v>488</v>
      </c>
      <c r="G2" s="12"/>
      <c r="H2" s="2"/>
    </row>
    <row r="3" spans="1:8" s="7" customFormat="1" ht="19.5" customHeight="1" x14ac:dyDescent="0.25">
      <c r="A3" s="1384" t="s">
        <v>460</v>
      </c>
      <c r="B3" s="1386" t="s">
        <v>679</v>
      </c>
      <c r="C3" s="1386"/>
      <c r="D3" s="1388" t="s">
        <v>1105</v>
      </c>
      <c r="E3" s="1388"/>
      <c r="F3" s="1389"/>
      <c r="G3" s="62"/>
      <c r="H3" s="129"/>
    </row>
    <row r="4" spans="1:8" s="7" customFormat="1" ht="13.5" customHeight="1" thickBot="1" x14ac:dyDescent="0.3">
      <c r="A4" s="1385"/>
      <c r="B4" s="1387"/>
      <c r="C4" s="1387"/>
      <c r="D4" s="1058" t="s">
        <v>570</v>
      </c>
      <c r="E4" s="1058" t="s">
        <v>489</v>
      </c>
      <c r="F4" s="14" t="s">
        <v>486</v>
      </c>
      <c r="G4" s="62"/>
      <c r="H4" s="129"/>
    </row>
    <row r="5" spans="1:8" s="7" customFormat="1" ht="12.75" customHeight="1" x14ac:dyDescent="0.25">
      <c r="A5" s="343" t="s">
        <v>1064</v>
      </c>
      <c r="B5" s="1390" t="s">
        <v>1054</v>
      </c>
      <c r="C5" s="1390"/>
      <c r="D5" s="338">
        <f>SUM(D6:D9)</f>
        <v>377</v>
      </c>
      <c r="E5" s="338">
        <f>SUM(E6:E9)</f>
        <v>11859</v>
      </c>
      <c r="F5" s="339">
        <f t="shared" ref="F5:F21" si="0">SUM(D5+E5)</f>
        <v>12236</v>
      </c>
      <c r="G5" s="62"/>
      <c r="H5" s="129"/>
    </row>
    <row r="6" spans="1:8" s="7" customFormat="1" ht="12.75" customHeight="1" x14ac:dyDescent="0.2">
      <c r="A6" s="670" t="s">
        <v>1065</v>
      </c>
      <c r="B6" s="1391" t="s">
        <v>617</v>
      </c>
      <c r="C6" s="719" t="s">
        <v>1055</v>
      </c>
      <c r="D6" s="1099">
        <v>0</v>
      </c>
      <c r="E6" s="76">
        <v>0</v>
      </c>
      <c r="F6" s="77">
        <f t="shared" si="0"/>
        <v>0</v>
      </c>
      <c r="G6" s="62"/>
      <c r="H6" s="4"/>
    </row>
    <row r="7" spans="1:8" s="7" customFormat="1" ht="12.75" customHeight="1" x14ac:dyDescent="0.2">
      <c r="A7" s="670" t="s">
        <v>1066</v>
      </c>
      <c r="B7" s="1392"/>
      <c r="C7" s="719" t="s">
        <v>1056</v>
      </c>
      <c r="D7" s="1099">
        <v>0</v>
      </c>
      <c r="E7" s="76">
        <v>7255</v>
      </c>
      <c r="F7" s="77">
        <f t="shared" si="0"/>
        <v>7255</v>
      </c>
      <c r="G7" s="62"/>
      <c r="H7" s="4"/>
    </row>
    <row r="8" spans="1:8" s="7" customFormat="1" ht="12.75" customHeight="1" x14ac:dyDescent="0.2">
      <c r="A8" s="670" t="s">
        <v>1067</v>
      </c>
      <c r="B8" s="1392"/>
      <c r="C8" s="719" t="s">
        <v>1057</v>
      </c>
      <c r="D8" s="1099">
        <v>377</v>
      </c>
      <c r="E8" s="76">
        <v>303</v>
      </c>
      <c r="F8" s="77">
        <f t="shared" si="0"/>
        <v>680</v>
      </c>
      <c r="G8" s="62"/>
      <c r="H8" s="4"/>
    </row>
    <row r="9" spans="1:8" s="7" customFormat="1" ht="12.75" customHeight="1" x14ac:dyDescent="0.2">
      <c r="A9" s="670" t="s">
        <v>1068</v>
      </c>
      <c r="B9" s="1393"/>
      <c r="C9" s="720" t="s">
        <v>1058</v>
      </c>
      <c r="D9" s="1099">
        <v>0</v>
      </c>
      <c r="E9" s="76">
        <v>4301</v>
      </c>
      <c r="F9" s="77">
        <f t="shared" si="0"/>
        <v>4301</v>
      </c>
      <c r="G9" s="62"/>
      <c r="H9" s="4"/>
    </row>
    <row r="10" spans="1:8" s="7" customFormat="1" ht="12.75" customHeight="1" x14ac:dyDescent="0.2">
      <c r="A10" s="337" t="s">
        <v>1069</v>
      </c>
      <c r="B10" s="1396" t="s">
        <v>1078</v>
      </c>
      <c r="C10" s="1397"/>
      <c r="D10" s="338">
        <v>53223</v>
      </c>
      <c r="E10" s="338">
        <v>17597</v>
      </c>
      <c r="F10" s="339">
        <f t="shared" si="0"/>
        <v>70820</v>
      </c>
      <c r="G10" s="62"/>
      <c r="H10" s="4"/>
    </row>
    <row r="11" spans="1:8" s="7" customFormat="1" ht="12.75" customHeight="1" x14ac:dyDescent="0.2">
      <c r="A11" s="337" t="s">
        <v>727</v>
      </c>
      <c r="B11" s="721" t="s">
        <v>675</v>
      </c>
      <c r="C11" s="722"/>
      <c r="D11" s="338">
        <f>SUM(D12:D15)</f>
        <v>5071</v>
      </c>
      <c r="E11" s="338">
        <f>SUM(E12:E15)</f>
        <v>723</v>
      </c>
      <c r="F11" s="339">
        <f t="shared" si="0"/>
        <v>5794</v>
      </c>
      <c r="G11" s="62"/>
      <c r="H11" s="4"/>
    </row>
    <row r="12" spans="1:8" s="7" customFormat="1" ht="12.75" customHeight="1" x14ac:dyDescent="0.2">
      <c r="A12" s="670" t="s">
        <v>1070</v>
      </c>
      <c r="B12" s="1391" t="s">
        <v>617</v>
      </c>
      <c r="C12" s="689" t="s">
        <v>492</v>
      </c>
      <c r="D12" s="76">
        <v>0</v>
      </c>
      <c r="E12" s="76">
        <v>0</v>
      </c>
      <c r="F12" s="77">
        <f t="shared" si="0"/>
        <v>0</v>
      </c>
      <c r="G12" s="62"/>
      <c r="H12" s="4"/>
    </row>
    <row r="13" spans="1:8" s="7" customFormat="1" ht="12.75" customHeight="1" x14ac:dyDescent="0.2">
      <c r="A13" s="670" t="s">
        <v>1071</v>
      </c>
      <c r="B13" s="1392"/>
      <c r="C13" s="689" t="s">
        <v>491</v>
      </c>
      <c r="D13" s="76">
        <v>0</v>
      </c>
      <c r="E13" s="76">
        <v>0</v>
      </c>
      <c r="F13" s="77">
        <f t="shared" si="0"/>
        <v>0</v>
      </c>
      <c r="G13" s="62"/>
      <c r="H13" s="4"/>
    </row>
    <row r="14" spans="1:8" s="7" customFormat="1" ht="12.75" customHeight="1" x14ac:dyDescent="0.2">
      <c r="A14" s="670" t="s">
        <v>1072</v>
      </c>
      <c r="B14" s="1392"/>
      <c r="C14" s="689" t="s">
        <v>1062</v>
      </c>
      <c r="D14" s="76">
        <v>4994</v>
      </c>
      <c r="E14" s="76">
        <v>723</v>
      </c>
      <c r="F14" s="77">
        <f t="shared" si="0"/>
        <v>5717</v>
      </c>
      <c r="G14" s="62"/>
      <c r="H14" s="4"/>
    </row>
    <row r="15" spans="1:8" s="7" customFormat="1" ht="12.75" customHeight="1" x14ac:dyDescent="0.2">
      <c r="A15" s="670" t="s">
        <v>1073</v>
      </c>
      <c r="B15" s="1393"/>
      <c r="C15" s="689" t="s">
        <v>1395</v>
      </c>
      <c r="D15" s="76">
        <v>77</v>
      </c>
      <c r="E15" s="76">
        <v>0</v>
      </c>
      <c r="F15" s="77">
        <f t="shared" si="0"/>
        <v>77</v>
      </c>
      <c r="G15" s="62"/>
      <c r="H15" s="4"/>
    </row>
    <row r="16" spans="1:8" s="7" customFormat="1" ht="12.75" customHeight="1" x14ac:dyDescent="0.2">
      <c r="A16" s="337" t="s">
        <v>729</v>
      </c>
      <c r="B16" s="721" t="s">
        <v>676</v>
      </c>
      <c r="C16" s="722"/>
      <c r="D16" s="338">
        <f>SUM(D17:D19)</f>
        <v>122</v>
      </c>
      <c r="E16" s="338">
        <f>SUM(E17:E19)</f>
        <v>0</v>
      </c>
      <c r="F16" s="339">
        <f t="shared" si="0"/>
        <v>122</v>
      </c>
      <c r="G16" s="62"/>
      <c r="H16" s="4"/>
    </row>
    <row r="17" spans="1:8" s="7" customFormat="1" ht="12.75" customHeight="1" x14ac:dyDescent="0.2">
      <c r="A17" s="670" t="s">
        <v>1075</v>
      </c>
      <c r="B17" s="1391" t="s">
        <v>617</v>
      </c>
      <c r="C17" s="723" t="s">
        <v>492</v>
      </c>
      <c r="D17" s="76">
        <v>0</v>
      </c>
      <c r="E17" s="76">
        <v>0</v>
      </c>
      <c r="F17" s="77">
        <f t="shared" si="0"/>
        <v>0</v>
      </c>
      <c r="G17" s="62"/>
      <c r="H17" s="4"/>
    </row>
    <row r="18" spans="1:8" s="7" customFormat="1" ht="12.75" customHeight="1" x14ac:dyDescent="0.2">
      <c r="A18" s="670" t="s">
        <v>1076</v>
      </c>
      <c r="B18" s="1392"/>
      <c r="C18" s="723" t="s">
        <v>491</v>
      </c>
      <c r="D18" s="76">
        <v>0</v>
      </c>
      <c r="E18" s="76">
        <v>0</v>
      </c>
      <c r="F18" s="77">
        <f t="shared" si="0"/>
        <v>0</v>
      </c>
      <c r="G18" s="62"/>
      <c r="H18" s="4"/>
    </row>
    <row r="19" spans="1:8" ht="12.75" customHeight="1" x14ac:dyDescent="0.2">
      <c r="A19" s="670" t="s">
        <v>1074</v>
      </c>
      <c r="B19" s="1393"/>
      <c r="C19" s="723" t="s">
        <v>464</v>
      </c>
      <c r="D19" s="76">
        <v>122</v>
      </c>
      <c r="E19" s="76">
        <v>0</v>
      </c>
      <c r="F19" s="77">
        <f t="shared" si="0"/>
        <v>122</v>
      </c>
      <c r="G19" s="62"/>
      <c r="H19" s="4"/>
    </row>
    <row r="20" spans="1:8" ht="12.75" customHeight="1" x14ac:dyDescent="0.2">
      <c r="A20" s="337" t="s">
        <v>1077</v>
      </c>
      <c r="B20" s="1396" t="s">
        <v>677</v>
      </c>
      <c r="C20" s="1397"/>
      <c r="D20" s="338">
        <v>1247</v>
      </c>
      <c r="E20" s="338">
        <v>0</v>
      </c>
      <c r="F20" s="339">
        <f t="shared" si="0"/>
        <v>1247</v>
      </c>
      <c r="G20" s="62"/>
      <c r="H20" s="5"/>
    </row>
    <row r="21" spans="1:8" ht="12.75" customHeight="1" thickBot="1" x14ac:dyDescent="0.25">
      <c r="A21" s="340" t="s">
        <v>731</v>
      </c>
      <c r="B21" s="1398" t="s">
        <v>678</v>
      </c>
      <c r="C21" s="1399"/>
      <c r="D21" s="341">
        <v>0</v>
      </c>
      <c r="E21" s="341">
        <v>0</v>
      </c>
      <c r="F21" s="342">
        <f t="shared" si="0"/>
        <v>0</v>
      </c>
      <c r="G21" s="62"/>
      <c r="H21" s="5"/>
    </row>
    <row r="22" spans="1:8" x14ac:dyDescent="0.2">
      <c r="A22" s="78"/>
      <c r="B22" s="30"/>
      <c r="C22" s="30"/>
      <c r="D22" s="30"/>
      <c r="E22" s="78"/>
      <c r="F22" s="79"/>
      <c r="G22" s="62"/>
      <c r="H22" s="5"/>
    </row>
    <row r="23" spans="1:8" x14ac:dyDescent="0.2">
      <c r="A23" s="97" t="s">
        <v>616</v>
      </c>
      <c r="B23" s="111"/>
      <c r="C23" s="111"/>
      <c r="D23" s="30"/>
      <c r="E23" s="78"/>
      <c r="F23" s="79"/>
      <c r="G23" s="62"/>
      <c r="H23" s="5"/>
    </row>
    <row r="24" spans="1:8" ht="27.75" customHeight="1" x14ac:dyDescent="0.2">
      <c r="A24" s="1400" t="s">
        <v>1109</v>
      </c>
      <c r="B24" s="1401"/>
      <c r="C24" s="1401"/>
      <c r="D24" s="1401"/>
      <c r="E24" s="1401"/>
      <c r="F24" s="1401"/>
      <c r="G24" s="62"/>
      <c r="H24" s="5"/>
    </row>
    <row r="25" spans="1:8" ht="79.5" customHeight="1" x14ac:dyDescent="0.2">
      <c r="A25" s="1280" t="s">
        <v>1059</v>
      </c>
      <c r="B25" s="1402"/>
      <c r="C25" s="1402"/>
      <c r="D25" s="1402"/>
      <c r="E25" s="1402"/>
      <c r="F25" s="1402"/>
      <c r="G25" s="1"/>
    </row>
    <row r="26" spans="1:8" ht="81" customHeight="1" x14ac:dyDescent="0.2">
      <c r="A26" s="1394" t="s">
        <v>1126</v>
      </c>
      <c r="B26" s="1395"/>
      <c r="C26" s="1395"/>
      <c r="D26" s="1395"/>
      <c r="E26" s="1395"/>
      <c r="F26" s="1395"/>
      <c r="G26" s="1"/>
    </row>
    <row r="27" spans="1:8" ht="80.25" customHeight="1" x14ac:dyDescent="0.25">
      <c r="A27" s="1394" t="s">
        <v>1125</v>
      </c>
      <c r="B27" s="1395"/>
      <c r="C27" s="1395"/>
      <c r="D27" s="1395"/>
      <c r="E27" s="1395"/>
      <c r="F27" s="1395"/>
      <c r="G27" s="1"/>
      <c r="H27" s="733"/>
    </row>
    <row r="28" spans="1:8" ht="55.5" customHeight="1" x14ac:dyDescent="0.2">
      <c r="A28" s="1394" t="s">
        <v>1061</v>
      </c>
      <c r="B28" s="1395"/>
      <c r="C28" s="1395"/>
      <c r="D28" s="1395"/>
      <c r="E28" s="1395"/>
      <c r="F28" s="1395"/>
      <c r="G28" s="1"/>
    </row>
    <row r="29" spans="1:8" ht="43.5" customHeight="1" x14ac:dyDescent="0.2">
      <c r="A29" s="1394" t="s">
        <v>1079</v>
      </c>
      <c r="B29" s="1395"/>
      <c r="C29" s="1395"/>
      <c r="D29" s="1395"/>
      <c r="E29" s="1395"/>
      <c r="F29" s="1395"/>
      <c r="G29" s="1"/>
    </row>
    <row r="30" spans="1:8" ht="15.75" customHeight="1" x14ac:dyDescent="0.2">
      <c r="A30" s="1394" t="s">
        <v>1063</v>
      </c>
      <c r="B30" s="1395"/>
      <c r="C30" s="1395"/>
      <c r="D30" s="1395"/>
      <c r="E30" s="1395"/>
      <c r="F30" s="1395"/>
      <c r="G30" s="1"/>
    </row>
    <row r="31" spans="1:8" ht="14.25" customHeight="1" x14ac:dyDescent="0.2">
      <c r="G31" s="1"/>
    </row>
    <row r="32" spans="1:8" x14ac:dyDescent="0.2">
      <c r="G32" s="1"/>
    </row>
    <row r="33" spans="1:7" x14ac:dyDescent="0.2">
      <c r="G33" s="1"/>
    </row>
    <row r="34" spans="1:7" x14ac:dyDescent="0.2">
      <c r="G34" s="1"/>
    </row>
    <row r="41" spans="1:7" x14ac:dyDescent="0.25">
      <c r="A41" s="5"/>
    </row>
    <row r="42" spans="1:7" x14ac:dyDescent="0.25">
      <c r="A42" s="5"/>
    </row>
  </sheetData>
  <sheetProtection formatRows="0" insertRows="0" deleteRows="0"/>
  <customSheetViews>
    <customSheetView guid="{2AF6EA2A-E5C5-45EB-B6C4-875AD1E4E056}" fitToPage="1" printArea="1" topLeftCell="A16">
      <selection activeCell="A30" sqref="A30:F30"/>
      <pageMargins left="0.59055118110236227" right="0.59055118110236227" top="0.6692913385826772" bottom="0.6692913385826772" header="0.15748031496062992" footer="0.15748031496062992"/>
      <printOptions horizontalCentered="1"/>
      <pageSetup paperSize="9" scale="80" orientation="portrait" cellComments="asDisplayed" horizontalDpi="300" verticalDpi="300" r:id="rId1"/>
      <headerFooter alignWithMargins="0"/>
    </customSheetView>
  </customSheetViews>
  <mergeCells count="17">
    <mergeCell ref="A27:F27"/>
    <mergeCell ref="A28:F28"/>
    <mergeCell ref="A30:F30"/>
    <mergeCell ref="A29:F29"/>
    <mergeCell ref="B10:C10"/>
    <mergeCell ref="B12:B15"/>
    <mergeCell ref="B17:B19"/>
    <mergeCell ref="B21:C21"/>
    <mergeCell ref="B20:C20"/>
    <mergeCell ref="A24:F24"/>
    <mergeCell ref="A25:F25"/>
    <mergeCell ref="A26:F26"/>
    <mergeCell ref="A3:A4"/>
    <mergeCell ref="B3:C4"/>
    <mergeCell ref="D3:F3"/>
    <mergeCell ref="B5:C5"/>
    <mergeCell ref="B6:B9"/>
  </mergeCells>
  <printOptions horizontalCentered="1"/>
  <pageMargins left="0.59055118110236227" right="0.59055118110236227" top="0.6692913385826772" bottom="0.6692913385826772" header="0.15748031496062992" footer="0.15748031496062992"/>
  <pageSetup paperSize="9" scale="79" orientation="portrait" cellComments="asDisplayed" horizontalDpi="300" verticalDpi="300" r:id="rId2"/>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1">
    <pageSetUpPr fitToPage="1"/>
  </sheetPr>
  <dimension ref="A1:L30"/>
  <sheetViews>
    <sheetView zoomScaleNormal="100" workbookViewId="0">
      <selection activeCell="F3" sqref="F3"/>
    </sheetView>
  </sheetViews>
  <sheetFormatPr defaultRowHeight="15" x14ac:dyDescent="0.25"/>
  <cols>
    <col min="1" max="1" width="3.42578125" style="28" customWidth="1"/>
    <col min="2" max="2" width="49.5703125" style="16" customWidth="1"/>
    <col min="3" max="3" width="16.42578125" style="16" customWidth="1"/>
    <col min="4" max="4" width="17.7109375" style="16" customWidth="1"/>
    <col min="5" max="5" width="17.28515625" style="16" customWidth="1"/>
    <col min="6" max="6" width="17" style="16" customWidth="1"/>
    <col min="7" max="7" width="9.140625" style="16"/>
    <col min="11" max="16384" width="9.140625" style="16"/>
  </cols>
  <sheetData>
    <row r="1" spans="1:12" ht="15.75" x14ac:dyDescent="0.25">
      <c r="A1" s="327" t="s">
        <v>778</v>
      </c>
      <c r="B1" s="11"/>
      <c r="C1" s="12"/>
      <c r="D1" s="12"/>
      <c r="E1" s="12"/>
    </row>
    <row r="2" spans="1:12" ht="15.75" thickBot="1" x14ac:dyDescent="0.3">
      <c r="A2" s="27"/>
      <c r="B2" s="12"/>
      <c r="C2" s="12"/>
      <c r="D2" s="13"/>
      <c r="E2" s="12"/>
      <c r="F2" s="200" t="s">
        <v>480</v>
      </c>
    </row>
    <row r="3" spans="1:12" ht="26.25" customHeight="1" x14ac:dyDescent="0.25">
      <c r="A3" s="1404" t="s">
        <v>460</v>
      </c>
      <c r="B3" s="1406" t="s">
        <v>493</v>
      </c>
      <c r="C3" s="1120" t="s">
        <v>1128</v>
      </c>
      <c r="D3" s="1120" t="s">
        <v>1403</v>
      </c>
      <c r="E3" s="296" t="s">
        <v>648</v>
      </c>
      <c r="F3" s="297" t="s">
        <v>1396</v>
      </c>
    </row>
    <row r="4" spans="1:12" ht="12" customHeight="1" thickBot="1" x14ac:dyDescent="0.3">
      <c r="A4" s="1405"/>
      <c r="B4" s="1407"/>
      <c r="C4" s="1121" t="s">
        <v>539</v>
      </c>
      <c r="D4" s="1121" t="s">
        <v>540</v>
      </c>
      <c r="E4" s="1121" t="s">
        <v>541</v>
      </c>
      <c r="F4" s="205" t="s">
        <v>542</v>
      </c>
    </row>
    <row r="5" spans="1:12" ht="18" customHeight="1" x14ac:dyDescent="0.25">
      <c r="A5" s="1126">
        <v>1</v>
      </c>
      <c r="B5" s="710" t="s">
        <v>674</v>
      </c>
      <c r="C5" s="334">
        <f>SUM(C6:C9)</f>
        <v>6309</v>
      </c>
      <c r="D5" s="334">
        <f>SUM(D6:D9)</f>
        <v>16397</v>
      </c>
      <c r="E5" s="334">
        <f>SUM(E6:E9)</f>
        <v>8009</v>
      </c>
      <c r="F5" s="1105">
        <v>0</v>
      </c>
    </row>
    <row r="6" spans="1:12" ht="12.75" customHeight="1" x14ac:dyDescent="0.25">
      <c r="A6" s="203">
        <v>2</v>
      </c>
      <c r="B6" s="711" t="s">
        <v>494</v>
      </c>
      <c r="C6" s="1104">
        <v>4471</v>
      </c>
      <c r="D6" s="1104">
        <v>0</v>
      </c>
      <c r="E6" s="166">
        <v>7013</v>
      </c>
      <c r="F6" s="298">
        <v>500</v>
      </c>
      <c r="K6" s="149"/>
      <c r="L6" s="149"/>
    </row>
    <row r="7" spans="1:12" ht="12.75" customHeight="1" x14ac:dyDescent="0.25">
      <c r="A7" s="203">
        <v>3</v>
      </c>
      <c r="B7" s="712" t="s">
        <v>571</v>
      </c>
      <c r="C7" s="1104">
        <v>0</v>
      </c>
      <c r="D7" s="1104">
        <v>16094</v>
      </c>
      <c r="E7" s="166">
        <v>846</v>
      </c>
      <c r="F7" s="333">
        <v>19024</v>
      </c>
      <c r="K7" s="149"/>
      <c r="L7" s="149"/>
    </row>
    <row r="8" spans="1:12" ht="12.75" customHeight="1" x14ac:dyDescent="0.25">
      <c r="A8" s="203">
        <v>4</v>
      </c>
      <c r="B8" s="712" t="s">
        <v>572</v>
      </c>
      <c r="C8" s="1104">
        <v>0</v>
      </c>
      <c r="D8" s="1104">
        <v>303</v>
      </c>
      <c r="E8" s="166">
        <v>99</v>
      </c>
      <c r="F8" s="333">
        <v>3061</v>
      </c>
      <c r="K8" s="149"/>
      <c r="L8" s="149"/>
    </row>
    <row r="9" spans="1:12" ht="12.75" customHeight="1" x14ac:dyDescent="0.25">
      <c r="A9" s="203">
        <v>5</v>
      </c>
      <c r="B9" s="713" t="s">
        <v>495</v>
      </c>
      <c r="C9" s="1104">
        <v>1838</v>
      </c>
      <c r="D9" s="1104">
        <v>0</v>
      </c>
      <c r="E9" s="166">
        <v>51</v>
      </c>
      <c r="F9" s="333">
        <v>36039</v>
      </c>
      <c r="K9" s="149"/>
    </row>
    <row r="10" spans="1:12" ht="21" customHeight="1" x14ac:dyDescent="0.25">
      <c r="A10" s="1127">
        <v>6</v>
      </c>
      <c r="B10" s="714" t="s">
        <v>832</v>
      </c>
      <c r="C10" s="335">
        <f>SUM(C11:C18)</f>
        <v>1648</v>
      </c>
      <c r="D10" s="335">
        <v>0</v>
      </c>
      <c r="E10" s="335">
        <f>SUM(E11:E18)</f>
        <v>1150</v>
      </c>
      <c r="F10" s="1106">
        <v>0</v>
      </c>
      <c r="K10" s="149"/>
    </row>
    <row r="11" spans="1:12" ht="12.75" customHeight="1" x14ac:dyDescent="0.25">
      <c r="A11" s="203">
        <v>7</v>
      </c>
      <c r="B11" s="715" t="s">
        <v>574</v>
      </c>
      <c r="C11" s="1104">
        <v>1343</v>
      </c>
      <c r="D11" s="1104">
        <v>0</v>
      </c>
      <c r="E11" s="166">
        <v>394</v>
      </c>
      <c r="F11" s="333">
        <v>6616</v>
      </c>
    </row>
    <row r="12" spans="1:12" ht="12.75" customHeight="1" x14ac:dyDescent="0.25">
      <c r="A12" s="203">
        <v>8</v>
      </c>
      <c r="B12" s="716" t="s">
        <v>573</v>
      </c>
      <c r="C12" s="1104">
        <v>213</v>
      </c>
      <c r="D12" s="1104">
        <v>0</v>
      </c>
      <c r="E12" s="166">
        <v>378</v>
      </c>
      <c r="F12" s="167">
        <v>563</v>
      </c>
    </row>
    <row r="13" spans="1:12" ht="12.75" customHeight="1" x14ac:dyDescent="0.25">
      <c r="A13" s="204">
        <v>9</v>
      </c>
      <c r="B13" s="717" t="s">
        <v>1397</v>
      </c>
      <c r="C13" s="1104">
        <v>10</v>
      </c>
      <c r="D13" s="1104">
        <v>0</v>
      </c>
      <c r="E13" s="168">
        <v>10</v>
      </c>
      <c r="F13" s="169">
        <v>1000</v>
      </c>
    </row>
    <row r="14" spans="1:12" ht="12.75" customHeight="1" x14ac:dyDescent="0.25">
      <c r="A14" s="204">
        <v>10</v>
      </c>
      <c r="B14" s="717" t="s">
        <v>1398</v>
      </c>
      <c r="C14" s="1104">
        <v>7</v>
      </c>
      <c r="D14" s="1104">
        <v>0</v>
      </c>
      <c r="E14" s="168">
        <v>21</v>
      </c>
      <c r="F14" s="169">
        <v>300</v>
      </c>
    </row>
    <row r="15" spans="1:12" ht="12.75" customHeight="1" x14ac:dyDescent="0.25">
      <c r="A15" s="204">
        <v>11</v>
      </c>
      <c r="B15" s="717" t="s">
        <v>1399</v>
      </c>
      <c r="C15" s="1104">
        <v>8</v>
      </c>
      <c r="D15" s="1104">
        <v>0</v>
      </c>
      <c r="E15" s="168">
        <v>39</v>
      </c>
      <c r="F15" s="169">
        <v>200</v>
      </c>
      <c r="H15" s="129"/>
      <c r="I15" s="129"/>
      <c r="J15" s="129"/>
    </row>
    <row r="16" spans="1:12" ht="12.75" customHeight="1" x14ac:dyDescent="0.25">
      <c r="A16" s="204">
        <v>12</v>
      </c>
      <c r="B16" s="717" t="s">
        <v>1400</v>
      </c>
      <c r="C16" s="1104">
        <v>7</v>
      </c>
      <c r="D16" s="1104">
        <v>0</v>
      </c>
      <c r="E16" s="168">
        <v>36</v>
      </c>
      <c r="F16" s="169">
        <v>200</v>
      </c>
      <c r="H16" s="129"/>
      <c r="I16" s="129"/>
      <c r="J16" s="129"/>
    </row>
    <row r="17" spans="1:10" ht="12.75" customHeight="1" x14ac:dyDescent="0.25">
      <c r="A17" s="204">
        <v>13</v>
      </c>
      <c r="B17" s="717" t="s">
        <v>1401</v>
      </c>
      <c r="C17" s="1104">
        <v>20</v>
      </c>
      <c r="D17" s="1104">
        <v>0</v>
      </c>
      <c r="E17" s="168">
        <v>97</v>
      </c>
      <c r="F17" s="169">
        <v>200</v>
      </c>
      <c r="H17" s="129"/>
      <c r="I17" s="129"/>
      <c r="J17" s="129"/>
    </row>
    <row r="18" spans="1:10" ht="12.75" customHeight="1" thickBot="1" x14ac:dyDescent="0.3">
      <c r="A18" s="204">
        <v>14</v>
      </c>
      <c r="B18" s="717" t="s">
        <v>1402</v>
      </c>
      <c r="C18" s="1104">
        <v>40</v>
      </c>
      <c r="D18" s="1104">
        <v>0</v>
      </c>
      <c r="E18" s="168">
        <v>175</v>
      </c>
      <c r="F18" s="169">
        <v>180</v>
      </c>
      <c r="H18" s="129"/>
      <c r="I18" s="129"/>
      <c r="J18" s="129"/>
    </row>
    <row r="19" spans="1:10" ht="12.75" customHeight="1" thickBot="1" x14ac:dyDescent="0.3">
      <c r="A19" s="293">
        <v>15</v>
      </c>
      <c r="B19" s="718" t="s">
        <v>486</v>
      </c>
      <c r="C19" s="201">
        <f>C5+C10</f>
        <v>7957</v>
      </c>
      <c r="D19" s="201">
        <f>D5+D10</f>
        <v>16397</v>
      </c>
      <c r="E19" s="201">
        <f>E5+E10</f>
        <v>9159</v>
      </c>
      <c r="F19" s="1107">
        <v>0</v>
      </c>
    </row>
    <row r="20" spans="1:10" ht="12.75" customHeight="1" x14ac:dyDescent="0.25">
      <c r="A20" s="1100"/>
      <c r="B20" s="1101"/>
      <c r="C20" s="1102"/>
      <c r="D20" s="1102"/>
      <c r="E20" s="1102"/>
      <c r="F20" s="1103"/>
      <c r="H20" s="129"/>
      <c r="I20" s="129"/>
      <c r="J20" s="129"/>
    </row>
    <row r="21" spans="1:10" ht="12.75" customHeight="1" x14ac:dyDescent="0.25">
      <c r="A21" s="82" t="s">
        <v>616</v>
      </c>
      <c r="B21" s="328"/>
      <c r="C21" s="329"/>
      <c r="D21" s="329"/>
      <c r="E21" s="330"/>
      <c r="F21" s="82"/>
      <c r="H21" s="129"/>
      <c r="I21" s="129"/>
      <c r="J21" s="129"/>
    </row>
    <row r="22" spans="1:10" ht="24.75" customHeight="1" x14ac:dyDescent="0.25">
      <c r="A22" s="1403" t="s">
        <v>858</v>
      </c>
      <c r="B22" s="1403"/>
      <c r="C22" s="1403"/>
      <c r="D22" s="1403"/>
      <c r="E22" s="1403"/>
      <c r="F22" s="1403"/>
    </row>
    <row r="23" spans="1:10" ht="12.75" customHeight="1" x14ac:dyDescent="0.25">
      <c r="A23" s="528" t="s">
        <v>857</v>
      </c>
      <c r="B23" s="81"/>
      <c r="C23" s="331"/>
      <c r="D23" s="331"/>
      <c r="E23" s="331"/>
      <c r="F23" s="83"/>
    </row>
    <row r="24" spans="1:10" ht="26.25" customHeight="1" x14ac:dyDescent="0.25">
      <c r="A24" s="1403" t="s">
        <v>1129</v>
      </c>
      <c r="B24" s="1403"/>
      <c r="C24" s="1403"/>
      <c r="D24" s="1403"/>
      <c r="E24" s="1403"/>
      <c r="F24" s="1403"/>
    </row>
    <row r="25" spans="1:10" ht="15" customHeight="1" x14ac:dyDescent="0.25">
      <c r="A25" s="295" t="s">
        <v>1107</v>
      </c>
      <c r="B25" s="294"/>
      <c r="C25" s="294"/>
      <c r="D25" s="294"/>
      <c r="E25" s="294"/>
      <c r="F25" s="294"/>
      <c r="H25" s="129"/>
      <c r="I25" s="129"/>
      <c r="J25" s="129"/>
    </row>
    <row r="26" spans="1:10" ht="27.75" customHeight="1" x14ac:dyDescent="0.25">
      <c r="A26" s="1403" t="s">
        <v>1131</v>
      </c>
      <c r="B26" s="1403"/>
      <c r="C26" s="1403"/>
      <c r="D26" s="1403"/>
      <c r="E26" s="1403"/>
      <c r="F26" s="1403"/>
      <c r="H26" s="129"/>
      <c r="I26" s="129"/>
      <c r="J26" s="129"/>
    </row>
    <row r="27" spans="1:10" ht="12.75" customHeight="1" x14ac:dyDescent="0.25">
      <c r="A27" s="295"/>
      <c r="B27" s="294"/>
      <c r="C27" s="294"/>
      <c r="D27" s="294"/>
      <c r="E27" s="294"/>
      <c r="F27" s="294"/>
      <c r="H27" s="129"/>
      <c r="I27" s="129"/>
      <c r="J27" s="129"/>
    </row>
    <row r="28" spans="1:10" ht="12.75" customHeight="1" x14ac:dyDescent="0.25">
      <c r="A28" s="295" t="s">
        <v>661</v>
      </c>
      <c r="B28" s="294"/>
      <c r="C28" s="294"/>
      <c r="D28" s="294"/>
      <c r="E28" s="294"/>
      <c r="F28" s="294"/>
      <c r="H28" s="129"/>
      <c r="I28" s="129"/>
      <c r="J28" s="129"/>
    </row>
    <row r="29" spans="1:10" x14ac:dyDescent="0.25">
      <c r="A29" s="331" t="s">
        <v>1130</v>
      </c>
      <c r="B29" s="332"/>
      <c r="C29" s="331"/>
      <c r="D29" s="331"/>
      <c r="E29" s="331"/>
      <c r="F29" s="83"/>
    </row>
    <row r="30" spans="1:10" x14ac:dyDescent="0.25">
      <c r="A30" s="331"/>
      <c r="B30" s="12"/>
      <c r="C30" s="12"/>
      <c r="D30" s="202"/>
      <c r="E30" s="12"/>
    </row>
  </sheetData>
  <protectedRanges>
    <protectedRange sqref="D21" name="Oblast1"/>
    <protectedRange sqref="C7:D8" name="Oblast1_2"/>
  </protectedRanges>
  <customSheetViews>
    <customSheetView guid="{2AF6EA2A-E5C5-45EB-B6C4-875AD1E4E056}" fitToPage="1">
      <pageMargins left="0.78740157480314965" right="0.78740157480314965" top="0.98425196850393704" bottom="0.98425196850393704" header="0.51181102362204722" footer="0.51181102362204722"/>
      <printOptions horizontalCentered="1"/>
      <pageSetup paperSize="9" orientation="landscape" cellComments="asDisplayed" horizontalDpi="300" verticalDpi="300" r:id="rId1"/>
      <headerFooter alignWithMargins="0"/>
    </customSheetView>
  </customSheetViews>
  <mergeCells count="5">
    <mergeCell ref="A26:F26"/>
    <mergeCell ref="A24:F24"/>
    <mergeCell ref="A22:F22"/>
    <mergeCell ref="A3:A4"/>
    <mergeCell ref="B3:B4"/>
  </mergeCells>
  <printOptions horizontalCentered="1"/>
  <pageMargins left="0.78740157480314965" right="0.78740157480314965" top="0.98425196850393704" bottom="0.98425196850393704" header="0.51181102362204722" footer="0.51181102362204722"/>
  <pageSetup paperSize="9" orientation="landscape" cellComments="asDisplayed" horizontalDpi="300" verticalDpi="300" r:id="rId2"/>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2">
    <pageSetUpPr fitToPage="1"/>
  </sheetPr>
  <dimension ref="A1:AP48"/>
  <sheetViews>
    <sheetView topLeftCell="A28" zoomScaleNormal="100" workbookViewId="0">
      <selection activeCell="I43" sqref="I43"/>
    </sheetView>
  </sheetViews>
  <sheetFormatPr defaultRowHeight="12.75" x14ac:dyDescent="0.25"/>
  <cols>
    <col min="1" max="1" width="3.85546875" style="16" customWidth="1"/>
    <col min="2" max="2" width="6.42578125" style="83" customWidth="1"/>
    <col min="3" max="3" width="9.28515625" style="83" customWidth="1"/>
    <col min="4" max="4" width="16.28515625" style="83" customWidth="1"/>
    <col min="5" max="5" width="9.7109375" style="83" customWidth="1"/>
    <col min="6" max="6" width="8.5703125" style="83" customWidth="1"/>
    <col min="7" max="7" width="8.7109375" style="83" customWidth="1"/>
    <col min="8" max="8" width="9.7109375" style="83" customWidth="1"/>
    <col min="9" max="10" width="10.42578125" style="16" customWidth="1"/>
    <col min="11" max="11" width="9.5703125" style="16" customWidth="1"/>
    <col min="12" max="12" width="8.85546875" style="16" customWidth="1"/>
    <col min="13" max="13" width="10" style="16" customWidth="1"/>
    <col min="14" max="14" width="8.85546875" style="16" customWidth="1"/>
    <col min="15" max="15" width="8.28515625" style="16" customWidth="1"/>
    <col min="16" max="16" width="9.5703125" style="16" customWidth="1"/>
    <col min="17" max="17" width="8.5703125" style="16" customWidth="1"/>
    <col min="18" max="18" width="9.140625" style="16" customWidth="1"/>
    <col min="19" max="19" width="8.42578125" style="16" customWidth="1"/>
    <col min="20" max="20" width="9.42578125" style="16" customWidth="1"/>
    <col min="21" max="21" width="8.42578125" style="16" customWidth="1"/>
    <col min="22" max="16384" width="9.140625" style="16"/>
  </cols>
  <sheetData>
    <row r="1" spans="1:42" s="411" customFormat="1" ht="15.75" x14ac:dyDescent="0.25">
      <c r="A1" s="74" t="s">
        <v>1080</v>
      </c>
      <c r="B1" s="81"/>
      <c r="C1" s="81"/>
      <c r="D1" s="81"/>
      <c r="E1" s="81"/>
      <c r="F1" s="81"/>
      <c r="G1" s="1137"/>
      <c r="H1" s="81"/>
      <c r="I1" s="73"/>
      <c r="J1" s="73"/>
      <c r="K1" s="73"/>
      <c r="L1" s="73"/>
      <c r="M1" s="73"/>
      <c r="N1" s="73"/>
      <c r="O1" s="73"/>
      <c r="P1" s="111"/>
      <c r="Q1" s="111"/>
      <c r="R1" s="111"/>
      <c r="S1" s="111"/>
      <c r="T1" s="111"/>
      <c r="U1" s="111"/>
      <c r="V1" s="111"/>
      <c r="W1" s="73"/>
      <c r="X1" s="73"/>
    </row>
    <row r="2" spans="1:42" s="1138" customFormat="1" ht="15" customHeight="1" x14ac:dyDescent="0.25"/>
    <row r="3" spans="1:42" s="1138" customFormat="1" ht="15" customHeight="1" x14ac:dyDescent="0.25">
      <c r="A3" s="150" t="s">
        <v>1581</v>
      </c>
    </row>
    <row r="4" spans="1:42" s="1138" customFormat="1" ht="15" customHeight="1" thickBot="1" x14ac:dyDescent="0.3">
      <c r="R4" s="73"/>
      <c r="Z4" s="1139" t="s">
        <v>488</v>
      </c>
    </row>
    <row r="5" spans="1:42" ht="28.5" customHeight="1" thickBot="1" x14ac:dyDescent="0.3">
      <c r="A5" s="1423" t="s">
        <v>460</v>
      </c>
      <c r="B5" s="1411" t="s">
        <v>497</v>
      </c>
      <c r="C5" s="1412"/>
      <c r="D5" s="1413"/>
      <c r="E5" s="1408" t="s">
        <v>613</v>
      </c>
      <c r="F5" s="1409"/>
      <c r="G5" s="1409"/>
      <c r="H5" s="1409"/>
      <c r="I5" s="1409"/>
      <c r="J5" s="1409"/>
      <c r="K5" s="1409"/>
      <c r="L5" s="1409"/>
      <c r="M5" s="1409"/>
      <c r="N5" s="1409"/>
      <c r="O5" s="1409"/>
      <c r="P5" s="1409"/>
      <c r="Q5" s="1409"/>
      <c r="R5" s="1409"/>
      <c r="S5" s="1409"/>
      <c r="T5" s="1409"/>
      <c r="U5" s="1409"/>
      <c r="V5" s="1409"/>
      <c r="W5" s="1409"/>
      <c r="X5" s="1409"/>
      <c r="Y5" s="1409"/>
      <c r="Z5" s="1410"/>
      <c r="AA5" s="1138"/>
      <c r="AB5" s="1138"/>
      <c r="AC5" s="1138"/>
      <c r="AD5" s="1138"/>
      <c r="AE5" s="1138"/>
      <c r="AF5" s="1138"/>
      <c r="AG5" s="1138"/>
      <c r="AH5" s="1138"/>
      <c r="AI5" s="1138"/>
      <c r="AJ5" s="1138"/>
      <c r="AK5" s="1138"/>
      <c r="AL5" s="30"/>
      <c r="AM5" s="12"/>
      <c r="AN5" s="12"/>
    </row>
    <row r="6" spans="1:42" ht="19.5" customHeight="1" x14ac:dyDescent="0.25">
      <c r="A6" s="1424"/>
      <c r="B6" s="1414"/>
      <c r="C6" s="1415"/>
      <c r="D6" s="1416"/>
      <c r="E6" s="1420" t="s">
        <v>602</v>
      </c>
      <c r="F6" s="1421"/>
      <c r="G6" s="1421"/>
      <c r="H6" s="1422"/>
      <c r="I6" s="1420" t="s">
        <v>606</v>
      </c>
      <c r="J6" s="1421"/>
      <c r="K6" s="1421"/>
      <c r="L6" s="1422"/>
      <c r="M6" s="1420" t="s">
        <v>598</v>
      </c>
      <c r="N6" s="1421"/>
      <c r="O6" s="1421"/>
      <c r="P6" s="1421"/>
      <c r="Q6" s="1421"/>
      <c r="R6" s="1422"/>
      <c r="S6" s="1432" t="s">
        <v>596</v>
      </c>
      <c r="T6" s="1433"/>
      <c r="U6" s="1432" t="s">
        <v>489</v>
      </c>
      <c r="V6" s="1433"/>
      <c r="W6" s="1432" t="s">
        <v>599</v>
      </c>
      <c r="X6" s="1433"/>
      <c r="Y6" s="1450" t="s">
        <v>595</v>
      </c>
      <c r="Z6" s="1451"/>
      <c r="AA6" s="1138"/>
      <c r="AB6" s="1138"/>
      <c r="AC6" s="1138"/>
      <c r="AD6" s="1138"/>
      <c r="AE6" s="1138"/>
      <c r="AF6" s="1138"/>
      <c r="AG6" s="1138"/>
      <c r="AH6" s="1138"/>
      <c r="AI6" s="1138"/>
      <c r="AJ6" s="1138"/>
      <c r="AK6" s="1138"/>
      <c r="AL6" s="1138"/>
      <c r="AM6" s="1138"/>
      <c r="AN6" s="30"/>
      <c r="AO6" s="12"/>
      <c r="AP6" s="12"/>
    </row>
    <row r="7" spans="1:42" ht="19.5" customHeight="1" x14ac:dyDescent="0.25">
      <c r="A7" s="1424"/>
      <c r="B7" s="1414"/>
      <c r="C7" s="1415"/>
      <c r="D7" s="1416"/>
      <c r="E7" s="1446" t="s">
        <v>597</v>
      </c>
      <c r="F7" s="1442"/>
      <c r="G7" s="1441" t="s">
        <v>605</v>
      </c>
      <c r="H7" s="1447"/>
      <c r="I7" s="1446" t="s">
        <v>1582</v>
      </c>
      <c r="J7" s="1442"/>
      <c r="K7" s="1441" t="s">
        <v>607</v>
      </c>
      <c r="L7" s="1447"/>
      <c r="M7" s="1446" t="s">
        <v>614</v>
      </c>
      <c r="N7" s="1442"/>
      <c r="O7" s="1441" t="s">
        <v>615</v>
      </c>
      <c r="P7" s="1442"/>
      <c r="Q7" s="1441" t="s">
        <v>609</v>
      </c>
      <c r="R7" s="1447"/>
      <c r="S7" s="1434"/>
      <c r="T7" s="1435"/>
      <c r="U7" s="1434"/>
      <c r="V7" s="1435"/>
      <c r="W7" s="1434"/>
      <c r="X7" s="1435"/>
      <c r="Y7" s="1452"/>
      <c r="Z7" s="1453"/>
      <c r="AA7" s="1138"/>
      <c r="AB7" s="1138"/>
      <c r="AC7" s="1138"/>
      <c r="AD7" s="1138"/>
      <c r="AE7" s="1138"/>
      <c r="AF7" s="1138"/>
      <c r="AG7" s="1138"/>
      <c r="AH7" s="1138"/>
      <c r="AI7" s="1138"/>
      <c r="AJ7" s="1138"/>
      <c r="AK7" s="1138"/>
      <c r="AL7" s="1138"/>
      <c r="AM7" s="30"/>
      <c r="AN7" s="12"/>
      <c r="AO7" s="12"/>
    </row>
    <row r="8" spans="1:42" s="28" customFormat="1" ht="18.75" customHeight="1" thickBot="1" x14ac:dyDescent="0.3">
      <c r="A8" s="1425"/>
      <c r="B8" s="1417"/>
      <c r="C8" s="1418"/>
      <c r="D8" s="1419"/>
      <c r="E8" s="1140" t="s">
        <v>496</v>
      </c>
      <c r="F8" s="1141" t="s">
        <v>751</v>
      </c>
      <c r="G8" s="1142" t="s">
        <v>496</v>
      </c>
      <c r="H8" s="1143" t="s">
        <v>751</v>
      </c>
      <c r="I8" s="1140" t="s">
        <v>496</v>
      </c>
      <c r="J8" s="1142" t="s">
        <v>751</v>
      </c>
      <c r="K8" s="1142" t="s">
        <v>496</v>
      </c>
      <c r="L8" s="1143" t="s">
        <v>751</v>
      </c>
      <c r="M8" s="1140" t="s">
        <v>496</v>
      </c>
      <c r="N8" s="1142" t="s">
        <v>751</v>
      </c>
      <c r="O8" s="1142" t="s">
        <v>496</v>
      </c>
      <c r="P8" s="1142" t="s">
        <v>751</v>
      </c>
      <c r="Q8" s="1142" t="s">
        <v>496</v>
      </c>
      <c r="R8" s="1143" t="s">
        <v>751</v>
      </c>
      <c r="S8" s="1140" t="s">
        <v>496</v>
      </c>
      <c r="T8" s="1143" t="s">
        <v>751</v>
      </c>
      <c r="U8" s="1140" t="s">
        <v>496</v>
      </c>
      <c r="V8" s="1143" t="s">
        <v>751</v>
      </c>
      <c r="W8" s="1140" t="s">
        <v>496</v>
      </c>
      <c r="X8" s="1143" t="s">
        <v>751</v>
      </c>
      <c r="Y8" s="1144" t="s">
        <v>1583</v>
      </c>
      <c r="Z8" s="1145" t="s">
        <v>751</v>
      </c>
      <c r="AA8" s="1146"/>
      <c r="AB8" s="1146"/>
      <c r="AC8" s="1146"/>
      <c r="AD8" s="1146"/>
      <c r="AE8" s="1146"/>
      <c r="AF8" s="1146"/>
      <c r="AG8" s="1146"/>
      <c r="AH8" s="1146"/>
      <c r="AI8" s="1146"/>
      <c r="AJ8" s="1146"/>
      <c r="AK8" s="1146"/>
      <c r="AL8" s="1146"/>
      <c r="AM8" s="156"/>
      <c r="AN8" s="27"/>
      <c r="AO8" s="27"/>
    </row>
    <row r="9" spans="1:42" ht="15" customHeight="1" x14ac:dyDescent="0.25">
      <c r="A9" s="1147">
        <v>1</v>
      </c>
      <c r="B9" s="1448" t="s">
        <v>608</v>
      </c>
      <c r="C9" s="1436" t="s">
        <v>594</v>
      </c>
      <c r="D9" s="1437"/>
      <c r="E9" s="1148">
        <v>152285</v>
      </c>
      <c r="F9" s="1149">
        <v>392</v>
      </c>
      <c r="G9" s="1150">
        <v>64765</v>
      </c>
      <c r="H9" s="1151">
        <v>16</v>
      </c>
      <c r="I9" s="1148">
        <v>18127</v>
      </c>
      <c r="J9" s="1150">
        <v>200</v>
      </c>
      <c r="K9" s="1150">
        <v>541</v>
      </c>
      <c r="L9" s="1151">
        <v>0</v>
      </c>
      <c r="M9" s="1148">
        <v>7944</v>
      </c>
      <c r="N9" s="1150">
        <v>1562</v>
      </c>
      <c r="O9" s="1150">
        <v>394</v>
      </c>
      <c r="P9" s="1150">
        <v>32</v>
      </c>
      <c r="Q9" s="1150">
        <v>0</v>
      </c>
      <c r="R9" s="1151">
        <v>0</v>
      </c>
      <c r="S9" s="1148">
        <v>0</v>
      </c>
      <c r="T9" s="1151">
        <v>0</v>
      </c>
      <c r="U9" s="1148">
        <v>3508</v>
      </c>
      <c r="V9" s="1151">
        <v>104</v>
      </c>
      <c r="W9" s="1152">
        <v>877</v>
      </c>
      <c r="X9" s="1153">
        <v>105</v>
      </c>
      <c r="Y9" s="1154">
        <f>E9+G9+I9+K9+M9+O9+Q9+S9+U9+W9</f>
        <v>248441</v>
      </c>
      <c r="Z9" s="1155">
        <f>F9+H9+J9+L9+N9+P9+R9+T9+V9+X9</f>
        <v>2411</v>
      </c>
      <c r="AA9" s="1138"/>
      <c r="AB9" s="1138"/>
      <c r="AC9" s="1138"/>
      <c r="AD9" s="1138"/>
      <c r="AE9" s="1156"/>
      <c r="AF9" s="1156"/>
      <c r="AG9" s="30"/>
      <c r="AH9" s="12"/>
      <c r="AI9" s="12"/>
    </row>
    <row r="10" spans="1:42" ht="15" customHeight="1" x14ac:dyDescent="0.25">
      <c r="A10" s="1147">
        <v>2</v>
      </c>
      <c r="B10" s="1449"/>
      <c r="C10" s="1456" t="s">
        <v>499</v>
      </c>
      <c r="D10" s="1457"/>
      <c r="E10" s="1157">
        <v>1953</v>
      </c>
      <c r="F10" s="1158">
        <v>26</v>
      </c>
      <c r="G10" s="76">
        <v>10525</v>
      </c>
      <c r="H10" s="1159">
        <v>0</v>
      </c>
      <c r="I10" s="1157">
        <v>6119</v>
      </c>
      <c r="J10" s="76">
        <v>0</v>
      </c>
      <c r="K10" s="76">
        <v>1588</v>
      </c>
      <c r="L10" s="1159">
        <v>0</v>
      </c>
      <c r="M10" s="1157">
        <v>9320</v>
      </c>
      <c r="N10" s="76">
        <v>85</v>
      </c>
      <c r="O10" s="76">
        <v>0</v>
      </c>
      <c r="P10" s="76">
        <v>8</v>
      </c>
      <c r="Q10" s="76">
        <v>0</v>
      </c>
      <c r="R10" s="1159">
        <v>0</v>
      </c>
      <c r="S10" s="1157">
        <v>0</v>
      </c>
      <c r="T10" s="1159">
        <v>0</v>
      </c>
      <c r="U10" s="1157">
        <v>516</v>
      </c>
      <c r="V10" s="1159">
        <v>0</v>
      </c>
      <c r="W10" s="1160">
        <v>93</v>
      </c>
      <c r="X10" s="1161">
        <v>257</v>
      </c>
      <c r="Y10" s="1162">
        <f t="shared" ref="Y10:Z13" si="0">E10+G10+I10+K10+M10+O10+Q10+S10+U10+W10</f>
        <v>30114</v>
      </c>
      <c r="Z10" s="1163">
        <f t="shared" si="0"/>
        <v>376</v>
      </c>
      <c r="AA10" s="1138"/>
      <c r="AB10" s="1138"/>
      <c r="AC10" s="1138"/>
      <c r="AD10" s="1138"/>
      <c r="AE10" s="1156"/>
      <c r="AF10" s="1156"/>
      <c r="AG10" s="30"/>
      <c r="AH10" s="12"/>
      <c r="AI10" s="12"/>
    </row>
    <row r="11" spans="1:42" ht="15" customHeight="1" x14ac:dyDescent="0.25">
      <c r="A11" s="1164">
        <v>3</v>
      </c>
      <c r="B11" s="1449"/>
      <c r="C11" s="1468" t="s">
        <v>464</v>
      </c>
      <c r="D11" s="1469"/>
      <c r="E11" s="1157">
        <v>101045</v>
      </c>
      <c r="F11" s="1158">
        <v>11485</v>
      </c>
      <c r="G11" s="76">
        <v>11947</v>
      </c>
      <c r="H11" s="1159">
        <v>830</v>
      </c>
      <c r="I11" s="1157">
        <v>1260</v>
      </c>
      <c r="J11" s="76">
        <v>3795</v>
      </c>
      <c r="K11" s="76">
        <v>231</v>
      </c>
      <c r="L11" s="1159">
        <v>254</v>
      </c>
      <c r="M11" s="1157">
        <v>4426</v>
      </c>
      <c r="N11" s="76">
        <v>5301</v>
      </c>
      <c r="O11" s="76">
        <v>1954</v>
      </c>
      <c r="P11" s="76">
        <v>311</v>
      </c>
      <c r="Q11" s="76">
        <v>0</v>
      </c>
      <c r="R11" s="1159">
        <v>0</v>
      </c>
      <c r="S11" s="1157">
        <v>0</v>
      </c>
      <c r="T11" s="1159">
        <v>0</v>
      </c>
      <c r="U11" s="1157">
        <v>681</v>
      </c>
      <c r="V11" s="1159">
        <v>1105</v>
      </c>
      <c r="W11" s="1157">
        <v>1216</v>
      </c>
      <c r="X11" s="1159">
        <v>372</v>
      </c>
      <c r="Y11" s="1162">
        <f t="shared" si="0"/>
        <v>122760</v>
      </c>
      <c r="Z11" s="1163">
        <f t="shared" si="0"/>
        <v>23453</v>
      </c>
      <c r="AA11" s="1138"/>
      <c r="AB11" s="1138"/>
      <c r="AC11" s="1138"/>
      <c r="AD11" s="1138"/>
      <c r="AE11" s="1156"/>
      <c r="AF11" s="1156"/>
      <c r="AG11" s="30"/>
      <c r="AH11" s="12"/>
      <c r="AI11" s="12"/>
    </row>
    <row r="12" spans="1:42" ht="15" customHeight="1" x14ac:dyDescent="0.25">
      <c r="A12" s="1164">
        <v>4</v>
      </c>
      <c r="B12" s="1458" t="s">
        <v>498</v>
      </c>
      <c r="C12" s="1459"/>
      <c r="D12" s="1460"/>
      <c r="E12" s="1157">
        <v>3269</v>
      </c>
      <c r="F12" s="1158">
        <v>79</v>
      </c>
      <c r="G12" s="76">
        <v>0</v>
      </c>
      <c r="H12" s="1159">
        <v>0</v>
      </c>
      <c r="I12" s="1157">
        <v>0</v>
      </c>
      <c r="J12" s="76">
        <v>0</v>
      </c>
      <c r="K12" s="76">
        <v>0</v>
      </c>
      <c r="L12" s="1159">
        <v>0</v>
      </c>
      <c r="M12" s="1157">
        <v>0</v>
      </c>
      <c r="N12" s="76">
        <v>0</v>
      </c>
      <c r="O12" s="76">
        <v>0</v>
      </c>
      <c r="P12" s="76">
        <v>0</v>
      </c>
      <c r="Q12" s="76">
        <v>0</v>
      </c>
      <c r="R12" s="1159">
        <v>0</v>
      </c>
      <c r="S12" s="1157">
        <v>0</v>
      </c>
      <c r="T12" s="1159">
        <v>0</v>
      </c>
      <c r="U12" s="1157">
        <v>1019</v>
      </c>
      <c r="V12" s="1159">
        <v>0</v>
      </c>
      <c r="W12" s="1157">
        <v>10773</v>
      </c>
      <c r="X12" s="1159">
        <v>428</v>
      </c>
      <c r="Y12" s="1162">
        <f t="shared" si="0"/>
        <v>15061</v>
      </c>
      <c r="Z12" s="1163">
        <f t="shared" si="0"/>
        <v>507</v>
      </c>
      <c r="AA12" s="1138"/>
      <c r="AB12" s="1138"/>
      <c r="AC12" s="1138"/>
      <c r="AD12" s="1138"/>
      <c r="AE12" s="1156"/>
      <c r="AF12" s="1156"/>
      <c r="AG12" s="30"/>
      <c r="AH12" s="12"/>
      <c r="AI12" s="12"/>
    </row>
    <row r="13" spans="1:42" ht="15" customHeight="1" thickBot="1" x14ac:dyDescent="0.3">
      <c r="A13" s="1165">
        <v>5</v>
      </c>
      <c r="B13" s="1463" t="s">
        <v>603</v>
      </c>
      <c r="C13" s="1464"/>
      <c r="D13" s="1465"/>
      <c r="E13" s="1166">
        <v>0</v>
      </c>
      <c r="F13" s="1167">
        <v>0</v>
      </c>
      <c r="G13" s="1168">
        <v>0</v>
      </c>
      <c r="H13" s="1169">
        <v>0</v>
      </c>
      <c r="I13" s="1166">
        <v>0</v>
      </c>
      <c r="J13" s="1168">
        <v>0</v>
      </c>
      <c r="K13" s="1168">
        <v>0</v>
      </c>
      <c r="L13" s="1169">
        <v>0</v>
      </c>
      <c r="M13" s="1166">
        <v>0</v>
      </c>
      <c r="N13" s="1168">
        <v>0</v>
      </c>
      <c r="O13" s="1168">
        <v>0</v>
      </c>
      <c r="P13" s="1168">
        <v>0</v>
      </c>
      <c r="Q13" s="1168">
        <v>0</v>
      </c>
      <c r="R13" s="1169">
        <v>0</v>
      </c>
      <c r="S13" s="1170">
        <v>0</v>
      </c>
      <c r="T13" s="1171">
        <v>0</v>
      </c>
      <c r="U13" s="1170">
        <v>0</v>
      </c>
      <c r="V13" s="1171">
        <v>0</v>
      </c>
      <c r="W13" s="1172">
        <v>0</v>
      </c>
      <c r="X13" s="1173">
        <v>0</v>
      </c>
      <c r="Y13" s="1174">
        <f t="shared" si="0"/>
        <v>0</v>
      </c>
      <c r="Z13" s="1175">
        <f t="shared" si="0"/>
        <v>0</v>
      </c>
      <c r="AA13" s="1138"/>
      <c r="AB13" s="1138"/>
      <c r="AC13" s="1138"/>
      <c r="AD13" s="1138"/>
      <c r="AE13" s="1156"/>
      <c r="AF13" s="1156"/>
      <c r="AG13" s="12"/>
    </row>
    <row r="14" spans="1:42" s="72" customFormat="1" ht="15" customHeight="1" thickBot="1" x14ac:dyDescent="0.3">
      <c r="A14" s="1176">
        <v>6</v>
      </c>
      <c r="B14" s="1443" t="s">
        <v>595</v>
      </c>
      <c r="C14" s="1444"/>
      <c r="D14" s="1445"/>
      <c r="E14" s="1177">
        <f>SUM(E9:E13)</f>
        <v>258552</v>
      </c>
      <c r="F14" s="1178">
        <f t="shared" ref="F14:Z14" si="1">SUM(F9:F13)</f>
        <v>11982</v>
      </c>
      <c r="G14" s="1178">
        <f t="shared" si="1"/>
        <v>87237</v>
      </c>
      <c r="H14" s="1179">
        <f t="shared" si="1"/>
        <v>846</v>
      </c>
      <c r="I14" s="1177">
        <f t="shared" si="1"/>
        <v>25506</v>
      </c>
      <c r="J14" s="1178">
        <f t="shared" si="1"/>
        <v>3995</v>
      </c>
      <c r="K14" s="1178">
        <f t="shared" si="1"/>
        <v>2360</v>
      </c>
      <c r="L14" s="1179">
        <f t="shared" si="1"/>
        <v>254</v>
      </c>
      <c r="M14" s="1177">
        <f t="shared" si="1"/>
        <v>21690</v>
      </c>
      <c r="N14" s="1178">
        <f t="shared" si="1"/>
        <v>6948</v>
      </c>
      <c r="O14" s="1178">
        <f t="shared" si="1"/>
        <v>2348</v>
      </c>
      <c r="P14" s="1178">
        <f t="shared" si="1"/>
        <v>351</v>
      </c>
      <c r="Q14" s="1178">
        <f t="shared" si="1"/>
        <v>0</v>
      </c>
      <c r="R14" s="1179">
        <f t="shared" si="1"/>
        <v>0</v>
      </c>
      <c r="S14" s="1177">
        <f t="shared" si="1"/>
        <v>0</v>
      </c>
      <c r="T14" s="1179">
        <f t="shared" si="1"/>
        <v>0</v>
      </c>
      <c r="U14" s="1177">
        <f t="shared" si="1"/>
        <v>5724</v>
      </c>
      <c r="V14" s="1179">
        <f t="shared" si="1"/>
        <v>1209</v>
      </c>
      <c r="W14" s="1177">
        <f t="shared" si="1"/>
        <v>12959</v>
      </c>
      <c r="X14" s="1179">
        <f t="shared" si="1"/>
        <v>1162</v>
      </c>
      <c r="Y14" s="1180">
        <f t="shared" si="1"/>
        <v>416376</v>
      </c>
      <c r="Z14" s="1181">
        <f t="shared" si="1"/>
        <v>26747</v>
      </c>
      <c r="AA14" s="1182"/>
      <c r="AB14" s="1182"/>
      <c r="AC14" s="1182"/>
      <c r="AD14" s="1182"/>
      <c r="AE14" s="1156"/>
      <c r="AF14" s="1156"/>
      <c r="AG14" s="1183"/>
    </row>
    <row r="15" spans="1:42" s="1138" customFormat="1" ht="15" customHeight="1" x14ac:dyDescent="0.25"/>
    <row r="16" spans="1:42" ht="14.25" customHeight="1" x14ac:dyDescent="0.25">
      <c r="A16" s="150" t="s">
        <v>1584</v>
      </c>
      <c r="B16" s="331"/>
      <c r="C16" s="331"/>
      <c r="D16" s="331"/>
      <c r="E16" s="331"/>
      <c r="F16" s="331"/>
      <c r="G16" s="331"/>
      <c r="H16" s="331"/>
      <c r="I16" s="331"/>
      <c r="J16" s="331"/>
      <c r="K16" s="331"/>
      <c r="L16" s="331"/>
      <c r="M16" s="331"/>
      <c r="N16" s="331"/>
      <c r="O16" s="331"/>
      <c r="P16" s="331"/>
      <c r="Q16" s="331"/>
      <c r="R16" s="331"/>
      <c r="S16" s="331"/>
      <c r="T16" s="331"/>
      <c r="U16" s="331"/>
      <c r="V16" s="12"/>
      <c r="W16" s="12"/>
      <c r="X16" s="12"/>
    </row>
    <row r="17" spans="1:33" ht="14.25" customHeight="1" thickBot="1" x14ac:dyDescent="0.3">
      <c r="A17" s="150"/>
      <c r="B17" s="331"/>
      <c r="C17" s="331"/>
      <c r="D17" s="331"/>
      <c r="E17" s="331"/>
      <c r="F17" s="331"/>
      <c r="G17" s="331"/>
      <c r="H17" s="331"/>
      <c r="I17" s="331"/>
      <c r="J17" s="331"/>
      <c r="K17" s="331"/>
      <c r="L17" s="331"/>
      <c r="M17" s="13" t="s">
        <v>488</v>
      </c>
      <c r="N17" s="1138"/>
      <c r="O17" s="1138"/>
      <c r="P17" s="331"/>
      <c r="Q17" s="331"/>
      <c r="R17" s="331"/>
      <c r="S17" s="331"/>
      <c r="T17" s="331"/>
      <c r="U17" s="331"/>
      <c r="V17" s="12"/>
      <c r="W17" s="12"/>
      <c r="X17" s="12"/>
    </row>
    <row r="18" spans="1:33" ht="28.5" customHeight="1" x14ac:dyDescent="0.25">
      <c r="A18" s="1429" t="s">
        <v>460</v>
      </c>
      <c r="B18" s="1426" t="s">
        <v>497</v>
      </c>
      <c r="C18" s="1426"/>
      <c r="D18" s="1426"/>
      <c r="E18" s="1438" t="s">
        <v>610</v>
      </c>
      <c r="F18" s="1439"/>
      <c r="G18" s="1440"/>
      <c r="H18" s="1420" t="s">
        <v>612</v>
      </c>
      <c r="I18" s="1421"/>
      <c r="J18" s="1422"/>
      <c r="K18" s="1439" t="s">
        <v>595</v>
      </c>
      <c r="L18" s="1439"/>
      <c r="M18" s="1440"/>
      <c r="N18" s="1138"/>
      <c r="O18" s="1138"/>
      <c r="P18" s="331"/>
      <c r="Q18" s="331"/>
      <c r="R18" s="331"/>
      <c r="S18" s="331"/>
      <c r="T18" s="331"/>
      <c r="U18" s="331"/>
      <c r="V18" s="12"/>
      <c r="W18" s="12"/>
      <c r="X18" s="12"/>
    </row>
    <row r="19" spans="1:33" ht="44.25" customHeight="1" x14ac:dyDescent="0.25">
      <c r="A19" s="1430"/>
      <c r="B19" s="1427"/>
      <c r="C19" s="1427"/>
      <c r="D19" s="1427"/>
      <c r="E19" s="1184" t="s">
        <v>1585</v>
      </c>
      <c r="F19" s="1185" t="s">
        <v>611</v>
      </c>
      <c r="G19" s="1186" t="s">
        <v>601</v>
      </c>
      <c r="H19" s="1184" t="s">
        <v>600</v>
      </c>
      <c r="I19" s="1185" t="s">
        <v>611</v>
      </c>
      <c r="J19" s="1186" t="s">
        <v>601</v>
      </c>
      <c r="K19" s="1187" t="s">
        <v>600</v>
      </c>
      <c r="L19" s="1188" t="s">
        <v>611</v>
      </c>
      <c r="M19" s="1186" t="s">
        <v>601</v>
      </c>
      <c r="N19" s="1138"/>
      <c r="O19" s="1138"/>
      <c r="P19" s="331"/>
      <c r="Q19" s="331"/>
      <c r="R19" s="331"/>
      <c r="S19" s="331"/>
      <c r="T19" s="331"/>
      <c r="U19" s="331"/>
      <c r="V19" s="12"/>
      <c r="W19" s="12"/>
      <c r="X19" s="12"/>
      <c r="AC19" s="1138"/>
      <c r="AD19" s="1138"/>
      <c r="AE19" s="1138"/>
      <c r="AF19" s="1138"/>
      <c r="AG19" s="1138"/>
    </row>
    <row r="20" spans="1:33" s="28" customFormat="1" ht="25.5" customHeight="1" thickBot="1" x14ac:dyDescent="0.3">
      <c r="A20" s="1431"/>
      <c r="B20" s="1428"/>
      <c r="C20" s="1428"/>
      <c r="D20" s="1428"/>
      <c r="E20" s="1140">
        <v>1</v>
      </c>
      <c r="F20" s="1142">
        <v>2</v>
      </c>
      <c r="G20" s="1143" t="s">
        <v>848</v>
      </c>
      <c r="H20" s="1140">
        <v>4</v>
      </c>
      <c r="I20" s="1142">
        <v>5</v>
      </c>
      <c r="J20" s="1143" t="s">
        <v>849</v>
      </c>
      <c r="K20" s="1141">
        <v>7</v>
      </c>
      <c r="L20" s="1189">
        <v>8</v>
      </c>
      <c r="M20" s="1143" t="s">
        <v>850</v>
      </c>
      <c r="N20" s="1146"/>
      <c r="O20" s="1138"/>
      <c r="P20" s="331"/>
      <c r="Q20" s="331"/>
      <c r="R20" s="331"/>
      <c r="S20" s="331"/>
      <c r="T20" s="331"/>
      <c r="U20" s="331"/>
      <c r="V20" s="12"/>
      <c r="W20" s="12"/>
      <c r="X20" s="12"/>
      <c r="Y20" s="16"/>
      <c r="Z20" s="16"/>
      <c r="AA20" s="16"/>
      <c r="AB20" s="16"/>
      <c r="AC20" s="1146"/>
      <c r="AD20" s="1146"/>
      <c r="AE20" s="1146"/>
      <c r="AF20" s="1146"/>
      <c r="AG20" s="1146"/>
    </row>
    <row r="21" spans="1:33" ht="13.5" customHeight="1" x14ac:dyDescent="0.25">
      <c r="A21" s="1135">
        <v>1</v>
      </c>
      <c r="B21" s="1461" t="s">
        <v>604</v>
      </c>
      <c r="C21" s="1454" t="s">
        <v>1586</v>
      </c>
      <c r="D21" s="1190" t="s">
        <v>589</v>
      </c>
      <c r="E21" s="1148">
        <v>52</v>
      </c>
      <c r="F21" s="1150">
        <v>39979</v>
      </c>
      <c r="G21" s="1191">
        <f>(F21/12)/E21</f>
        <v>64.068910256410263</v>
      </c>
      <c r="H21" s="1192">
        <v>8</v>
      </c>
      <c r="I21" s="1150">
        <f>L21-F21</f>
        <v>5659</v>
      </c>
      <c r="J21" s="1191">
        <f>(I21/12)/H21</f>
        <v>58.947916666666664</v>
      </c>
      <c r="K21" s="1193">
        <v>60</v>
      </c>
      <c r="L21" s="1150">
        <v>45638</v>
      </c>
      <c r="M21" s="1191">
        <f>(L21/12)/K21</f>
        <v>63.386111111111106</v>
      </c>
      <c r="N21" s="1138"/>
      <c r="O21" s="1138"/>
      <c r="P21" s="331"/>
      <c r="Q21" s="331"/>
      <c r="R21" s="331"/>
      <c r="S21" s="331"/>
      <c r="T21" s="331"/>
      <c r="U21" s="331"/>
      <c r="V21" s="12"/>
      <c r="W21" s="12"/>
      <c r="X21" s="12"/>
      <c r="AC21" s="1138"/>
      <c r="AD21" s="1138"/>
      <c r="AE21" s="1138"/>
      <c r="AF21" s="1138"/>
      <c r="AG21" s="1138"/>
    </row>
    <row r="22" spans="1:33" ht="14.25" customHeight="1" x14ac:dyDescent="0.25">
      <c r="A22" s="1194">
        <v>2</v>
      </c>
      <c r="B22" s="1462"/>
      <c r="C22" s="1454"/>
      <c r="D22" s="1195" t="s">
        <v>590</v>
      </c>
      <c r="E22" s="1157">
        <v>93</v>
      </c>
      <c r="F22" s="76">
        <v>50815</v>
      </c>
      <c r="G22" s="1191">
        <f t="shared" ref="G22:G24" si="2">(F22/12)/E22</f>
        <v>45.533154121863795</v>
      </c>
      <c r="H22" s="1196">
        <v>15</v>
      </c>
      <c r="I22" s="1150">
        <f t="shared" ref="I22:I29" si="3">L22-F22</f>
        <v>8407</v>
      </c>
      <c r="J22" s="1191">
        <f t="shared" ref="J22:J24" si="4">(I22/12)/H22</f>
        <v>46.705555555555556</v>
      </c>
      <c r="K22" s="1193">
        <v>108</v>
      </c>
      <c r="L22" s="1150">
        <v>59222</v>
      </c>
      <c r="M22" s="1191">
        <f t="shared" ref="M22:M24" si="5">(L22/12)/K22</f>
        <v>45.695987654320987</v>
      </c>
      <c r="N22" s="1138"/>
      <c r="O22" s="1138"/>
      <c r="P22" s="331"/>
      <c r="Q22" s="331"/>
      <c r="R22" s="331"/>
      <c r="S22" s="331"/>
      <c r="T22" s="331"/>
      <c r="U22" s="331"/>
      <c r="V22" s="12"/>
      <c r="W22" s="12"/>
      <c r="X22" s="12"/>
      <c r="AC22" s="1138"/>
      <c r="AD22" s="1138"/>
      <c r="AE22" s="1138"/>
      <c r="AF22" s="1138"/>
      <c r="AG22" s="1138"/>
    </row>
    <row r="23" spans="1:33" ht="15" customHeight="1" x14ac:dyDescent="0.25">
      <c r="A23" s="1194">
        <v>3</v>
      </c>
      <c r="B23" s="1462"/>
      <c r="C23" s="1454"/>
      <c r="D23" s="1195" t="s">
        <v>591</v>
      </c>
      <c r="E23" s="1197">
        <v>225</v>
      </c>
      <c r="F23" s="76">
        <v>90655</v>
      </c>
      <c r="G23" s="1191">
        <f t="shared" si="2"/>
        <v>33.575925925925922</v>
      </c>
      <c r="H23" s="1196">
        <v>26</v>
      </c>
      <c r="I23" s="1150">
        <f t="shared" si="3"/>
        <v>12056</v>
      </c>
      <c r="J23" s="1191">
        <f t="shared" si="4"/>
        <v>38.641025641025642</v>
      </c>
      <c r="K23" s="1193">
        <v>251</v>
      </c>
      <c r="L23" s="1150">
        <v>102711</v>
      </c>
      <c r="M23" s="1191">
        <f t="shared" si="5"/>
        <v>34.100597609561753</v>
      </c>
      <c r="N23" s="1138"/>
      <c r="O23" s="1138"/>
      <c r="P23" s="331"/>
      <c r="Q23" s="331"/>
      <c r="R23" s="331"/>
      <c r="S23" s="331"/>
      <c r="T23" s="331"/>
      <c r="U23" s="331"/>
      <c r="V23" s="12"/>
      <c r="W23" s="12"/>
      <c r="X23" s="12"/>
      <c r="AC23" s="1138"/>
      <c r="AD23" s="1138"/>
      <c r="AE23" s="1138"/>
      <c r="AF23" s="1138"/>
      <c r="AG23" s="1138"/>
    </row>
    <row r="24" spans="1:33" ht="15" customHeight="1" x14ac:dyDescent="0.25">
      <c r="A24" s="1194">
        <v>4</v>
      </c>
      <c r="B24" s="1462"/>
      <c r="C24" s="1454"/>
      <c r="D24" s="1195" t="s">
        <v>592</v>
      </c>
      <c r="E24" s="1197">
        <v>108</v>
      </c>
      <c r="F24" s="76">
        <v>35865</v>
      </c>
      <c r="G24" s="1191">
        <f t="shared" si="2"/>
        <v>27.673611111111111</v>
      </c>
      <c r="H24" s="1196">
        <v>13</v>
      </c>
      <c r="I24" s="1150">
        <f t="shared" si="3"/>
        <v>5005</v>
      </c>
      <c r="J24" s="1191">
        <f t="shared" si="4"/>
        <v>32.083333333333329</v>
      </c>
      <c r="K24" s="1193">
        <v>121</v>
      </c>
      <c r="L24" s="1150">
        <v>40870</v>
      </c>
      <c r="M24" s="1191">
        <f t="shared" si="5"/>
        <v>28.147382920110193</v>
      </c>
      <c r="N24" s="1138"/>
      <c r="O24" s="1138"/>
      <c r="P24" s="331"/>
      <c r="Q24" s="331"/>
      <c r="R24" s="331"/>
      <c r="S24" s="331"/>
      <c r="T24" s="331"/>
      <c r="U24" s="331"/>
      <c r="V24" s="12"/>
      <c r="W24" s="12"/>
      <c r="X24" s="12"/>
      <c r="AC24" s="1138"/>
      <c r="AD24" s="1138"/>
      <c r="AE24" s="1138"/>
      <c r="AF24" s="1138"/>
      <c r="AG24" s="1138"/>
    </row>
    <row r="25" spans="1:33" ht="15" customHeight="1" x14ac:dyDescent="0.25">
      <c r="A25" s="1194">
        <v>5</v>
      </c>
      <c r="B25" s="1462"/>
      <c r="C25" s="1454"/>
      <c r="D25" s="1195" t="s">
        <v>593</v>
      </c>
      <c r="E25" s="1197">
        <v>0</v>
      </c>
      <c r="F25" s="76">
        <v>0</v>
      </c>
      <c r="G25" s="1191">
        <v>0</v>
      </c>
      <c r="H25" s="1196">
        <v>0</v>
      </c>
      <c r="I25" s="1150">
        <f t="shared" si="3"/>
        <v>0</v>
      </c>
      <c r="J25" s="1191">
        <v>0</v>
      </c>
      <c r="K25" s="1193">
        <v>0</v>
      </c>
      <c r="L25" s="1150">
        <v>0</v>
      </c>
      <c r="M25" s="1191">
        <v>0</v>
      </c>
      <c r="N25" s="1138"/>
      <c r="O25" s="1138"/>
      <c r="P25" s="331"/>
      <c r="Q25" s="331"/>
      <c r="R25" s="331"/>
      <c r="S25" s="331"/>
      <c r="T25" s="331"/>
      <c r="U25" s="331"/>
      <c r="V25" s="12"/>
      <c r="W25" s="12"/>
      <c r="X25" s="12"/>
      <c r="AC25" s="1138"/>
      <c r="AD25" s="1138"/>
      <c r="AE25" s="1138"/>
      <c r="AF25" s="1138"/>
      <c r="AG25" s="1138"/>
    </row>
    <row r="26" spans="1:33" ht="15" customHeight="1" x14ac:dyDescent="0.25">
      <c r="A26" s="1194">
        <v>6</v>
      </c>
      <c r="B26" s="1462"/>
      <c r="C26" s="1455"/>
      <c r="D26" s="1195" t="s">
        <v>595</v>
      </c>
      <c r="E26" s="1157">
        <f>SUM(E21:E25)</f>
        <v>478</v>
      </c>
      <c r="F26" s="76">
        <f>SUM(F21:F25)</f>
        <v>217314</v>
      </c>
      <c r="G26" s="1191">
        <f t="shared" ref="G26:G29" si="6">(F26/12)/E26</f>
        <v>37.885983263598327</v>
      </c>
      <c r="H26" s="1196">
        <v>62</v>
      </c>
      <c r="I26" s="1150">
        <f t="shared" si="3"/>
        <v>31127</v>
      </c>
      <c r="J26" s="1191">
        <f t="shared" ref="J26:J29" si="7">(I26/12)/H26</f>
        <v>41.837365591397848</v>
      </c>
      <c r="K26" s="1193">
        <v>540</v>
      </c>
      <c r="L26" s="1150">
        <f>SUM(L21:L25)</f>
        <v>248441</v>
      </c>
      <c r="M26" s="1191">
        <f t="shared" ref="M26:M29" si="8">(L26/12)/K26</f>
        <v>38.339660493827161</v>
      </c>
      <c r="N26" s="1138"/>
      <c r="O26" s="1138"/>
      <c r="P26" s="331"/>
      <c r="Q26" s="331"/>
      <c r="R26" s="331"/>
      <c r="S26" s="331"/>
      <c r="T26" s="331"/>
      <c r="U26" s="331"/>
      <c r="V26" s="12"/>
      <c r="W26" s="12"/>
      <c r="X26" s="12"/>
      <c r="AC26" s="1138"/>
      <c r="AD26" s="1138"/>
      <c r="AE26" s="1138"/>
      <c r="AF26" s="1138"/>
      <c r="AG26" s="1138"/>
    </row>
    <row r="27" spans="1:33" ht="15" customHeight="1" x14ac:dyDescent="0.25">
      <c r="A27" s="1194">
        <v>7</v>
      </c>
      <c r="B27" s="1462"/>
      <c r="C27" s="1466" t="s">
        <v>1587</v>
      </c>
      <c r="D27" s="1467"/>
      <c r="E27" s="1197">
        <v>27</v>
      </c>
      <c r="F27" s="76">
        <v>12750</v>
      </c>
      <c r="G27" s="1191">
        <f t="shared" si="6"/>
        <v>39.351851851851855</v>
      </c>
      <c r="H27" s="1196">
        <v>35</v>
      </c>
      <c r="I27" s="1150">
        <f t="shared" si="3"/>
        <v>17364</v>
      </c>
      <c r="J27" s="1191">
        <f t="shared" si="7"/>
        <v>41.342857142857142</v>
      </c>
      <c r="K27" s="1193">
        <v>62</v>
      </c>
      <c r="L27" s="1150">
        <v>30114</v>
      </c>
      <c r="M27" s="1191">
        <f t="shared" si="8"/>
        <v>40.475806451612904</v>
      </c>
      <c r="N27" s="1138"/>
      <c r="O27" s="1138"/>
      <c r="P27" s="331"/>
      <c r="Q27" s="331"/>
      <c r="R27" s="331"/>
      <c r="S27" s="331"/>
      <c r="T27" s="331"/>
      <c r="U27" s="331"/>
      <c r="V27" s="12"/>
      <c r="W27" s="12"/>
      <c r="X27" s="12"/>
      <c r="AC27" s="1138"/>
      <c r="AD27" s="1138"/>
      <c r="AE27" s="1138"/>
      <c r="AF27" s="1138"/>
      <c r="AG27" s="1138"/>
    </row>
    <row r="28" spans="1:33" ht="15" customHeight="1" x14ac:dyDescent="0.25">
      <c r="A28" s="1194">
        <v>8</v>
      </c>
      <c r="B28" s="1448"/>
      <c r="C28" s="1456" t="s">
        <v>1588</v>
      </c>
      <c r="D28" s="1457"/>
      <c r="E28" s="1197">
        <v>388</v>
      </c>
      <c r="F28" s="76">
        <v>112456</v>
      </c>
      <c r="G28" s="1191">
        <f t="shared" si="6"/>
        <v>24.152920962199314</v>
      </c>
      <c r="H28" s="1196">
        <v>25</v>
      </c>
      <c r="I28" s="1150">
        <f t="shared" si="3"/>
        <v>10304</v>
      </c>
      <c r="J28" s="1191">
        <f t="shared" si="7"/>
        <v>34.346666666666664</v>
      </c>
      <c r="K28" s="1193">
        <v>413</v>
      </c>
      <c r="L28" s="1150">
        <v>122760</v>
      </c>
      <c r="M28" s="1191">
        <f t="shared" si="8"/>
        <v>24.769975786924938</v>
      </c>
      <c r="N28" s="1138"/>
      <c r="O28" s="1138"/>
      <c r="P28" s="331"/>
      <c r="Q28" s="331"/>
      <c r="R28" s="331"/>
      <c r="S28" s="331"/>
      <c r="T28" s="331"/>
      <c r="U28" s="331"/>
      <c r="V28" s="12"/>
      <c r="W28" s="12"/>
      <c r="X28" s="12"/>
      <c r="AC28" s="1138"/>
      <c r="AD28" s="1138"/>
      <c r="AE28" s="1138"/>
      <c r="AF28" s="1138"/>
      <c r="AG28" s="1138"/>
    </row>
    <row r="29" spans="1:33" ht="15" customHeight="1" x14ac:dyDescent="0.25">
      <c r="A29" s="1194">
        <v>9</v>
      </c>
      <c r="B29" s="1470" t="s">
        <v>498</v>
      </c>
      <c r="C29" s="1470"/>
      <c r="D29" s="1470"/>
      <c r="E29" s="1197">
        <v>20</v>
      </c>
      <c r="F29" s="76">
        <v>3269</v>
      </c>
      <c r="G29" s="1191">
        <f t="shared" si="6"/>
        <v>13.620833333333334</v>
      </c>
      <c r="H29" s="1196">
        <v>52</v>
      </c>
      <c r="I29" s="1150">
        <f t="shared" si="3"/>
        <v>11792</v>
      </c>
      <c r="J29" s="1191">
        <f t="shared" si="7"/>
        <v>18.897435897435898</v>
      </c>
      <c r="K29" s="1193">
        <f t="shared" ref="K29:K30" si="9">E29+H29</f>
        <v>72</v>
      </c>
      <c r="L29" s="1150">
        <v>15061</v>
      </c>
      <c r="M29" s="1191">
        <f t="shared" si="8"/>
        <v>17.431712962962962</v>
      </c>
      <c r="N29" s="1138"/>
      <c r="O29" s="1138"/>
      <c r="P29" s="331"/>
      <c r="Q29" s="331"/>
      <c r="R29" s="331"/>
      <c r="S29" s="331"/>
      <c r="T29" s="331"/>
      <c r="U29" s="331"/>
      <c r="V29" s="12"/>
      <c r="W29" s="12"/>
      <c r="X29" s="12"/>
      <c r="AC29" s="1138"/>
      <c r="AD29" s="1138"/>
      <c r="AE29" s="1138"/>
      <c r="AF29" s="1138"/>
      <c r="AG29" s="1138"/>
    </row>
    <row r="30" spans="1:33" ht="15" customHeight="1" thickBot="1" x14ac:dyDescent="0.3">
      <c r="A30" s="1198">
        <v>10</v>
      </c>
      <c r="B30" s="1471" t="s">
        <v>603</v>
      </c>
      <c r="C30" s="1471"/>
      <c r="D30" s="1471"/>
      <c r="E30" s="1199">
        <v>0</v>
      </c>
      <c r="F30" s="1168">
        <v>0</v>
      </c>
      <c r="G30" s="1191">
        <v>0</v>
      </c>
      <c r="H30" s="1200">
        <v>0</v>
      </c>
      <c r="I30" s="1168">
        <v>0</v>
      </c>
      <c r="J30" s="1201">
        <v>0</v>
      </c>
      <c r="K30" s="1202">
        <f t="shared" si="9"/>
        <v>0</v>
      </c>
      <c r="L30" s="1203">
        <f t="shared" ref="L30" si="10">F30+I30</f>
        <v>0</v>
      </c>
      <c r="M30" s="1201">
        <v>0</v>
      </c>
      <c r="N30" s="1138"/>
      <c r="O30" s="1138"/>
      <c r="P30" s="331"/>
      <c r="Q30" s="331"/>
      <c r="R30" s="331"/>
      <c r="S30" s="331"/>
      <c r="T30" s="331"/>
      <c r="U30" s="331"/>
      <c r="V30" s="12"/>
      <c r="W30" s="12"/>
      <c r="X30" s="12"/>
      <c r="AC30" s="1138"/>
      <c r="AD30" s="1138"/>
      <c r="AE30" s="1138"/>
      <c r="AF30" s="1138"/>
      <c r="AG30" s="1138"/>
    </row>
    <row r="31" spans="1:33" s="72" customFormat="1" ht="15" customHeight="1" thickBot="1" x14ac:dyDescent="0.3">
      <c r="A31" s="1204">
        <v>11</v>
      </c>
      <c r="B31" s="1443" t="s">
        <v>595</v>
      </c>
      <c r="C31" s="1444"/>
      <c r="D31" s="1445"/>
      <c r="E31" s="1205">
        <f>SUM(E26:E30)</f>
        <v>913</v>
      </c>
      <c r="F31" s="1206">
        <f>SUM(F26:F30)</f>
        <v>345789</v>
      </c>
      <c r="G31" s="1207">
        <f t="shared" ref="G31" si="11">(F31/12)/E31</f>
        <v>31.561610076670316</v>
      </c>
      <c r="H31" s="1205">
        <f>SUM(H26:H30)</f>
        <v>174</v>
      </c>
      <c r="I31" s="1206">
        <f>SUM(I26:I30)</f>
        <v>70587</v>
      </c>
      <c r="J31" s="1207">
        <f t="shared" ref="J31" si="12">(I31/12)/H31</f>
        <v>33.806034482758619</v>
      </c>
      <c r="K31" s="1208">
        <v>1087</v>
      </c>
      <c r="L31" s="1206">
        <f>SUM(L26:L30)</f>
        <v>416376</v>
      </c>
      <c r="M31" s="1207">
        <f t="shared" ref="M31" si="13">(L31/12)/K31</f>
        <v>31.920883164673413</v>
      </c>
      <c r="N31" s="1138"/>
      <c r="O31" s="1138"/>
      <c r="P31" s="331"/>
      <c r="Q31" s="331"/>
      <c r="R31" s="331"/>
      <c r="S31" s="331"/>
      <c r="T31" s="331"/>
      <c r="U31" s="331"/>
      <c r="V31" s="12"/>
      <c r="W31" s="12"/>
      <c r="X31" s="12"/>
      <c r="Y31" s="16"/>
      <c r="Z31" s="16"/>
      <c r="AA31" s="16"/>
      <c r="AB31" s="16"/>
      <c r="AC31" s="1182"/>
      <c r="AD31" s="1182"/>
      <c r="AE31" s="1182"/>
      <c r="AF31" s="1182"/>
      <c r="AG31" s="1182"/>
    </row>
    <row r="32" spans="1:33" s="1138" customFormat="1" ht="15" customHeight="1" x14ac:dyDescent="0.25">
      <c r="P32" s="331"/>
      <c r="Q32" s="331"/>
      <c r="R32" s="331"/>
      <c r="S32" s="331"/>
      <c r="T32" s="331"/>
      <c r="U32" s="331"/>
      <c r="V32" s="12"/>
      <c r="W32" s="12"/>
      <c r="X32" s="12"/>
      <c r="Y32" s="16"/>
      <c r="Z32" s="16"/>
      <c r="AA32" s="16"/>
      <c r="AB32" s="16"/>
    </row>
    <row r="33" spans="1:24" s="757" customFormat="1" ht="12.75" customHeight="1" x14ac:dyDescent="0.25">
      <c r="A33" s="757" t="s">
        <v>616</v>
      </c>
    </row>
    <row r="34" spans="1:24" s="757" customFormat="1" ht="42" customHeight="1" x14ac:dyDescent="0.25">
      <c r="A34" s="1362" t="s">
        <v>1589</v>
      </c>
      <c r="B34" s="1363"/>
      <c r="C34" s="1363"/>
      <c r="D34" s="1363"/>
      <c r="E34" s="1363"/>
      <c r="F34" s="1363"/>
      <c r="G34" s="1363"/>
      <c r="H34" s="1363"/>
      <c r="I34" s="1363"/>
      <c r="J34" s="1363"/>
      <c r="K34" s="1363"/>
      <c r="L34" s="1363"/>
      <c r="M34" s="1363"/>
    </row>
    <row r="35" spans="1:24" s="757" customFormat="1" ht="15.75" customHeight="1" x14ac:dyDescent="0.25">
      <c r="A35" s="1362" t="s">
        <v>1590</v>
      </c>
      <c r="B35" s="1363"/>
      <c r="C35" s="1363"/>
      <c r="D35" s="1363"/>
      <c r="E35" s="1363"/>
      <c r="F35" s="1363"/>
      <c r="G35" s="1363"/>
      <c r="H35" s="1363"/>
      <c r="I35" s="1363"/>
      <c r="J35" s="1363"/>
      <c r="K35" s="1363"/>
      <c r="L35" s="1363"/>
      <c r="M35" s="1363"/>
    </row>
    <row r="36" spans="1:24" s="757" customFormat="1" ht="43.5" customHeight="1" x14ac:dyDescent="0.25">
      <c r="A36" s="1362" t="s">
        <v>1591</v>
      </c>
      <c r="B36" s="1363"/>
      <c r="C36" s="1363"/>
      <c r="D36" s="1363"/>
      <c r="E36" s="1363"/>
      <c r="F36" s="1363"/>
      <c r="G36" s="1363"/>
      <c r="H36" s="1363"/>
      <c r="I36" s="1363"/>
      <c r="J36" s="1363"/>
      <c r="K36" s="1363"/>
      <c r="L36" s="1363"/>
      <c r="M36" s="1363"/>
    </row>
    <row r="37" spans="1:24" s="757" customFormat="1" ht="105.75" customHeight="1" x14ac:dyDescent="0.25">
      <c r="A37" s="1362" t="s">
        <v>1592</v>
      </c>
      <c r="B37" s="1363"/>
      <c r="C37" s="1363"/>
      <c r="D37" s="1363"/>
      <c r="E37" s="1363"/>
      <c r="F37" s="1363"/>
      <c r="G37" s="1363"/>
      <c r="H37" s="1363"/>
      <c r="I37" s="1363"/>
      <c r="J37" s="1363"/>
      <c r="K37" s="1363"/>
      <c r="L37" s="1363"/>
      <c r="M37" s="1363"/>
    </row>
    <row r="38" spans="1:24" s="757" customFormat="1" ht="15.75" customHeight="1" x14ac:dyDescent="0.25">
      <c r="A38" s="1362" t="s">
        <v>1593</v>
      </c>
      <c r="B38" s="1363"/>
      <c r="C38" s="1363"/>
      <c r="D38" s="1363"/>
      <c r="E38" s="1363"/>
      <c r="F38" s="1363"/>
      <c r="G38" s="1363"/>
      <c r="H38" s="1363"/>
      <c r="I38" s="1363"/>
      <c r="J38" s="1363"/>
      <c r="K38" s="1363"/>
      <c r="L38" s="1363"/>
      <c r="M38" s="1363"/>
    </row>
    <row r="39" spans="1:24" s="757" customFormat="1" ht="29.25" customHeight="1" x14ac:dyDescent="0.25">
      <c r="A39" s="1362" t="s">
        <v>1594</v>
      </c>
      <c r="B39" s="1363"/>
      <c r="C39" s="1363"/>
      <c r="D39" s="1363"/>
      <c r="E39" s="1363"/>
      <c r="F39" s="1363"/>
      <c r="G39" s="1363"/>
      <c r="H39" s="1363"/>
      <c r="I39" s="1363"/>
      <c r="J39" s="1363"/>
      <c r="K39" s="1363"/>
      <c r="L39" s="1363"/>
      <c r="M39" s="1363"/>
    </row>
    <row r="40" spans="1:24" s="757" customFormat="1" ht="12.75" customHeight="1" x14ac:dyDescent="0.25">
      <c r="A40" s="1362" t="s">
        <v>1595</v>
      </c>
      <c r="B40" s="1363"/>
      <c r="C40" s="1363"/>
      <c r="D40" s="1363"/>
      <c r="E40" s="1363"/>
      <c r="F40" s="1363"/>
      <c r="G40" s="1363"/>
      <c r="H40" s="1363"/>
      <c r="I40" s="1363"/>
      <c r="J40" s="1363"/>
      <c r="K40" s="1363"/>
      <c r="L40" s="1363"/>
      <c r="M40" s="1363"/>
    </row>
    <row r="41" spans="1:24" s="757" customFormat="1" ht="13.5" customHeight="1" x14ac:dyDescent="0.25"/>
    <row r="42" spans="1:24" s="1138" customFormat="1" ht="15" customHeight="1" x14ac:dyDescent="0.25"/>
    <row r="43" spans="1:24" s="1138" customFormat="1" ht="15" x14ac:dyDescent="0.25"/>
    <row r="44" spans="1:24" x14ac:dyDescent="0.25">
      <c r="A44" s="79"/>
      <c r="B44" s="1209"/>
      <c r="C44" s="1209"/>
      <c r="D44" s="1209"/>
      <c r="E44" s="1209"/>
      <c r="F44" s="1209"/>
      <c r="G44" s="1209"/>
      <c r="H44" s="1209"/>
      <c r="I44" s="1210"/>
      <c r="J44" s="1210"/>
      <c r="K44" s="1210"/>
      <c r="L44" s="1210"/>
      <c r="M44" s="1210"/>
      <c r="N44" s="1210"/>
      <c r="O44" s="1210"/>
      <c r="P44" s="79"/>
      <c r="Q44" s="12"/>
      <c r="R44" s="12"/>
      <c r="S44" s="12"/>
      <c r="T44" s="12"/>
      <c r="U44" s="12"/>
      <c r="V44" s="12"/>
      <c r="W44" s="12"/>
      <c r="X44" s="12"/>
    </row>
    <row r="45" spans="1:24" x14ac:dyDescent="0.25">
      <c r="A45" s="1188"/>
      <c r="B45" s="1211"/>
      <c r="C45" s="1211"/>
      <c r="D45" s="1211"/>
      <c r="E45" s="1211"/>
      <c r="F45" s="1211"/>
      <c r="G45" s="1211"/>
      <c r="H45" s="1211"/>
      <c r="I45" s="1188"/>
      <c r="J45" s="1188"/>
      <c r="K45" s="1188"/>
      <c r="L45" s="1188"/>
      <c r="M45" s="1188"/>
      <c r="N45" s="1188"/>
      <c r="O45" s="1188"/>
      <c r="P45" s="1188"/>
    </row>
    <row r="46" spans="1:24" x14ac:dyDescent="0.25">
      <c r="A46" s="1188"/>
      <c r="B46" s="1211"/>
      <c r="C46" s="1211"/>
      <c r="D46" s="1211"/>
      <c r="E46" s="1211"/>
      <c r="F46" s="1211"/>
      <c r="G46" s="1211"/>
      <c r="H46" s="1211"/>
      <c r="I46" s="1188"/>
      <c r="J46" s="1188"/>
      <c r="K46" s="1188"/>
      <c r="L46" s="1188"/>
      <c r="M46" s="1188"/>
      <c r="N46" s="1188"/>
      <c r="O46" s="1188"/>
      <c r="P46" s="1188"/>
    </row>
    <row r="47" spans="1:24" x14ac:dyDescent="0.25">
      <c r="A47" s="1188"/>
      <c r="B47" s="1211"/>
      <c r="C47" s="1211"/>
      <c r="D47" s="1211"/>
      <c r="E47" s="1211"/>
      <c r="F47" s="1211"/>
      <c r="G47" s="1211"/>
      <c r="H47" s="1211"/>
      <c r="I47" s="1188"/>
      <c r="J47" s="1188"/>
      <c r="K47" s="1188"/>
      <c r="L47" s="1188"/>
      <c r="M47" s="1188"/>
      <c r="N47" s="1188"/>
      <c r="O47" s="1188"/>
      <c r="P47" s="1188"/>
    </row>
    <row r="48" spans="1:24" x14ac:dyDescent="0.25">
      <c r="A48" s="1188"/>
      <c r="B48" s="1211"/>
      <c r="C48" s="1211"/>
      <c r="D48" s="1211"/>
      <c r="E48" s="1211"/>
      <c r="F48" s="1211"/>
      <c r="G48" s="1211"/>
      <c r="H48" s="1211"/>
      <c r="I48" s="1188"/>
      <c r="J48" s="1188"/>
      <c r="K48" s="1188"/>
      <c r="L48" s="1188"/>
      <c r="M48" s="1188"/>
      <c r="N48" s="1188"/>
      <c r="O48" s="1188"/>
      <c r="P48" s="1188"/>
    </row>
  </sheetData>
  <customSheetViews>
    <customSheetView guid="{2AF6EA2A-E5C5-45EB-B6C4-875AD1E4E056}" fitToPage="1">
      <pageMargins left="0.23622047244094491" right="0.27559055118110237" top="0.98425196850393704" bottom="0.98425196850393704" header="0.51181102362204722" footer="0.51181102362204722"/>
      <printOptions horizontalCentered="1"/>
      <pageSetup paperSize="9" scale="59" orientation="landscape" cellComments="asDisplayed" r:id="rId1"/>
      <headerFooter alignWithMargins="0"/>
    </customSheetView>
  </customSheetViews>
  <mergeCells count="43">
    <mergeCell ref="A40:M40"/>
    <mergeCell ref="C11:D11"/>
    <mergeCell ref="B31:D31"/>
    <mergeCell ref="B29:D29"/>
    <mergeCell ref="B30:D30"/>
    <mergeCell ref="A37:M37"/>
    <mergeCell ref="A35:M35"/>
    <mergeCell ref="A38:M38"/>
    <mergeCell ref="A39:M39"/>
    <mergeCell ref="A34:M34"/>
    <mergeCell ref="A36:M36"/>
    <mergeCell ref="Y6:Z7"/>
    <mergeCell ref="C21:C26"/>
    <mergeCell ref="C10:D10"/>
    <mergeCell ref="G7:H7"/>
    <mergeCell ref="B12:D12"/>
    <mergeCell ref="W6:X7"/>
    <mergeCell ref="M6:R6"/>
    <mergeCell ref="S6:T7"/>
    <mergeCell ref="B21:B28"/>
    <mergeCell ref="M7:N7"/>
    <mergeCell ref="B13:D13"/>
    <mergeCell ref="Q7:R7"/>
    <mergeCell ref="E7:F7"/>
    <mergeCell ref="C28:D28"/>
    <mergeCell ref="C27:D27"/>
    <mergeCell ref="H18:J18"/>
    <mergeCell ref="E5:Z5"/>
    <mergeCell ref="B5:D8"/>
    <mergeCell ref="I6:L6"/>
    <mergeCell ref="A5:A8"/>
    <mergeCell ref="B18:D20"/>
    <mergeCell ref="A18:A20"/>
    <mergeCell ref="U6:V7"/>
    <mergeCell ref="C9:D9"/>
    <mergeCell ref="E6:H6"/>
    <mergeCell ref="E18:G18"/>
    <mergeCell ref="O7:P7"/>
    <mergeCell ref="B14:D14"/>
    <mergeCell ref="I7:J7"/>
    <mergeCell ref="K18:M18"/>
    <mergeCell ref="K7:L7"/>
    <mergeCell ref="B9:B11"/>
  </mergeCells>
  <printOptions horizontalCentered="1"/>
  <pageMargins left="0.23622047244094491" right="0.27559055118110237" top="0.98425196850393704" bottom="0.98425196850393704" header="0.51181102362204722" footer="0.51181102362204722"/>
  <pageSetup paperSize="9" scale="59" orientation="landscape" cellComments="asDisplayed" r:id="rId2"/>
  <headerFooter alignWithMargins="0"/>
  <ignoredErrors>
    <ignoredError sqref="E14:Z14" unlockedFormula="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3">
    <pageSetUpPr fitToPage="1"/>
  </sheetPr>
  <dimension ref="A1:M49"/>
  <sheetViews>
    <sheetView zoomScaleNormal="100" workbookViewId="0">
      <selection activeCell="J38" sqref="J38"/>
    </sheetView>
  </sheetViews>
  <sheetFormatPr defaultRowHeight="12.75" x14ac:dyDescent="0.25"/>
  <cols>
    <col min="1" max="1" width="3.42578125" style="16" customWidth="1"/>
    <col min="2" max="2" width="9" style="16" customWidth="1"/>
    <col min="3" max="3" width="48" style="16" customWidth="1"/>
    <col min="4" max="4" width="12" style="16" customWidth="1"/>
    <col min="5" max="6" width="9.140625" style="16"/>
    <col min="7" max="8" width="10.140625" style="16" customWidth="1"/>
    <col min="9" max="9" width="12" style="16" customWidth="1"/>
    <col min="10" max="10" width="12.28515625" style="16" bestFit="1" customWidth="1"/>
    <col min="11" max="16384" width="9.140625" style="16"/>
  </cols>
  <sheetData>
    <row r="1" spans="1:13" ht="15.75" x14ac:dyDescent="0.25">
      <c r="A1" s="74" t="s">
        <v>1090</v>
      </c>
      <c r="B1" s="73"/>
      <c r="C1" s="73"/>
      <c r="D1" s="12"/>
      <c r="E1" s="12"/>
      <c r="F1" s="12"/>
      <c r="G1" s="156"/>
      <c r="H1" s="156"/>
      <c r="I1" s="12"/>
      <c r="J1" s="12"/>
    </row>
    <row r="2" spans="1:13" s="28" customFormat="1" ht="13.5" thickBot="1" x14ac:dyDescent="0.3">
      <c r="A2" s="27"/>
      <c r="B2" s="27"/>
      <c r="C2" s="27"/>
      <c r="D2" s="27"/>
      <c r="E2" s="27"/>
      <c r="F2" s="27"/>
      <c r="H2" s="27"/>
      <c r="J2" s="27"/>
      <c r="L2" s="13" t="s">
        <v>488</v>
      </c>
    </row>
    <row r="3" spans="1:13" s="28" customFormat="1" ht="17.25" customHeight="1" x14ac:dyDescent="0.25">
      <c r="A3" s="1486" t="s">
        <v>460</v>
      </c>
      <c r="B3" s="1489" t="s">
        <v>671</v>
      </c>
      <c r="C3" s="1490"/>
      <c r="D3" s="1476" t="s">
        <v>680</v>
      </c>
      <c r="E3" s="1477"/>
      <c r="F3" s="1477"/>
      <c r="G3" s="1477"/>
      <c r="H3" s="1477"/>
      <c r="I3" s="1477"/>
      <c r="J3" s="1061"/>
      <c r="K3" s="1478" t="s">
        <v>657</v>
      </c>
      <c r="L3" s="1479"/>
    </row>
    <row r="4" spans="1:13" s="28" customFormat="1" ht="15" customHeight="1" x14ac:dyDescent="0.25">
      <c r="A4" s="1487"/>
      <c r="B4" s="1491"/>
      <c r="C4" s="1492"/>
      <c r="D4" s="1454" t="s">
        <v>655</v>
      </c>
      <c r="E4" s="1454" t="s">
        <v>656</v>
      </c>
      <c r="F4" s="1495" t="s">
        <v>677</v>
      </c>
      <c r="G4" s="1495" t="s">
        <v>1404</v>
      </c>
      <c r="H4" s="1495" t="s">
        <v>1405</v>
      </c>
      <c r="I4" s="1499" t="s">
        <v>1406</v>
      </c>
      <c r="J4" s="1480" t="s">
        <v>595</v>
      </c>
      <c r="K4" s="1482" t="s">
        <v>658</v>
      </c>
      <c r="L4" s="1484" t="s">
        <v>659</v>
      </c>
    </row>
    <row r="5" spans="1:13" ht="14.25" customHeight="1" x14ac:dyDescent="0.25">
      <c r="A5" s="1487"/>
      <c r="B5" s="1491"/>
      <c r="C5" s="1492"/>
      <c r="D5" s="1455"/>
      <c r="E5" s="1455"/>
      <c r="F5" s="1496"/>
      <c r="G5" s="1496"/>
      <c r="H5" s="1496"/>
      <c r="I5" s="1500"/>
      <c r="J5" s="1481"/>
      <c r="K5" s="1483"/>
      <c r="L5" s="1485"/>
    </row>
    <row r="6" spans="1:13" s="322" customFormat="1" ht="10.5" customHeight="1" thickBot="1" x14ac:dyDescent="0.3">
      <c r="A6" s="1488"/>
      <c r="B6" s="1493"/>
      <c r="C6" s="1494"/>
      <c r="D6" s="319" t="s">
        <v>539</v>
      </c>
      <c r="E6" s="319" t="s">
        <v>540</v>
      </c>
      <c r="F6" s="319" t="s">
        <v>541</v>
      </c>
      <c r="G6" s="319" t="s">
        <v>542</v>
      </c>
      <c r="H6" s="319" t="s">
        <v>543</v>
      </c>
      <c r="I6" s="320" t="s">
        <v>544</v>
      </c>
      <c r="J6" s="321" t="s">
        <v>1410</v>
      </c>
      <c r="K6" s="323" t="s">
        <v>546</v>
      </c>
      <c r="L6" s="543" t="s">
        <v>547</v>
      </c>
    </row>
    <row r="7" spans="1:13" x14ac:dyDescent="0.25">
      <c r="A7" s="300">
        <v>1</v>
      </c>
      <c r="B7" s="699" t="s">
        <v>651</v>
      </c>
      <c r="C7" s="700"/>
      <c r="D7" s="546">
        <f>SUM(D8+D9+D10+D11+D12+D13+D15+D19+D25+D26)</f>
        <v>64550</v>
      </c>
      <c r="E7" s="546">
        <f t="shared" ref="E7:I7" si="0">SUM(E8+E9+E10+E11+E12+E13+E15+E19+E25+E26)</f>
        <v>16744</v>
      </c>
      <c r="F7" s="546">
        <f t="shared" si="0"/>
        <v>490</v>
      </c>
      <c r="G7" s="546">
        <f t="shared" si="0"/>
        <v>106</v>
      </c>
      <c r="H7" s="546">
        <f t="shared" si="0"/>
        <v>4981</v>
      </c>
      <c r="I7" s="546">
        <f t="shared" si="0"/>
        <v>135</v>
      </c>
      <c r="J7" s="548">
        <f>D7+E7+F7+G7+H7+I7</f>
        <v>87006</v>
      </c>
      <c r="K7" s="547">
        <f>SUM(K8+K9+K10+K11+K12+K13+K15+K19+K25+K26)</f>
        <v>87006</v>
      </c>
      <c r="L7" s="549">
        <f>SUM(L8+L9+L11+L12+L13+L15+L19+L25+L26)</f>
        <v>0</v>
      </c>
    </row>
    <row r="8" spans="1:13" ht="12.75" customHeight="1" x14ac:dyDescent="0.25">
      <c r="A8" s="301">
        <v>2</v>
      </c>
      <c r="B8" s="1472" t="s">
        <v>549</v>
      </c>
      <c r="C8" s="1473"/>
      <c r="D8" s="550">
        <v>0</v>
      </c>
      <c r="E8" s="551">
        <v>9090</v>
      </c>
      <c r="F8" s="551">
        <v>0</v>
      </c>
      <c r="G8" s="551">
        <v>0</v>
      </c>
      <c r="H8" s="551">
        <v>0</v>
      </c>
      <c r="I8" s="551">
        <v>0</v>
      </c>
      <c r="J8" s="552">
        <f t="shared" ref="J8:J17" si="1">SUM(D8:I8)</f>
        <v>9090</v>
      </c>
      <c r="K8" s="551">
        <v>9090</v>
      </c>
      <c r="L8" s="553">
        <v>0</v>
      </c>
      <c r="M8" s="29"/>
    </row>
    <row r="9" spans="1:13" ht="24" customHeight="1" x14ac:dyDescent="0.25">
      <c r="A9" s="301">
        <v>3</v>
      </c>
      <c r="B9" s="1472" t="s">
        <v>550</v>
      </c>
      <c r="C9" s="1473"/>
      <c r="D9" s="550">
        <v>0</v>
      </c>
      <c r="E9" s="551">
        <v>1493</v>
      </c>
      <c r="F9" s="551">
        <v>420</v>
      </c>
      <c r="G9" s="551">
        <v>0</v>
      </c>
      <c r="H9" s="551">
        <v>0</v>
      </c>
      <c r="I9" s="551">
        <v>60</v>
      </c>
      <c r="J9" s="552">
        <f t="shared" si="1"/>
        <v>1973</v>
      </c>
      <c r="K9" s="551">
        <v>1973</v>
      </c>
      <c r="L9" s="553">
        <v>0</v>
      </c>
    </row>
    <row r="10" spans="1:13" ht="24" customHeight="1" x14ac:dyDescent="0.25">
      <c r="A10" s="301">
        <v>4</v>
      </c>
      <c r="B10" s="1472" t="s">
        <v>652</v>
      </c>
      <c r="C10" s="1473"/>
      <c r="D10" s="550">
        <v>11420</v>
      </c>
      <c r="E10" s="551">
        <v>0</v>
      </c>
      <c r="F10" s="551">
        <v>0</v>
      </c>
      <c r="G10" s="551">
        <v>106</v>
      </c>
      <c r="H10" s="551">
        <v>0</v>
      </c>
      <c r="I10" s="551">
        <v>0</v>
      </c>
      <c r="J10" s="552">
        <f t="shared" si="1"/>
        <v>11526</v>
      </c>
      <c r="K10" s="551">
        <v>11526</v>
      </c>
      <c r="L10" s="553">
        <v>0</v>
      </c>
    </row>
    <row r="11" spans="1:13" ht="12.75" customHeight="1" x14ac:dyDescent="0.25">
      <c r="A11" s="301">
        <v>5</v>
      </c>
      <c r="B11" s="1472" t="s">
        <v>654</v>
      </c>
      <c r="C11" s="1473"/>
      <c r="D11" s="550"/>
      <c r="E11" s="551">
        <v>88</v>
      </c>
      <c r="F11" s="551">
        <v>0</v>
      </c>
      <c r="G11" s="551">
        <v>0</v>
      </c>
      <c r="H11" s="551">
        <v>0</v>
      </c>
      <c r="I11" s="551">
        <v>0</v>
      </c>
      <c r="J11" s="552">
        <f t="shared" si="1"/>
        <v>88</v>
      </c>
      <c r="K11" s="551">
        <v>88</v>
      </c>
      <c r="L11" s="553">
        <v>0</v>
      </c>
    </row>
    <row r="12" spans="1:13" ht="12.75" customHeight="1" x14ac:dyDescent="0.25">
      <c r="A12" s="301">
        <v>6</v>
      </c>
      <c r="B12" s="1472" t="s">
        <v>551</v>
      </c>
      <c r="C12" s="1473"/>
      <c r="D12" s="550">
        <v>1372</v>
      </c>
      <c r="E12" s="551">
        <v>58</v>
      </c>
      <c r="F12" s="551">
        <v>0</v>
      </c>
      <c r="G12" s="551">
        <v>0</v>
      </c>
      <c r="H12" s="551">
        <v>0</v>
      </c>
      <c r="I12" s="551">
        <v>0</v>
      </c>
      <c r="J12" s="552">
        <f t="shared" si="1"/>
        <v>1430</v>
      </c>
      <c r="K12" s="551">
        <v>1430</v>
      </c>
      <c r="L12" s="553">
        <v>0</v>
      </c>
    </row>
    <row r="13" spans="1:13" ht="12.75" customHeight="1" x14ac:dyDescent="0.25">
      <c r="A13" s="302">
        <v>7</v>
      </c>
      <c r="B13" s="1474" t="s">
        <v>653</v>
      </c>
      <c r="C13" s="1475"/>
      <c r="D13" s="554">
        <v>24268</v>
      </c>
      <c r="E13" s="555">
        <v>4934</v>
      </c>
      <c r="F13" s="555">
        <v>70</v>
      </c>
      <c r="G13" s="555"/>
      <c r="H13" s="555">
        <v>35</v>
      </c>
      <c r="I13" s="555">
        <v>75</v>
      </c>
      <c r="J13" s="556">
        <f t="shared" si="1"/>
        <v>29382</v>
      </c>
      <c r="K13" s="555">
        <v>29382</v>
      </c>
      <c r="L13" s="557">
        <v>0</v>
      </c>
    </row>
    <row r="14" spans="1:13" x14ac:dyDescent="0.25">
      <c r="A14" s="160">
        <v>8</v>
      </c>
      <c r="B14" s="701" t="s">
        <v>490</v>
      </c>
      <c r="C14" s="702" t="s">
        <v>552</v>
      </c>
      <c r="D14" s="558">
        <v>24216</v>
      </c>
      <c r="E14" s="559">
        <v>0</v>
      </c>
      <c r="F14" s="559">
        <v>0</v>
      </c>
      <c r="G14" s="559">
        <v>0</v>
      </c>
      <c r="H14" s="559">
        <v>0</v>
      </c>
      <c r="I14" s="559">
        <v>0</v>
      </c>
      <c r="J14" s="560">
        <f t="shared" si="1"/>
        <v>24216</v>
      </c>
      <c r="K14" s="559">
        <v>24216</v>
      </c>
      <c r="L14" s="561">
        <v>0</v>
      </c>
    </row>
    <row r="15" spans="1:13" ht="12.75" customHeight="1" x14ac:dyDescent="0.25">
      <c r="A15" s="303">
        <v>9</v>
      </c>
      <c r="B15" s="1497" t="s">
        <v>553</v>
      </c>
      <c r="C15" s="1498"/>
      <c r="D15" s="562">
        <f>SUM(D16:D18)</f>
        <v>5412</v>
      </c>
      <c r="E15" s="562">
        <f t="shared" ref="E15:I15" si="2">SUM(E16:E18)</f>
        <v>468</v>
      </c>
      <c r="F15" s="562">
        <f t="shared" si="2"/>
        <v>0</v>
      </c>
      <c r="G15" s="562">
        <f t="shared" si="2"/>
        <v>0</v>
      </c>
      <c r="H15" s="562">
        <f t="shared" si="2"/>
        <v>3785</v>
      </c>
      <c r="I15" s="562">
        <f t="shared" si="2"/>
        <v>0</v>
      </c>
      <c r="J15" s="564">
        <f t="shared" si="1"/>
        <v>9665</v>
      </c>
      <c r="K15" s="563">
        <v>9665</v>
      </c>
      <c r="L15" s="565">
        <v>0</v>
      </c>
    </row>
    <row r="16" spans="1:13" x14ac:dyDescent="0.25">
      <c r="A16" s="299">
        <v>10</v>
      </c>
      <c r="B16" s="703" t="s">
        <v>490</v>
      </c>
      <c r="C16" s="704" t="s">
        <v>1381</v>
      </c>
      <c r="D16" s="566">
        <v>5345</v>
      </c>
      <c r="E16" s="567">
        <v>0</v>
      </c>
      <c r="F16" s="567">
        <v>0</v>
      </c>
      <c r="G16" s="567">
        <v>0</v>
      </c>
      <c r="H16" s="567">
        <v>3785</v>
      </c>
      <c r="I16" s="567">
        <v>0</v>
      </c>
      <c r="J16" s="568">
        <f t="shared" si="1"/>
        <v>9130</v>
      </c>
      <c r="K16" s="567">
        <v>9130</v>
      </c>
      <c r="L16" s="569">
        <v>0</v>
      </c>
    </row>
    <row r="17" spans="1:12" x14ac:dyDescent="0.25">
      <c r="A17" s="299">
        <v>11</v>
      </c>
      <c r="B17" s="705"/>
      <c r="C17" s="704" t="s">
        <v>554</v>
      </c>
      <c r="D17" s="566">
        <v>67</v>
      </c>
      <c r="E17" s="567">
        <v>0</v>
      </c>
      <c r="F17" s="567">
        <v>0</v>
      </c>
      <c r="G17" s="567">
        <v>0</v>
      </c>
      <c r="H17" s="567">
        <v>0</v>
      </c>
      <c r="I17" s="567">
        <v>0</v>
      </c>
      <c r="J17" s="568">
        <f t="shared" si="1"/>
        <v>67</v>
      </c>
      <c r="K17" s="567">
        <v>67</v>
      </c>
      <c r="L17" s="569">
        <v>0</v>
      </c>
    </row>
    <row r="18" spans="1:12" x14ac:dyDescent="0.25">
      <c r="A18" s="160">
        <v>12</v>
      </c>
      <c r="B18" s="706"/>
      <c r="C18" s="707" t="s">
        <v>1407</v>
      </c>
      <c r="D18" s="558"/>
      <c r="E18" s="559">
        <v>468</v>
      </c>
      <c r="F18" s="559">
        <v>0</v>
      </c>
      <c r="G18" s="559">
        <v>0</v>
      </c>
      <c r="H18" s="559">
        <v>0</v>
      </c>
      <c r="I18" s="559">
        <v>0</v>
      </c>
      <c r="J18" s="560">
        <f t="shared" ref="J18:J22" si="3">SUM(D18:I18)</f>
        <v>468</v>
      </c>
      <c r="K18" s="559">
        <v>468</v>
      </c>
      <c r="L18" s="561">
        <v>0</v>
      </c>
    </row>
    <row r="19" spans="1:12" ht="12.75" customHeight="1" x14ac:dyDescent="0.25">
      <c r="A19" s="303">
        <v>13</v>
      </c>
      <c r="B19" s="1497" t="s">
        <v>555</v>
      </c>
      <c r="C19" s="1498"/>
      <c r="D19" s="562">
        <f>SUM(D20:D24)</f>
        <v>1759</v>
      </c>
      <c r="E19" s="562">
        <f t="shared" ref="E19:I19" si="4">SUM(E20:E24)</f>
        <v>613</v>
      </c>
      <c r="F19" s="562">
        <f t="shared" si="4"/>
        <v>0</v>
      </c>
      <c r="G19" s="562">
        <f t="shared" si="4"/>
        <v>0</v>
      </c>
      <c r="H19" s="562">
        <f t="shared" si="4"/>
        <v>1161</v>
      </c>
      <c r="I19" s="562">
        <f t="shared" si="4"/>
        <v>0</v>
      </c>
      <c r="J19" s="556">
        <f t="shared" si="3"/>
        <v>3533</v>
      </c>
      <c r="K19" s="563">
        <v>3533</v>
      </c>
      <c r="L19" s="565">
        <v>0</v>
      </c>
    </row>
    <row r="20" spans="1:12" x14ac:dyDescent="0.25">
      <c r="A20" s="299">
        <v>14</v>
      </c>
      <c r="B20" s="703" t="s">
        <v>490</v>
      </c>
      <c r="C20" s="704" t="s">
        <v>1408</v>
      </c>
      <c r="D20" s="566">
        <v>0</v>
      </c>
      <c r="E20" s="567">
        <v>0</v>
      </c>
      <c r="F20" s="567">
        <v>0</v>
      </c>
      <c r="G20" s="567">
        <v>0</v>
      </c>
      <c r="H20" s="567">
        <v>1161</v>
      </c>
      <c r="I20" s="567">
        <v>0</v>
      </c>
      <c r="J20" s="568">
        <f t="shared" si="3"/>
        <v>1161</v>
      </c>
      <c r="K20" s="567">
        <v>1161</v>
      </c>
      <c r="L20" s="569">
        <v>0</v>
      </c>
    </row>
    <row r="21" spans="1:12" x14ac:dyDescent="0.25">
      <c r="A21" s="299"/>
      <c r="B21" s="705"/>
      <c r="C21" s="704" t="s">
        <v>556</v>
      </c>
      <c r="D21" s="566">
        <v>0</v>
      </c>
      <c r="E21" s="567">
        <v>0</v>
      </c>
      <c r="F21" s="567">
        <v>0</v>
      </c>
      <c r="G21" s="567">
        <v>0</v>
      </c>
      <c r="H21" s="567">
        <v>0</v>
      </c>
      <c r="I21" s="567">
        <v>0</v>
      </c>
      <c r="J21" s="568">
        <f t="shared" si="3"/>
        <v>0</v>
      </c>
      <c r="K21" s="567">
        <v>0</v>
      </c>
      <c r="L21" s="569">
        <v>0</v>
      </c>
    </row>
    <row r="22" spans="1:12" x14ac:dyDescent="0.25">
      <c r="A22" s="299"/>
      <c r="B22" s="705"/>
      <c r="C22" s="704" t="s">
        <v>554</v>
      </c>
      <c r="D22" s="566">
        <v>205</v>
      </c>
      <c r="E22" s="567">
        <v>0</v>
      </c>
      <c r="F22" s="567">
        <v>0</v>
      </c>
      <c r="G22" s="567">
        <v>0</v>
      </c>
      <c r="H22" s="567">
        <v>0</v>
      </c>
      <c r="I22" s="567">
        <v>0</v>
      </c>
      <c r="J22" s="568">
        <f t="shared" si="3"/>
        <v>205</v>
      </c>
      <c r="K22" s="567">
        <v>205</v>
      </c>
      <c r="L22" s="569">
        <v>0</v>
      </c>
    </row>
    <row r="23" spans="1:12" ht="12.75" customHeight="1" x14ac:dyDescent="0.25">
      <c r="A23" s="299">
        <v>15</v>
      </c>
      <c r="B23" s="705"/>
      <c r="C23" s="704" t="s">
        <v>1409</v>
      </c>
      <c r="D23" s="566">
        <v>1554</v>
      </c>
      <c r="E23" s="567">
        <v>0</v>
      </c>
      <c r="F23" s="567">
        <v>0</v>
      </c>
      <c r="G23" s="567">
        <v>0</v>
      </c>
      <c r="H23" s="567">
        <v>0</v>
      </c>
      <c r="I23" s="567">
        <v>0</v>
      </c>
      <c r="J23" s="568">
        <f>SUM(D23:I23)</f>
        <v>1554</v>
      </c>
      <c r="K23" s="567">
        <v>1554</v>
      </c>
      <c r="L23" s="569">
        <v>0</v>
      </c>
    </row>
    <row r="24" spans="1:12" ht="12.75" customHeight="1" x14ac:dyDescent="0.25">
      <c r="A24" s="160">
        <v>16</v>
      </c>
      <c r="B24" s="706"/>
      <c r="C24" s="1128" t="s">
        <v>1407</v>
      </c>
      <c r="D24" s="558">
        <v>0</v>
      </c>
      <c r="E24" s="559">
        <v>613</v>
      </c>
      <c r="F24" s="559">
        <v>0</v>
      </c>
      <c r="G24" s="559">
        <v>0</v>
      </c>
      <c r="H24" s="559">
        <v>0</v>
      </c>
      <c r="I24" s="559">
        <v>0</v>
      </c>
      <c r="J24" s="560">
        <f>SUM(D24:I24)</f>
        <v>613</v>
      </c>
      <c r="K24" s="559">
        <v>613</v>
      </c>
      <c r="L24" s="561">
        <v>0</v>
      </c>
    </row>
    <row r="25" spans="1:12" x14ac:dyDescent="0.25">
      <c r="A25" s="301">
        <v>17</v>
      </c>
      <c r="B25" s="1472" t="s">
        <v>557</v>
      </c>
      <c r="C25" s="1473"/>
      <c r="D25" s="550">
        <v>20319</v>
      </c>
      <c r="E25" s="551">
        <v>0</v>
      </c>
      <c r="F25" s="551">
        <v>0</v>
      </c>
      <c r="G25" s="551">
        <v>0</v>
      </c>
      <c r="H25" s="551">
        <v>0</v>
      </c>
      <c r="I25" s="551">
        <v>0</v>
      </c>
      <c r="J25" s="552">
        <f>SUM(D25:I25)</f>
        <v>20319</v>
      </c>
      <c r="K25" s="551">
        <v>20319</v>
      </c>
      <c r="L25" s="553">
        <v>0</v>
      </c>
    </row>
    <row r="26" spans="1:12" x14ac:dyDescent="0.25">
      <c r="A26" s="302">
        <v>18</v>
      </c>
      <c r="B26" s="1474" t="s">
        <v>660</v>
      </c>
      <c r="C26" s="1475"/>
      <c r="D26" s="554">
        <v>0</v>
      </c>
      <c r="E26" s="555">
        <v>0</v>
      </c>
      <c r="F26" s="555">
        <v>0</v>
      </c>
      <c r="G26" s="555">
        <v>0</v>
      </c>
      <c r="H26" s="555">
        <v>0</v>
      </c>
      <c r="I26" s="555">
        <v>0</v>
      </c>
      <c r="J26" s="564">
        <f>SUM(J27:J27)</f>
        <v>0</v>
      </c>
      <c r="K26" s="555">
        <v>0</v>
      </c>
      <c r="L26" s="557">
        <v>0</v>
      </c>
    </row>
    <row r="27" spans="1:12" ht="13.5" thickBot="1" x14ac:dyDescent="0.3">
      <c r="A27" s="1060">
        <v>19</v>
      </c>
      <c r="B27" s="708" t="s">
        <v>490</v>
      </c>
      <c r="C27" s="709" t="s">
        <v>650</v>
      </c>
      <c r="D27" s="570">
        <v>0</v>
      </c>
      <c r="E27" s="571">
        <v>0</v>
      </c>
      <c r="F27" s="571">
        <v>0</v>
      </c>
      <c r="G27" s="571">
        <v>0</v>
      </c>
      <c r="H27" s="571">
        <v>0</v>
      </c>
      <c r="I27" s="571">
        <v>0</v>
      </c>
      <c r="J27" s="572">
        <f>SUM(D27:I27)</f>
        <v>0</v>
      </c>
      <c r="K27" s="571">
        <v>0</v>
      </c>
      <c r="L27" s="573">
        <v>0</v>
      </c>
    </row>
    <row r="28" spans="1:12" x14ac:dyDescent="0.25">
      <c r="A28" s="12"/>
      <c r="B28" s="12"/>
      <c r="C28" s="12"/>
      <c r="D28" s="12"/>
      <c r="E28" s="12"/>
      <c r="F28" s="12"/>
      <c r="G28" s="12"/>
      <c r="H28" s="12"/>
      <c r="I28" s="12"/>
      <c r="J28" s="12"/>
    </row>
    <row r="29" spans="1:12" x14ac:dyDescent="0.25">
      <c r="A29" s="12" t="s">
        <v>649</v>
      </c>
      <c r="B29" s="12"/>
      <c r="C29" s="12"/>
      <c r="D29" s="12"/>
      <c r="E29" s="12"/>
      <c r="F29" s="12"/>
      <c r="G29" s="12"/>
      <c r="H29" s="12"/>
      <c r="I29" s="12"/>
      <c r="J29" s="12"/>
    </row>
    <row r="30" spans="1:12" x14ac:dyDescent="0.25">
      <c r="A30" s="17" t="s">
        <v>1110</v>
      </c>
      <c r="B30" s="25"/>
      <c r="C30" s="25"/>
      <c r="D30" s="12"/>
      <c r="E30" s="12"/>
      <c r="F30" s="12"/>
      <c r="G30" s="12"/>
      <c r="H30" s="12"/>
      <c r="I30" s="12"/>
      <c r="J30" s="12"/>
    </row>
    <row r="31" spans="1:12" x14ac:dyDescent="0.25">
      <c r="A31" s="17" t="s">
        <v>1111</v>
      </c>
      <c r="B31" s="25"/>
      <c r="C31" s="25"/>
      <c r="D31" s="12"/>
      <c r="E31" s="12"/>
      <c r="F31" s="12"/>
      <c r="G31" s="12"/>
      <c r="H31" s="12"/>
      <c r="I31" s="12"/>
      <c r="J31" s="12"/>
    </row>
    <row r="32" spans="1:12" ht="15" customHeight="1" x14ac:dyDescent="0.25">
      <c r="A32" s="1403"/>
      <c r="B32" s="1403"/>
      <c r="C32" s="1403"/>
      <c r="D32" s="1403"/>
      <c r="E32" s="1403"/>
      <c r="F32" s="1403"/>
      <c r="G32" s="1403"/>
      <c r="H32" s="1403"/>
      <c r="I32" s="1403"/>
      <c r="J32" s="311"/>
    </row>
    <row r="33" spans="1:10" ht="15" x14ac:dyDescent="0.25">
      <c r="A33" s="12"/>
      <c r="B33"/>
      <c r="C33"/>
      <c r="D33"/>
      <c r="E33" s="12"/>
      <c r="F33" s="12"/>
      <c r="G33" s="12"/>
      <c r="H33" s="12"/>
      <c r="I33" s="12"/>
      <c r="J33" s="12"/>
    </row>
    <row r="34" spans="1:10" ht="15.75" customHeight="1" x14ac:dyDescent="0.25">
      <c r="A34" s="12"/>
      <c r="B34"/>
      <c r="C34"/>
      <c r="D34"/>
      <c r="E34" s="12"/>
      <c r="F34" s="12"/>
      <c r="G34" s="12"/>
      <c r="H34" s="12"/>
      <c r="I34" s="12"/>
      <c r="J34" s="12"/>
    </row>
    <row r="35" spans="1:10" ht="15" x14ac:dyDescent="0.25">
      <c r="B35"/>
      <c r="C35"/>
      <c r="D35"/>
    </row>
    <row r="36" spans="1:10" ht="15" x14ac:dyDescent="0.25">
      <c r="B36"/>
      <c r="C36"/>
      <c r="D36"/>
    </row>
    <row r="37" spans="1:10" ht="15" x14ac:dyDescent="0.25">
      <c r="B37"/>
      <c r="C37"/>
      <c r="D37"/>
    </row>
    <row r="38" spans="1:10" ht="15" x14ac:dyDescent="0.25">
      <c r="B38"/>
      <c r="C38"/>
      <c r="D38"/>
    </row>
    <row r="39" spans="1:10" ht="15" x14ac:dyDescent="0.25">
      <c r="B39"/>
      <c r="C39"/>
      <c r="D39"/>
    </row>
    <row r="40" spans="1:10" ht="15" x14ac:dyDescent="0.25">
      <c r="B40"/>
      <c r="C40"/>
      <c r="D40"/>
    </row>
    <row r="41" spans="1:10" ht="15" x14ac:dyDescent="0.25">
      <c r="B41"/>
      <c r="C41"/>
      <c r="D41"/>
    </row>
    <row r="42" spans="1:10" ht="15" x14ac:dyDescent="0.25">
      <c r="B42"/>
      <c r="C42"/>
      <c r="D42"/>
    </row>
    <row r="43" spans="1:10" ht="15" x14ac:dyDescent="0.25">
      <c r="B43"/>
      <c r="C43"/>
      <c r="D43"/>
    </row>
    <row r="44" spans="1:10" ht="15" x14ac:dyDescent="0.25">
      <c r="B44"/>
      <c r="C44"/>
      <c r="D44"/>
    </row>
    <row r="45" spans="1:10" ht="15" x14ac:dyDescent="0.25">
      <c r="B45"/>
      <c r="C45"/>
      <c r="D45"/>
    </row>
    <row r="46" spans="1:10" ht="15" x14ac:dyDescent="0.25">
      <c r="B46"/>
      <c r="C46"/>
      <c r="D46"/>
    </row>
    <row r="47" spans="1:10" ht="15" x14ac:dyDescent="0.25">
      <c r="B47"/>
      <c r="C47"/>
      <c r="D47"/>
    </row>
    <row r="48" spans="1:10" ht="15" x14ac:dyDescent="0.25">
      <c r="B48"/>
      <c r="C48"/>
      <c r="D48"/>
    </row>
    <row r="49" spans="2:4" ht="15" x14ac:dyDescent="0.25">
      <c r="B49"/>
      <c r="C49"/>
      <c r="D49"/>
    </row>
  </sheetData>
  <sheetProtection insertColumns="0" insertRows="0" deleteColumns="0" deleteRows="0"/>
  <customSheetViews>
    <customSheetView guid="{2AF6EA2A-E5C5-45EB-B6C4-875AD1E4E056}" fitToPage="1">
      <pageMargins left="0.39370078740157483" right="0.39370078740157483" top="0.59055118110236227" bottom="0.39370078740157483" header="0.23622047244094491" footer="0.51181102362204722"/>
      <printOptions horizontalCentered="1"/>
      <pageSetup paperSize="9" scale="75" orientation="landscape" r:id="rId1"/>
      <headerFooter alignWithMargins="0"/>
    </customSheetView>
  </customSheetViews>
  <mergeCells count="24">
    <mergeCell ref="A3:A6"/>
    <mergeCell ref="B3:C6"/>
    <mergeCell ref="D4:D5"/>
    <mergeCell ref="F4:F5"/>
    <mergeCell ref="A32:I32"/>
    <mergeCell ref="B8:C8"/>
    <mergeCell ref="B9:C9"/>
    <mergeCell ref="B15:C15"/>
    <mergeCell ref="I4:I5"/>
    <mergeCell ref="B10:C10"/>
    <mergeCell ref="B12:C12"/>
    <mergeCell ref="H4:H5"/>
    <mergeCell ref="G4:G5"/>
    <mergeCell ref="B19:C19"/>
    <mergeCell ref="B13:C13"/>
    <mergeCell ref="E4:E5"/>
    <mergeCell ref="B25:C25"/>
    <mergeCell ref="B26:C26"/>
    <mergeCell ref="D3:I3"/>
    <mergeCell ref="K3:L3"/>
    <mergeCell ref="J4:J5"/>
    <mergeCell ref="K4:K5"/>
    <mergeCell ref="L4:L5"/>
    <mergeCell ref="B11:C11"/>
  </mergeCells>
  <printOptions horizontalCentered="1"/>
  <pageMargins left="0.39370078740157483" right="0.39370078740157483" top="0.59055118110236227" bottom="0.39370078740157483" header="0.23622047244094491" footer="0.51181102362204722"/>
  <pageSetup paperSize="9" scale="75" orientation="landscape" r:id="rId2"/>
  <headerFooter alignWithMargins="0"/>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4">
    <pageSetUpPr fitToPage="1"/>
  </sheetPr>
  <dimension ref="A1:N42"/>
  <sheetViews>
    <sheetView topLeftCell="A18" zoomScaleNormal="100" workbookViewId="0">
      <selection activeCell="A42" sqref="A42:M42"/>
    </sheetView>
  </sheetViews>
  <sheetFormatPr defaultRowHeight="12.75" x14ac:dyDescent="0.25"/>
  <cols>
    <col min="1" max="1" width="3.42578125" style="18" customWidth="1"/>
    <col min="2" max="2" width="15.42578125" style="18" customWidth="1"/>
    <col min="3" max="4" width="10.7109375" style="18" customWidth="1"/>
    <col min="5" max="5" width="11.42578125" style="18" customWidth="1"/>
    <col min="6" max="6" width="12.140625" style="18" customWidth="1"/>
    <col min="7" max="14" width="10.7109375" style="18" customWidth="1"/>
    <col min="15" max="15" width="11.85546875" style="18" customWidth="1"/>
    <col min="16" max="16384" width="9.140625" style="18"/>
  </cols>
  <sheetData>
    <row r="1" spans="1:14" ht="18" customHeight="1" x14ac:dyDescent="0.25">
      <c r="A1" s="22" t="s">
        <v>779</v>
      </c>
      <c r="B1" s="17"/>
      <c r="C1" s="17"/>
      <c r="D1" s="17"/>
      <c r="E1" s="17"/>
      <c r="F1" s="17"/>
      <c r="G1" s="17"/>
      <c r="H1" s="17"/>
      <c r="I1" s="17"/>
      <c r="J1" s="17"/>
      <c r="K1" s="17"/>
      <c r="L1" s="17"/>
    </row>
    <row r="2" spans="1:14" ht="18" customHeight="1" x14ac:dyDescent="0.25">
      <c r="A2" s="22"/>
      <c r="B2" s="17"/>
      <c r="C2" s="17"/>
      <c r="D2" s="17"/>
      <c r="E2" s="17"/>
      <c r="F2" s="17"/>
      <c r="G2" s="17"/>
      <c r="H2" s="17"/>
      <c r="I2" s="17"/>
      <c r="J2" s="17"/>
      <c r="K2" s="17"/>
      <c r="L2" s="17"/>
    </row>
    <row r="3" spans="1:14" ht="18" customHeight="1" x14ac:dyDescent="0.25">
      <c r="A3" s="150" t="s">
        <v>780</v>
      </c>
      <c r="B3" s="17"/>
      <c r="C3" s="17"/>
      <c r="D3" s="17"/>
      <c r="E3" s="17"/>
      <c r="F3" s="17"/>
      <c r="G3" s="17"/>
      <c r="H3" s="17"/>
      <c r="I3" s="17"/>
      <c r="J3" s="17"/>
      <c r="K3" s="17"/>
      <c r="L3" s="17"/>
    </row>
    <row r="4" spans="1:14" ht="12.75" customHeight="1" thickBot="1" x14ac:dyDescent="0.3">
      <c r="A4" s="17"/>
      <c r="B4" s="17"/>
      <c r="C4" s="17"/>
      <c r="D4" s="17"/>
      <c r="E4" s="17"/>
      <c r="F4" s="17"/>
      <c r="G4" s="17"/>
      <c r="H4" s="17"/>
      <c r="I4" s="17"/>
      <c r="J4" s="17"/>
      <c r="K4" s="23"/>
      <c r="L4" s="17"/>
      <c r="N4" s="23" t="s">
        <v>488</v>
      </c>
    </row>
    <row r="5" spans="1:14" ht="16.5" customHeight="1" x14ac:dyDescent="0.25">
      <c r="A5" s="1516" t="s">
        <v>460</v>
      </c>
      <c r="B5" s="1503" t="s">
        <v>630</v>
      </c>
      <c r="C5" s="1512" t="s">
        <v>414</v>
      </c>
      <c r="D5" s="1513"/>
      <c r="E5" s="1506" t="s">
        <v>558</v>
      </c>
      <c r="F5" s="1507"/>
      <c r="G5" s="1507"/>
      <c r="H5" s="1507"/>
      <c r="I5" s="1507"/>
      <c r="J5" s="1507"/>
      <c r="K5" s="1507"/>
      <c r="L5" s="1508"/>
      <c r="M5" s="1512" t="s">
        <v>625</v>
      </c>
      <c r="N5" s="1513"/>
    </row>
    <row r="6" spans="1:14" ht="17.25" customHeight="1" x14ac:dyDescent="0.25">
      <c r="A6" s="1517"/>
      <c r="B6" s="1504"/>
      <c r="C6" s="1514" t="s">
        <v>559</v>
      </c>
      <c r="D6" s="1501" t="s">
        <v>560</v>
      </c>
      <c r="E6" s="1509" t="s">
        <v>559</v>
      </c>
      <c r="F6" s="1510"/>
      <c r="G6" s="1510"/>
      <c r="H6" s="1510"/>
      <c r="I6" s="1511"/>
      <c r="J6" s="1519" t="s">
        <v>560</v>
      </c>
      <c r="K6" s="1519"/>
      <c r="L6" s="1520"/>
      <c r="M6" s="1514" t="s">
        <v>559</v>
      </c>
      <c r="N6" s="1501" t="s">
        <v>560</v>
      </c>
    </row>
    <row r="7" spans="1:14" ht="30.75" customHeight="1" x14ac:dyDescent="0.25">
      <c r="A7" s="1517"/>
      <c r="B7" s="1505"/>
      <c r="C7" s="1515"/>
      <c r="D7" s="1502"/>
      <c r="E7" s="374" t="s">
        <v>561</v>
      </c>
      <c r="F7" s="375" t="s">
        <v>829</v>
      </c>
      <c r="G7" s="376" t="s">
        <v>830</v>
      </c>
      <c r="H7" s="375" t="s">
        <v>564</v>
      </c>
      <c r="I7" s="375" t="s">
        <v>500</v>
      </c>
      <c r="J7" s="375" t="s">
        <v>562</v>
      </c>
      <c r="K7" s="375" t="s">
        <v>463</v>
      </c>
      <c r="L7" s="377" t="s">
        <v>500</v>
      </c>
      <c r="M7" s="1515"/>
      <c r="N7" s="1502"/>
    </row>
    <row r="8" spans="1:14" s="19" customFormat="1" ht="13.5" customHeight="1" thickBot="1" x14ac:dyDescent="0.3">
      <c r="A8" s="1518"/>
      <c r="B8" s="369" t="s">
        <v>539</v>
      </c>
      <c r="C8" s="370" t="s">
        <v>540</v>
      </c>
      <c r="D8" s="369" t="s">
        <v>541</v>
      </c>
      <c r="E8" s="370" t="s">
        <v>542</v>
      </c>
      <c r="F8" s="371" t="s">
        <v>543</v>
      </c>
      <c r="G8" s="372" t="s">
        <v>544</v>
      </c>
      <c r="H8" s="372" t="s">
        <v>545</v>
      </c>
      <c r="I8" s="371" t="s">
        <v>546</v>
      </c>
      <c r="J8" s="371" t="s">
        <v>547</v>
      </c>
      <c r="K8" s="371" t="s">
        <v>548</v>
      </c>
      <c r="L8" s="373" t="s">
        <v>588</v>
      </c>
      <c r="M8" s="370" t="s">
        <v>626</v>
      </c>
      <c r="N8" s="369" t="s">
        <v>627</v>
      </c>
    </row>
    <row r="9" spans="1:14" ht="13.5" customHeight="1" x14ac:dyDescent="0.25">
      <c r="A9" s="367">
        <v>1</v>
      </c>
      <c r="B9" s="362" t="s">
        <v>1351</v>
      </c>
      <c r="C9" s="217">
        <v>17499</v>
      </c>
      <c r="D9" s="218">
        <v>960</v>
      </c>
      <c r="E9" s="219">
        <v>9624</v>
      </c>
      <c r="F9" s="220">
        <v>2925</v>
      </c>
      <c r="G9" s="221">
        <v>160</v>
      </c>
      <c r="H9" s="221">
        <v>4746</v>
      </c>
      <c r="I9" s="220">
        <f>+E9+F9+G9+H9</f>
        <v>17455</v>
      </c>
      <c r="J9" s="220">
        <v>1075</v>
      </c>
      <c r="K9" s="220">
        <v>0</v>
      </c>
      <c r="L9" s="222">
        <f>J9+K9</f>
        <v>1075</v>
      </c>
      <c r="M9" s="217">
        <f>I9-C9</f>
        <v>-44</v>
      </c>
      <c r="N9" s="218">
        <f>L9-D9</f>
        <v>115</v>
      </c>
    </row>
    <row r="10" spans="1:14" ht="13.5" customHeight="1" x14ac:dyDescent="0.25">
      <c r="A10" s="366">
        <f>A9+1</f>
        <v>2</v>
      </c>
      <c r="B10" s="363"/>
      <c r="C10" s="223"/>
      <c r="D10" s="224"/>
      <c r="E10" s="225"/>
      <c r="F10" s="226"/>
      <c r="G10" s="227"/>
      <c r="H10" s="227"/>
      <c r="I10" s="226">
        <f>+E10+F10+G10+H10</f>
        <v>0</v>
      </c>
      <c r="J10" s="226"/>
      <c r="K10" s="226"/>
      <c r="L10" s="222">
        <f>J10+K10</f>
        <v>0</v>
      </c>
      <c r="M10" s="217">
        <f>I10-C10</f>
        <v>0</v>
      </c>
      <c r="N10" s="218">
        <f>L10-D10</f>
        <v>0</v>
      </c>
    </row>
    <row r="11" spans="1:14" ht="13.5" customHeight="1" x14ac:dyDescent="0.25">
      <c r="A11" s="366">
        <f>A10+1</f>
        <v>3</v>
      </c>
      <c r="B11" s="363"/>
      <c r="C11" s="223"/>
      <c r="D11" s="224"/>
      <c r="E11" s="225"/>
      <c r="F11" s="226"/>
      <c r="G11" s="227"/>
      <c r="H11" s="227"/>
      <c r="I11" s="226">
        <f>+E11+F11+G11+H11</f>
        <v>0</v>
      </c>
      <c r="J11" s="226"/>
      <c r="K11" s="226"/>
      <c r="L11" s="222">
        <f>J11+K11</f>
        <v>0</v>
      </c>
      <c r="M11" s="217">
        <f>I11-C11</f>
        <v>0</v>
      </c>
      <c r="N11" s="218">
        <f>L11-D11</f>
        <v>0</v>
      </c>
    </row>
    <row r="12" spans="1:14" ht="13.5" customHeight="1" x14ac:dyDescent="0.25">
      <c r="A12" s="366">
        <f>A11+1</f>
        <v>4</v>
      </c>
      <c r="B12" s="363"/>
      <c r="C12" s="223"/>
      <c r="D12" s="224"/>
      <c r="E12" s="225"/>
      <c r="F12" s="226"/>
      <c r="G12" s="227"/>
      <c r="H12" s="227"/>
      <c r="I12" s="226">
        <f>+E12+F12+G12+H12</f>
        <v>0</v>
      </c>
      <c r="J12" s="226"/>
      <c r="K12" s="226"/>
      <c r="L12" s="222">
        <f>J12+K12</f>
        <v>0</v>
      </c>
      <c r="M12" s="217">
        <f>I12-C12</f>
        <v>0</v>
      </c>
      <c r="N12" s="218">
        <f>L12-D12</f>
        <v>0</v>
      </c>
    </row>
    <row r="13" spans="1:14" ht="13.5" customHeight="1" thickBot="1" x14ac:dyDescent="0.3">
      <c r="A13" s="378">
        <f>A12+1</f>
        <v>5</v>
      </c>
      <c r="B13" s="364"/>
      <c r="C13" s="228"/>
      <c r="D13" s="229"/>
      <c r="E13" s="230"/>
      <c r="F13" s="231"/>
      <c r="G13" s="232"/>
      <c r="H13" s="232"/>
      <c r="I13" s="231">
        <f>+E13+F13+G13+H13</f>
        <v>0</v>
      </c>
      <c r="J13" s="231"/>
      <c r="K13" s="231"/>
      <c r="L13" s="222">
        <f>J13+K13</f>
        <v>0</v>
      </c>
      <c r="M13" s="217">
        <f>I13-C13</f>
        <v>0</v>
      </c>
      <c r="N13" s="218">
        <f>L13-D13</f>
        <v>0</v>
      </c>
    </row>
    <row r="14" spans="1:14" ht="12.75" customHeight="1" thickBot="1" x14ac:dyDescent="0.3">
      <c r="A14" s="368">
        <f>A13+1</f>
        <v>6</v>
      </c>
      <c r="B14" s="365" t="s">
        <v>486</v>
      </c>
      <c r="C14" s="233">
        <f t="shared" ref="C14:M14" si="0">SUM(C9:C13)</f>
        <v>17499</v>
      </c>
      <c r="D14" s="234">
        <f t="shared" si="0"/>
        <v>960</v>
      </c>
      <c r="E14" s="235">
        <f t="shared" si="0"/>
        <v>9624</v>
      </c>
      <c r="F14" s="236">
        <f t="shared" si="0"/>
        <v>2925</v>
      </c>
      <c r="G14" s="236">
        <f t="shared" si="0"/>
        <v>160</v>
      </c>
      <c r="H14" s="236">
        <f t="shared" si="0"/>
        <v>4746</v>
      </c>
      <c r="I14" s="236">
        <f t="shared" si="0"/>
        <v>17455</v>
      </c>
      <c r="J14" s="236">
        <f t="shared" si="0"/>
        <v>1075</v>
      </c>
      <c r="K14" s="236">
        <f t="shared" si="0"/>
        <v>0</v>
      </c>
      <c r="L14" s="236">
        <f t="shared" si="0"/>
        <v>1075</v>
      </c>
      <c r="M14" s="233">
        <f t="shared" si="0"/>
        <v>-44</v>
      </c>
      <c r="N14" s="237">
        <f>SUM(N9:N13)</f>
        <v>115</v>
      </c>
    </row>
    <row r="15" spans="1:14" ht="13.5" customHeight="1" x14ac:dyDescent="0.25">
      <c r="A15" s="17"/>
      <c r="B15" s="17"/>
      <c r="C15" s="17"/>
      <c r="D15" s="17"/>
      <c r="E15" s="17"/>
      <c r="F15" s="17"/>
      <c r="G15" s="17"/>
      <c r="H15" s="17"/>
      <c r="I15" s="17"/>
      <c r="J15" s="17"/>
      <c r="K15" s="17"/>
      <c r="L15" s="17"/>
    </row>
    <row r="16" spans="1:14" ht="13.5" customHeight="1" x14ac:dyDescent="0.25">
      <c r="A16" s="12" t="s">
        <v>616</v>
      </c>
      <c r="B16" s="17"/>
      <c r="C16" s="17"/>
      <c r="D16" s="17"/>
      <c r="E16" s="17"/>
      <c r="F16" s="17"/>
      <c r="G16" s="17"/>
      <c r="H16" s="17"/>
      <c r="I16" s="17"/>
      <c r="J16" s="17"/>
      <c r="K16" s="17"/>
      <c r="L16" s="17"/>
    </row>
    <row r="17" spans="1:14" ht="13.5" customHeight="1" x14ac:dyDescent="0.25">
      <c r="A17" s="12" t="s">
        <v>629</v>
      </c>
      <c r="B17" s="17"/>
      <c r="C17" s="17"/>
      <c r="D17" s="17"/>
      <c r="E17" s="17"/>
      <c r="F17" s="17"/>
      <c r="G17" s="17"/>
      <c r="H17" s="17"/>
      <c r="I17" s="17"/>
      <c r="J17" s="17"/>
      <c r="K17" s="17"/>
      <c r="L17" s="17"/>
    </row>
    <row r="18" spans="1:14" ht="13.5" customHeight="1" x14ac:dyDescent="0.25">
      <c r="A18" s="17" t="s">
        <v>1570</v>
      </c>
      <c r="B18" s="17"/>
      <c r="C18" s="17"/>
      <c r="D18" s="17"/>
      <c r="E18" s="17"/>
      <c r="F18" s="17"/>
      <c r="G18" s="17"/>
      <c r="H18" s="17"/>
      <c r="I18" s="17"/>
      <c r="J18" s="17"/>
      <c r="K18" s="17"/>
      <c r="L18" s="17"/>
    </row>
    <row r="19" spans="1:14" ht="13.5" customHeight="1" x14ac:dyDescent="0.25">
      <c r="A19" s="17" t="s">
        <v>1573</v>
      </c>
      <c r="B19" s="292"/>
      <c r="C19" s="292"/>
      <c r="D19" s="292"/>
      <c r="E19" s="292"/>
      <c r="F19" s="292"/>
      <c r="G19" s="292"/>
      <c r="H19" s="292"/>
      <c r="I19" s="292"/>
      <c r="J19" s="292"/>
      <c r="K19" s="292"/>
      <c r="L19" s="292"/>
    </row>
    <row r="20" spans="1:14" ht="13.5" customHeight="1" x14ac:dyDescent="0.25">
      <c r="A20" s="24"/>
      <c r="B20" s="20"/>
      <c r="C20" s="20"/>
      <c r="D20" s="20"/>
      <c r="E20" s="20"/>
      <c r="F20" s="20"/>
      <c r="G20" s="20"/>
      <c r="H20" s="20"/>
      <c r="I20" s="20"/>
      <c r="J20" s="20"/>
      <c r="K20" s="20"/>
      <c r="L20" s="20"/>
      <c r="N20" s="21"/>
    </row>
    <row r="21" spans="1:14" ht="27" customHeight="1" x14ac:dyDescent="0.25">
      <c r="A21" s="1129"/>
      <c r="B21" s="1129"/>
      <c r="C21" s="1129"/>
      <c r="D21" s="1129"/>
      <c r="E21" s="1129"/>
      <c r="F21" s="1129"/>
      <c r="G21" s="1129"/>
      <c r="H21" s="1129"/>
      <c r="I21" s="1129"/>
      <c r="J21" s="1129"/>
      <c r="K21" s="1129"/>
      <c r="L21" s="1129"/>
      <c r="M21" s="1129"/>
      <c r="N21" s="1129"/>
    </row>
    <row r="22" spans="1:14" s="6" customFormat="1" ht="18" customHeight="1" x14ac:dyDescent="0.25">
      <c r="A22" s="150" t="s">
        <v>781</v>
      </c>
      <c r="B22" s="12"/>
      <c r="C22" s="12"/>
      <c r="D22" s="12"/>
      <c r="E22" s="12"/>
      <c r="F22" s="12"/>
      <c r="G22" s="12"/>
      <c r="H22" s="12"/>
      <c r="I22" s="12"/>
      <c r="J22" s="12"/>
      <c r="K22" s="12"/>
      <c r="L22" s="5"/>
    </row>
    <row r="23" spans="1:14" s="6" customFormat="1" ht="13.5" customHeight="1" thickBot="1" x14ac:dyDescent="0.3">
      <c r="A23" s="12"/>
      <c r="B23" s="12"/>
      <c r="C23" s="12"/>
      <c r="D23" s="12"/>
      <c r="E23" s="12"/>
      <c r="F23" s="12"/>
      <c r="G23" s="12"/>
      <c r="H23" s="12"/>
      <c r="I23" s="12"/>
      <c r="J23" s="12"/>
      <c r="L23" s="5"/>
      <c r="N23" s="23" t="s">
        <v>488</v>
      </c>
    </row>
    <row r="24" spans="1:14" s="6" customFormat="1" ht="19.5" customHeight="1" x14ac:dyDescent="0.25">
      <c r="A24" s="1516" t="s">
        <v>460</v>
      </c>
      <c r="B24" s="1522" t="s">
        <v>628</v>
      </c>
      <c r="C24" s="1512" t="s">
        <v>414</v>
      </c>
      <c r="D24" s="1513"/>
      <c r="E24" s="1525" t="s">
        <v>558</v>
      </c>
      <c r="F24" s="1526"/>
      <c r="G24" s="1526"/>
      <c r="H24" s="1526"/>
      <c r="I24" s="1526"/>
      <c r="J24" s="1526"/>
      <c r="K24" s="1526"/>
      <c r="L24" s="1527"/>
      <c r="M24" s="1512" t="s">
        <v>625</v>
      </c>
      <c r="N24" s="1513"/>
    </row>
    <row r="25" spans="1:14" s="6" customFormat="1" ht="19.5" customHeight="1" x14ac:dyDescent="0.25">
      <c r="A25" s="1517"/>
      <c r="B25" s="1523"/>
      <c r="C25" s="1514" t="s">
        <v>559</v>
      </c>
      <c r="D25" s="1501" t="s">
        <v>560</v>
      </c>
      <c r="E25" s="1528" t="s">
        <v>559</v>
      </c>
      <c r="F25" s="1529"/>
      <c r="G25" s="1529"/>
      <c r="H25" s="1529"/>
      <c r="I25" s="1529"/>
      <c r="J25" s="1530" t="s">
        <v>560</v>
      </c>
      <c r="K25" s="1530"/>
      <c r="L25" s="1530"/>
      <c r="M25" s="1514" t="s">
        <v>559</v>
      </c>
      <c r="N25" s="1501" t="s">
        <v>560</v>
      </c>
    </row>
    <row r="26" spans="1:14" s="6" customFormat="1" ht="31.5" customHeight="1" x14ac:dyDescent="0.25">
      <c r="A26" s="1517"/>
      <c r="B26" s="1524"/>
      <c r="C26" s="1515"/>
      <c r="D26" s="1502"/>
      <c r="E26" s="353" t="s">
        <v>561</v>
      </c>
      <c r="F26" s="375" t="s">
        <v>829</v>
      </c>
      <c r="G26" s="376" t="s">
        <v>830</v>
      </c>
      <c r="H26" s="375" t="s">
        <v>564</v>
      </c>
      <c r="I26" s="336" t="s">
        <v>500</v>
      </c>
      <c r="J26" s="336" t="s">
        <v>563</v>
      </c>
      <c r="K26" s="336" t="s">
        <v>463</v>
      </c>
      <c r="L26" s="381" t="s">
        <v>500</v>
      </c>
      <c r="M26" s="1515"/>
      <c r="N26" s="1502"/>
    </row>
    <row r="27" spans="1:14" s="7" customFormat="1" ht="13.5" customHeight="1" thickBot="1" x14ac:dyDescent="0.3">
      <c r="A27" s="1518"/>
      <c r="B27" s="379" t="s">
        <v>539</v>
      </c>
      <c r="C27" s="370" t="s">
        <v>540</v>
      </c>
      <c r="D27" s="369" t="s">
        <v>541</v>
      </c>
      <c r="E27" s="351" t="s">
        <v>542</v>
      </c>
      <c r="F27" s="352" t="s">
        <v>543</v>
      </c>
      <c r="G27" s="380" t="s">
        <v>544</v>
      </c>
      <c r="H27" s="380" t="s">
        <v>545</v>
      </c>
      <c r="I27" s="352" t="s">
        <v>546</v>
      </c>
      <c r="J27" s="352" t="s">
        <v>547</v>
      </c>
      <c r="K27" s="352" t="s">
        <v>548</v>
      </c>
      <c r="L27" s="205" t="s">
        <v>588</v>
      </c>
      <c r="M27" s="370" t="s">
        <v>626</v>
      </c>
      <c r="N27" s="369" t="s">
        <v>627</v>
      </c>
    </row>
    <row r="28" spans="1:14" s="6" customFormat="1" ht="13.5" customHeight="1" x14ac:dyDescent="0.25">
      <c r="A28" s="367">
        <v>1</v>
      </c>
      <c r="B28" s="362" t="s">
        <v>1352</v>
      </c>
      <c r="C28" s="217">
        <v>35932</v>
      </c>
      <c r="D28" s="218">
        <v>2362</v>
      </c>
      <c r="E28" s="219">
        <v>31322</v>
      </c>
      <c r="F28" s="220">
        <v>0</v>
      </c>
      <c r="G28" s="221">
        <v>6162</v>
      </c>
      <c r="H28" s="221"/>
      <c r="I28" s="220">
        <f>E28+F28+G28+H28</f>
        <v>37484</v>
      </c>
      <c r="J28" s="220">
        <v>3643</v>
      </c>
      <c r="K28" s="220">
        <v>699</v>
      </c>
      <c r="L28" s="222">
        <f>J28+K28</f>
        <v>4342</v>
      </c>
      <c r="M28" s="217">
        <f>I28-C28</f>
        <v>1552</v>
      </c>
      <c r="N28" s="218">
        <f>L28-D28</f>
        <v>1980</v>
      </c>
    </row>
    <row r="29" spans="1:14" s="6" customFormat="1" ht="13.5" customHeight="1" x14ac:dyDescent="0.25">
      <c r="A29" s="366">
        <f>A28+1</f>
        <v>2</v>
      </c>
      <c r="B29" s="363"/>
      <c r="C29" s="223"/>
      <c r="D29" s="224"/>
      <c r="E29" s="225"/>
      <c r="F29" s="226"/>
      <c r="G29" s="227"/>
      <c r="H29" s="227"/>
      <c r="I29" s="226">
        <f>+E29+F29+G29+H29</f>
        <v>0</v>
      </c>
      <c r="J29" s="226"/>
      <c r="K29" s="226"/>
      <c r="L29" s="222">
        <f>J29+K29</f>
        <v>0</v>
      </c>
      <c r="M29" s="217">
        <f>I29-C29</f>
        <v>0</v>
      </c>
      <c r="N29" s="218">
        <f>L29-D29</f>
        <v>0</v>
      </c>
    </row>
    <row r="30" spans="1:14" s="6" customFormat="1" ht="13.5" customHeight="1" x14ac:dyDescent="0.25">
      <c r="A30" s="366">
        <f>A29+1</f>
        <v>3</v>
      </c>
      <c r="B30" s="363"/>
      <c r="C30" s="223"/>
      <c r="D30" s="224"/>
      <c r="E30" s="225"/>
      <c r="F30" s="226"/>
      <c r="G30" s="227"/>
      <c r="H30" s="227"/>
      <c r="I30" s="226">
        <f>+E30+F30+G30+H30</f>
        <v>0</v>
      </c>
      <c r="J30" s="226"/>
      <c r="K30" s="226"/>
      <c r="L30" s="222">
        <f>J30+K30</f>
        <v>0</v>
      </c>
      <c r="M30" s="217">
        <f>I30-C30</f>
        <v>0</v>
      </c>
      <c r="N30" s="218">
        <f>L30-D30</f>
        <v>0</v>
      </c>
    </row>
    <row r="31" spans="1:14" s="6" customFormat="1" ht="13.5" customHeight="1" x14ac:dyDescent="0.25">
      <c r="A31" s="366">
        <f>A30+1</f>
        <v>4</v>
      </c>
      <c r="B31" s="363"/>
      <c r="C31" s="223"/>
      <c r="D31" s="224"/>
      <c r="E31" s="225"/>
      <c r="F31" s="226"/>
      <c r="G31" s="227"/>
      <c r="H31" s="227"/>
      <c r="I31" s="226">
        <f>+E31+F31+G31+H31</f>
        <v>0</v>
      </c>
      <c r="J31" s="226"/>
      <c r="K31" s="226"/>
      <c r="L31" s="222">
        <f>J31+K31</f>
        <v>0</v>
      </c>
      <c r="M31" s="217">
        <f>I31-C31</f>
        <v>0</v>
      </c>
      <c r="N31" s="218">
        <f>L31-D31</f>
        <v>0</v>
      </c>
    </row>
    <row r="32" spans="1:14" s="6" customFormat="1" ht="13.5" customHeight="1" thickBot="1" x14ac:dyDescent="0.3">
      <c r="A32" s="378">
        <f>A31+1</f>
        <v>5</v>
      </c>
      <c r="B32" s="364"/>
      <c r="C32" s="228"/>
      <c r="D32" s="229"/>
      <c r="E32" s="230"/>
      <c r="F32" s="231"/>
      <c r="G32" s="232"/>
      <c r="H32" s="232"/>
      <c r="I32" s="231">
        <f>+E32+F32+G32+H32</f>
        <v>0</v>
      </c>
      <c r="J32" s="231"/>
      <c r="K32" s="231"/>
      <c r="L32" s="222">
        <f>J32+K32</f>
        <v>0</v>
      </c>
      <c r="M32" s="217">
        <f>I32-C32</f>
        <v>0</v>
      </c>
      <c r="N32" s="218">
        <f>L32-D32</f>
        <v>0</v>
      </c>
    </row>
    <row r="33" spans="1:14" s="6" customFormat="1" ht="12.75" customHeight="1" thickBot="1" x14ac:dyDescent="0.3">
      <c r="A33" s="368">
        <f>A32+1</f>
        <v>6</v>
      </c>
      <c r="B33" s="365" t="s">
        <v>486</v>
      </c>
      <c r="C33" s="233">
        <f>SUM(C28:C32)</f>
        <v>35932</v>
      </c>
      <c r="D33" s="234">
        <f>SUM(D28:D32)</f>
        <v>2362</v>
      </c>
      <c r="E33" s="235">
        <f t="shared" ref="E33:L33" si="1">SUM(E28:E32)</f>
        <v>31322</v>
      </c>
      <c r="F33" s="236">
        <f t="shared" si="1"/>
        <v>0</v>
      </c>
      <c r="G33" s="236">
        <f t="shared" si="1"/>
        <v>6162</v>
      </c>
      <c r="H33" s="236">
        <f t="shared" si="1"/>
        <v>0</v>
      </c>
      <c r="I33" s="236">
        <f t="shared" si="1"/>
        <v>37484</v>
      </c>
      <c r="J33" s="236">
        <f t="shared" si="1"/>
        <v>3643</v>
      </c>
      <c r="K33" s="236">
        <f t="shared" si="1"/>
        <v>699</v>
      </c>
      <c r="L33" s="236">
        <f t="shared" si="1"/>
        <v>4342</v>
      </c>
      <c r="M33" s="233">
        <f>SUM(M28:M32)</f>
        <v>1552</v>
      </c>
      <c r="N33" s="237">
        <f>SUM(N28:N32)</f>
        <v>1980</v>
      </c>
    </row>
    <row r="34" spans="1:14" s="6" customFormat="1" x14ac:dyDescent="0.25">
      <c r="A34" s="12"/>
      <c r="B34" s="12"/>
      <c r="C34" s="12"/>
      <c r="D34" s="12"/>
      <c r="E34" s="12"/>
      <c r="F34" s="12"/>
      <c r="G34" s="12"/>
      <c r="H34" s="12"/>
      <c r="I34" s="12"/>
      <c r="J34" s="12"/>
      <c r="K34" s="12"/>
      <c r="L34" s="5"/>
    </row>
    <row r="35" spans="1:14" s="6" customFormat="1" x14ac:dyDescent="0.25">
      <c r="A35" s="12" t="s">
        <v>616</v>
      </c>
      <c r="B35" s="12"/>
      <c r="C35" s="12"/>
      <c r="D35" s="12"/>
      <c r="E35" s="12"/>
      <c r="F35" s="12"/>
      <c r="G35" s="12"/>
      <c r="H35" s="12"/>
      <c r="I35" s="12"/>
      <c r="J35" s="12"/>
      <c r="K35" s="12"/>
      <c r="L35" s="5"/>
    </row>
    <row r="36" spans="1:14" s="6" customFormat="1" x14ac:dyDescent="0.25">
      <c r="A36" s="12" t="s">
        <v>629</v>
      </c>
      <c r="B36" s="12"/>
      <c r="C36" s="12"/>
      <c r="D36" s="12"/>
      <c r="E36" s="12"/>
      <c r="F36" s="12"/>
      <c r="G36" s="12"/>
      <c r="H36" s="12"/>
      <c r="I36" s="12"/>
      <c r="J36" s="12"/>
      <c r="K36" s="12"/>
      <c r="L36" s="5"/>
    </row>
    <row r="37" spans="1:14" s="6" customFormat="1" x14ac:dyDescent="0.25">
      <c r="A37" s="17" t="s">
        <v>1571</v>
      </c>
      <c r="B37" s="12"/>
      <c r="C37" s="12"/>
      <c r="D37" s="12"/>
      <c r="E37" s="12"/>
      <c r="F37" s="12"/>
      <c r="G37" s="12"/>
      <c r="H37" s="12"/>
      <c r="I37" s="12"/>
      <c r="J37" s="12"/>
      <c r="K37" s="12"/>
      <c r="L37" s="5"/>
    </row>
    <row r="38" spans="1:14" s="6" customFormat="1" x14ac:dyDescent="0.25">
      <c r="A38" s="17" t="s">
        <v>1572</v>
      </c>
      <c r="B38" s="12"/>
      <c r="C38" s="12"/>
      <c r="D38" s="12"/>
      <c r="E38" s="12"/>
      <c r="F38" s="12"/>
      <c r="G38" s="12"/>
      <c r="H38" s="12"/>
      <c r="I38" s="12"/>
      <c r="J38" s="12"/>
      <c r="K38" s="12"/>
      <c r="L38" s="5"/>
    </row>
    <row r="39" spans="1:14" s="6" customFormat="1" x14ac:dyDescent="0.25">
      <c r="A39" s="12"/>
      <c r="B39" s="12"/>
      <c r="C39" s="12"/>
      <c r="D39" s="12"/>
      <c r="E39" s="12"/>
      <c r="F39" s="12"/>
      <c r="G39" s="12"/>
      <c r="H39" s="12"/>
      <c r="I39" s="12"/>
      <c r="J39" s="12"/>
      <c r="K39" s="12"/>
      <c r="L39" s="5"/>
    </row>
    <row r="40" spans="1:14" s="6" customFormat="1" x14ac:dyDescent="0.25">
      <c r="A40" s="73" t="s">
        <v>662</v>
      </c>
      <c r="B40" s="15"/>
      <c r="C40" s="15"/>
      <c r="D40" s="15"/>
      <c r="E40" s="15"/>
      <c r="F40" s="15"/>
      <c r="G40" s="15"/>
      <c r="H40" s="15"/>
      <c r="I40" s="15"/>
      <c r="J40" s="15"/>
      <c r="K40" s="15"/>
      <c r="L40" s="9"/>
      <c r="N40" s="10"/>
    </row>
    <row r="41" spans="1:14" s="6" customFormat="1" ht="27" customHeight="1" x14ac:dyDescent="0.25">
      <c r="A41" s="1521" t="s">
        <v>1119</v>
      </c>
      <c r="B41" s="1521"/>
      <c r="C41" s="1521"/>
      <c r="D41" s="1521"/>
      <c r="E41" s="1521"/>
      <c r="F41" s="1521"/>
      <c r="G41" s="1521"/>
      <c r="H41" s="1521"/>
      <c r="I41" s="1521"/>
      <c r="J41" s="1521"/>
      <c r="K41" s="1521"/>
      <c r="L41" s="1521"/>
      <c r="M41" s="1521"/>
      <c r="N41" s="10"/>
    </row>
    <row r="42" spans="1:14" s="6" customFormat="1" ht="27.75" customHeight="1" x14ac:dyDescent="0.25">
      <c r="A42" s="1521" t="s">
        <v>1120</v>
      </c>
      <c r="B42" s="1521"/>
      <c r="C42" s="1521"/>
      <c r="D42" s="1521"/>
      <c r="E42" s="1521"/>
      <c r="F42" s="1521"/>
      <c r="G42" s="1521"/>
      <c r="H42" s="1521"/>
      <c r="I42" s="1521"/>
      <c r="J42" s="1521"/>
      <c r="K42" s="1521"/>
      <c r="L42" s="1521"/>
      <c r="M42" s="1521"/>
      <c r="N42" s="10"/>
    </row>
  </sheetData>
  <sheetProtection insertRows="0" deleteRows="0"/>
  <customSheetViews>
    <customSheetView guid="{2AF6EA2A-E5C5-45EB-B6C4-875AD1E4E056}" fitToPage="1">
      <selection activeCell="A2" sqref="A2"/>
      <pageMargins left="0.19685039370078741" right="0.19685039370078741" top="0.98425196850393704" bottom="0.98425196850393704" header="0.51181102362204722" footer="0.51181102362204722"/>
      <printOptions horizontalCentered="1"/>
      <pageSetup paperSize="9" scale="76" orientation="landscape" cellComments="asDisplayed" horizontalDpi="300" verticalDpi="300" r:id="rId1"/>
      <headerFooter alignWithMargins="0"/>
    </customSheetView>
  </customSheetViews>
  <mergeCells count="24">
    <mergeCell ref="A42:M42"/>
    <mergeCell ref="B24:B26"/>
    <mergeCell ref="C24:D24"/>
    <mergeCell ref="E24:L24"/>
    <mergeCell ref="M24:N24"/>
    <mergeCell ref="E25:I25"/>
    <mergeCell ref="J25:L25"/>
    <mergeCell ref="A41:M41"/>
    <mergeCell ref="A5:A8"/>
    <mergeCell ref="A24:A27"/>
    <mergeCell ref="J6:L6"/>
    <mergeCell ref="C6:C7"/>
    <mergeCell ref="C5:D5"/>
    <mergeCell ref="D6:D7"/>
    <mergeCell ref="N6:N7"/>
    <mergeCell ref="B5:B7"/>
    <mergeCell ref="E5:L5"/>
    <mergeCell ref="E6:I6"/>
    <mergeCell ref="N25:N26"/>
    <mergeCell ref="M5:N5"/>
    <mergeCell ref="M6:M7"/>
    <mergeCell ref="C25:C26"/>
    <mergeCell ref="D25:D26"/>
    <mergeCell ref="M25:M26"/>
  </mergeCells>
  <printOptions horizontalCentered="1"/>
  <pageMargins left="0.19685039370078741" right="0.19685039370078741" top="0.98425196850393704" bottom="0.98425196850393704" header="0.51181102362204722" footer="0.51181102362204722"/>
  <pageSetup paperSize="9" scale="76" orientation="landscape" cellComments="asDisplayed" horizontalDpi="300" verticalDpi="300" r:id="rId2"/>
  <headerFooter alignWithMargins="0"/>
  <ignoredErrors>
    <ignoredError sqref="I10:I13 L10:N13" unlockedFormula="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A99"/>
  <sheetViews>
    <sheetView workbookViewId="0"/>
  </sheetViews>
  <sheetFormatPr defaultRowHeight="15" x14ac:dyDescent="0.25"/>
  <cols>
    <col min="1" max="1" width="3.28515625" style="129" customWidth="1"/>
    <col min="2" max="12" width="9.140625" style="129"/>
    <col min="13" max="13" width="4.7109375" style="129" customWidth="1"/>
    <col min="14" max="24" width="9.140625" style="129"/>
    <col min="25" max="25" width="4.85546875" style="129" customWidth="1"/>
    <col min="26" max="16384" width="9.140625" style="129"/>
  </cols>
  <sheetData>
    <row r="1" spans="1:1" ht="12.75" customHeight="1" x14ac:dyDescent="0.25">
      <c r="A1" s="778" t="s">
        <v>1174</v>
      </c>
    </row>
    <row r="2" spans="1:1" ht="12.75" customHeight="1" x14ac:dyDescent="0.25"/>
    <row r="3" spans="1:1" ht="12.75" customHeight="1" x14ac:dyDescent="0.25"/>
    <row r="4" spans="1:1" ht="12.75" customHeight="1" x14ac:dyDescent="0.25"/>
    <row r="5" spans="1:1" ht="12.75" customHeight="1" x14ac:dyDescent="0.25"/>
    <row r="6" spans="1:1" ht="12.75" customHeight="1" x14ac:dyDescent="0.25"/>
    <row r="7" spans="1:1" ht="12.75" customHeight="1" x14ac:dyDescent="0.25"/>
    <row r="8" spans="1:1" ht="12.75" customHeight="1" x14ac:dyDescent="0.25"/>
    <row r="9" spans="1:1" ht="12.75" customHeight="1" x14ac:dyDescent="0.25"/>
    <row r="10" spans="1:1" ht="12.75" customHeight="1" x14ac:dyDescent="0.25"/>
    <row r="11" spans="1:1" ht="12.75" customHeight="1" x14ac:dyDescent="0.25"/>
    <row r="12" spans="1:1" ht="12.75" customHeight="1" x14ac:dyDescent="0.25"/>
    <row r="13" spans="1:1" ht="12.75" customHeight="1" x14ac:dyDescent="0.25"/>
    <row r="14" spans="1:1" ht="12.75" customHeight="1" x14ac:dyDescent="0.25"/>
    <row r="15" spans="1:1" ht="12.75" customHeight="1" x14ac:dyDescent="0.25"/>
    <row r="16" spans="1:1" ht="12.75" customHeight="1" x14ac:dyDescent="0.25"/>
    <row r="17" ht="12.75" customHeight="1" x14ac:dyDescent="0.25"/>
    <row r="18" ht="12.75" customHeight="1" x14ac:dyDescent="0.25"/>
    <row r="19" ht="12.75" customHeight="1" x14ac:dyDescent="0.25"/>
    <row r="20" ht="12.75" customHeight="1" x14ac:dyDescent="0.25"/>
    <row r="21" ht="12.75" customHeight="1" x14ac:dyDescent="0.25"/>
    <row r="22" ht="12.75" customHeight="1" x14ac:dyDescent="0.25"/>
    <row r="23" ht="12.75" customHeight="1" x14ac:dyDescent="0.25"/>
    <row r="24" ht="12.75" customHeight="1" x14ac:dyDescent="0.25"/>
    <row r="25" ht="12.75" customHeight="1" x14ac:dyDescent="0.25"/>
    <row r="26" ht="12.75" customHeight="1" x14ac:dyDescent="0.25"/>
    <row r="27" ht="12.75" customHeight="1" x14ac:dyDescent="0.25"/>
    <row r="28" ht="12.75" customHeight="1" x14ac:dyDescent="0.25"/>
    <row r="29" ht="12.75" customHeight="1" x14ac:dyDescent="0.25"/>
    <row r="30" ht="12.75" customHeight="1" x14ac:dyDescent="0.25"/>
    <row r="31" ht="12.75" customHeight="1" x14ac:dyDescent="0.25"/>
    <row r="32" ht="12.75" customHeight="1" x14ac:dyDescent="0.25"/>
    <row r="33" ht="12.75" customHeight="1" x14ac:dyDescent="0.25"/>
    <row r="34" ht="12.75" customHeight="1" x14ac:dyDescent="0.25"/>
    <row r="35" ht="12.75" customHeight="1" x14ac:dyDescent="0.25"/>
    <row r="36" ht="12.75" customHeight="1" x14ac:dyDescent="0.25"/>
    <row r="37" ht="12.75" customHeight="1" x14ac:dyDescent="0.25"/>
    <row r="38" ht="12.75" customHeight="1" x14ac:dyDescent="0.25"/>
    <row r="39" ht="12.75" customHeight="1" x14ac:dyDescent="0.25"/>
    <row r="40" ht="12.75" customHeight="1" x14ac:dyDescent="0.25"/>
    <row r="41" ht="12.75" customHeight="1" x14ac:dyDescent="0.25"/>
    <row r="42" ht="12.75" customHeight="1" x14ac:dyDescent="0.25"/>
    <row r="43" ht="12.75" customHeight="1" x14ac:dyDescent="0.25"/>
    <row r="44" ht="12.75" customHeight="1" x14ac:dyDescent="0.25"/>
    <row r="45" ht="12.75" customHeight="1" x14ac:dyDescent="0.25"/>
    <row r="46" ht="12.75" customHeight="1" x14ac:dyDescent="0.25"/>
    <row r="47" ht="12.75" customHeight="1" x14ac:dyDescent="0.25"/>
    <row r="48"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sheetData>
  <pageMargins left="0.7" right="0.7" top="0.78740157499999996" bottom="0.78740157499999996"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A99"/>
  <sheetViews>
    <sheetView topLeftCell="A13" workbookViewId="0"/>
  </sheetViews>
  <sheetFormatPr defaultRowHeight="15" x14ac:dyDescent="0.25"/>
  <cols>
    <col min="1" max="1" width="3.28515625" style="129" customWidth="1"/>
    <col min="2" max="12" width="9.140625" style="129"/>
    <col min="13" max="13" width="4.7109375" style="129" customWidth="1"/>
    <col min="14" max="24" width="9.140625" style="129"/>
    <col min="25" max="25" width="4.85546875" style="129" customWidth="1"/>
    <col min="26" max="16384" width="9.140625" style="129"/>
  </cols>
  <sheetData>
    <row r="1" spans="1:1" ht="12.75" customHeight="1" x14ac:dyDescent="0.25">
      <c r="A1" s="778" t="s">
        <v>1175</v>
      </c>
    </row>
    <row r="2" spans="1:1" ht="12.75" customHeight="1" x14ac:dyDescent="0.25"/>
    <row r="3" spans="1:1" ht="12.75" customHeight="1" x14ac:dyDescent="0.25"/>
    <row r="4" spans="1:1" ht="12.75" customHeight="1" x14ac:dyDescent="0.25"/>
    <row r="5" spans="1:1" ht="12.75" customHeight="1" x14ac:dyDescent="0.25"/>
    <row r="6" spans="1:1" ht="12.75" customHeight="1" x14ac:dyDescent="0.25"/>
    <row r="7" spans="1:1" ht="12.75" customHeight="1" x14ac:dyDescent="0.25"/>
    <row r="8" spans="1:1" ht="12.75" customHeight="1" x14ac:dyDescent="0.25"/>
    <row r="9" spans="1:1" ht="12.75" customHeight="1" x14ac:dyDescent="0.25"/>
    <row r="10" spans="1:1" ht="12.75" customHeight="1" x14ac:dyDescent="0.25"/>
    <row r="11" spans="1:1" ht="12.75" customHeight="1" x14ac:dyDescent="0.25"/>
    <row r="12" spans="1:1" ht="12.75" customHeight="1" x14ac:dyDescent="0.25"/>
    <row r="13" spans="1:1" ht="12.75" customHeight="1" x14ac:dyDescent="0.25"/>
    <row r="14" spans="1:1" ht="12.75" customHeight="1" x14ac:dyDescent="0.25"/>
    <row r="15" spans="1:1" ht="12.75" customHeight="1" x14ac:dyDescent="0.25"/>
    <row r="16" spans="1:1" ht="12.75" customHeight="1" x14ac:dyDescent="0.25"/>
    <row r="17" ht="12.75" customHeight="1" x14ac:dyDescent="0.25"/>
    <row r="18" ht="12.75" customHeight="1" x14ac:dyDescent="0.25"/>
    <row r="19" ht="12.75" customHeight="1" x14ac:dyDescent="0.25"/>
    <row r="20" ht="12.75" customHeight="1" x14ac:dyDescent="0.25"/>
    <row r="21" ht="12.75" customHeight="1" x14ac:dyDescent="0.25"/>
    <row r="22" ht="12.75" customHeight="1" x14ac:dyDescent="0.25"/>
    <row r="23" ht="12.75" customHeight="1" x14ac:dyDescent="0.25"/>
    <row r="24" ht="12.75" customHeight="1" x14ac:dyDescent="0.25"/>
    <row r="25" ht="12.75" customHeight="1" x14ac:dyDescent="0.25"/>
    <row r="26" ht="12.75" customHeight="1" x14ac:dyDescent="0.25"/>
    <row r="27" ht="12.75" customHeight="1" x14ac:dyDescent="0.25"/>
    <row r="28" ht="12.75" customHeight="1" x14ac:dyDescent="0.25"/>
    <row r="29" ht="12.75" customHeight="1" x14ac:dyDescent="0.25"/>
    <row r="30" ht="12.75" customHeight="1" x14ac:dyDescent="0.25"/>
    <row r="31" ht="12.75" customHeight="1" x14ac:dyDescent="0.25"/>
    <row r="32" ht="12.75" customHeight="1" x14ac:dyDescent="0.25"/>
    <row r="33" ht="12.75" customHeight="1" x14ac:dyDescent="0.25"/>
    <row r="34" ht="12.75" customHeight="1" x14ac:dyDescent="0.25"/>
    <row r="35" ht="12.75" customHeight="1" x14ac:dyDescent="0.25"/>
    <row r="36" ht="12.75" customHeight="1" x14ac:dyDescent="0.25"/>
    <row r="37" ht="12.75" customHeight="1" x14ac:dyDescent="0.25"/>
    <row r="38" ht="12.75" customHeight="1" x14ac:dyDescent="0.25"/>
    <row r="39" ht="12.75" customHeight="1" x14ac:dyDescent="0.25"/>
    <row r="40" ht="12.75" customHeight="1" x14ac:dyDescent="0.25"/>
    <row r="41" ht="12.75" customHeight="1" x14ac:dyDescent="0.25"/>
    <row r="42" ht="12.75" customHeight="1" x14ac:dyDescent="0.25"/>
    <row r="43" ht="12.75" customHeight="1" x14ac:dyDescent="0.25"/>
    <row r="44" ht="12.75" customHeight="1" x14ac:dyDescent="0.25"/>
    <row r="45" ht="12.75" customHeight="1" x14ac:dyDescent="0.25"/>
    <row r="46" ht="12.75" customHeight="1" x14ac:dyDescent="0.25"/>
    <row r="47" ht="12.75" customHeight="1" x14ac:dyDescent="0.25"/>
    <row r="48"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sheetData>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G98"/>
  <sheetViews>
    <sheetView zoomScaleNormal="100" workbookViewId="0">
      <pane ySplit="5" topLeftCell="A86" activePane="bottomLeft" state="frozenSplit"/>
      <selection pane="bottomLeft" activeCell="E114" sqref="E114"/>
    </sheetView>
  </sheetViews>
  <sheetFormatPr defaultRowHeight="12.75" x14ac:dyDescent="0.25"/>
  <cols>
    <col min="1" max="1" width="60.42578125" style="53" customWidth="1"/>
    <col min="2" max="2" width="13.85546875" style="134" customWidth="1"/>
    <col min="3" max="3" width="9.140625" style="134"/>
    <col min="4" max="4" width="12.5703125" style="187" customWidth="1"/>
    <col min="5" max="5" width="15.140625" style="187" customWidth="1"/>
    <col min="6" max="16384" width="9.140625" style="31"/>
  </cols>
  <sheetData>
    <row r="1" spans="1:7" ht="15.75" x14ac:dyDescent="0.25">
      <c r="A1" s="1224" t="s">
        <v>776</v>
      </c>
      <c r="B1" s="1224"/>
      <c r="C1" s="1224"/>
      <c r="D1" s="1224"/>
      <c r="E1" s="1224"/>
    </row>
    <row r="2" spans="1:7" ht="12.75" customHeight="1" thickBot="1" x14ac:dyDescent="0.3">
      <c r="A2" s="1225"/>
      <c r="B2" s="1225"/>
      <c r="C2" s="1225"/>
      <c r="D2" s="1225"/>
      <c r="E2" s="1225"/>
    </row>
    <row r="3" spans="1:7" ht="27.95" customHeight="1" thickBot="1" x14ac:dyDescent="0.3">
      <c r="A3" s="1232" t="s">
        <v>639</v>
      </c>
      <c r="B3" s="1233"/>
      <c r="C3" s="1233"/>
      <c r="D3" s="1233"/>
      <c r="E3" s="1234"/>
      <c r="F3" s="130"/>
    </row>
    <row r="4" spans="1:7" ht="15" customHeight="1" thickBot="1" x14ac:dyDescent="0.3">
      <c r="A4" s="1212" t="s">
        <v>586</v>
      </c>
      <c r="B4" s="1213"/>
      <c r="C4" s="1213"/>
      <c r="D4" s="1213"/>
      <c r="E4" s="1214"/>
    </row>
    <row r="5" spans="1:7" s="133" customFormat="1" ht="40.5" customHeight="1" thickBot="1" x14ac:dyDescent="0.3">
      <c r="A5" s="57" t="s">
        <v>587</v>
      </c>
      <c r="B5" s="58" t="s">
        <v>634</v>
      </c>
      <c r="C5" s="59" t="s">
        <v>640</v>
      </c>
      <c r="D5" s="188" t="s">
        <v>790</v>
      </c>
      <c r="E5" s="189" t="s">
        <v>791</v>
      </c>
      <c r="F5" s="135"/>
    </row>
    <row r="6" spans="1:7" s="133" customFormat="1" ht="12.75" customHeight="1" x14ac:dyDescent="0.25">
      <c r="A6" s="162" t="s">
        <v>374</v>
      </c>
      <c r="B6" s="1226"/>
      <c r="C6" s="1227"/>
      <c r="D6" s="190" t="s">
        <v>565</v>
      </c>
      <c r="E6" s="191" t="s">
        <v>487</v>
      </c>
      <c r="F6" s="132"/>
    </row>
    <row r="7" spans="1:7" x14ac:dyDescent="0.25">
      <c r="A7" s="50" t="s">
        <v>375</v>
      </c>
      <c r="B7" s="136" t="s">
        <v>376</v>
      </c>
      <c r="C7" s="137" t="s">
        <v>2</v>
      </c>
      <c r="D7" s="192">
        <f>SUM(D8:D11)</f>
        <v>101981</v>
      </c>
      <c r="E7" s="193">
        <f>SUM(E8:E11)</f>
        <v>2359</v>
      </c>
      <c r="F7" s="138"/>
      <c r="G7" s="187"/>
    </row>
    <row r="8" spans="1:7" x14ac:dyDescent="0.25">
      <c r="A8" s="39" t="s">
        <v>377</v>
      </c>
      <c r="B8" s="139">
        <v>501</v>
      </c>
      <c r="C8" s="140" t="s">
        <v>5</v>
      </c>
      <c r="D8" s="194">
        <v>68087</v>
      </c>
      <c r="E8" s="195">
        <v>1692</v>
      </c>
      <c r="F8" s="138"/>
      <c r="G8" s="187"/>
    </row>
    <row r="9" spans="1:7" x14ac:dyDescent="0.25">
      <c r="A9" s="39" t="s">
        <v>378</v>
      </c>
      <c r="B9" s="139">
        <v>502</v>
      </c>
      <c r="C9" s="140" t="s">
        <v>8</v>
      </c>
      <c r="D9" s="194">
        <v>33106</v>
      </c>
      <c r="E9" s="195">
        <v>667</v>
      </c>
      <c r="F9" s="138"/>
      <c r="G9" s="187"/>
    </row>
    <row r="10" spans="1:7" x14ac:dyDescent="0.25">
      <c r="A10" s="39" t="s">
        <v>379</v>
      </c>
      <c r="B10" s="139">
        <v>503</v>
      </c>
      <c r="C10" s="140" t="s">
        <v>11</v>
      </c>
      <c r="D10" s="194">
        <v>0</v>
      </c>
      <c r="E10" s="195">
        <v>0</v>
      </c>
      <c r="F10" s="138"/>
      <c r="G10" s="187"/>
    </row>
    <row r="11" spans="1:7" x14ac:dyDescent="0.25">
      <c r="A11" s="39" t="s">
        <v>380</v>
      </c>
      <c r="B11" s="139">
        <v>504</v>
      </c>
      <c r="C11" s="140" t="s">
        <v>14</v>
      </c>
      <c r="D11" s="194">
        <v>788</v>
      </c>
      <c r="E11" s="195">
        <v>0</v>
      </c>
      <c r="F11" s="138"/>
      <c r="G11" s="187"/>
    </row>
    <row r="12" spans="1:7" x14ac:dyDescent="0.25">
      <c r="A12" s="39" t="s">
        <v>1263</v>
      </c>
      <c r="B12" s="139" t="s">
        <v>381</v>
      </c>
      <c r="C12" s="140" t="s">
        <v>17</v>
      </c>
      <c r="D12" s="196">
        <f>SUM(D13:D16)</f>
        <v>98101</v>
      </c>
      <c r="E12" s="197">
        <f>SUM(E13:E16)</f>
        <v>1678</v>
      </c>
      <c r="F12" s="138"/>
      <c r="G12" s="187"/>
    </row>
    <row r="13" spans="1:7" x14ac:dyDescent="0.25">
      <c r="A13" s="39" t="s">
        <v>382</v>
      </c>
      <c r="B13" s="139">
        <v>511</v>
      </c>
      <c r="C13" s="140" t="s">
        <v>20</v>
      </c>
      <c r="D13" s="194">
        <v>22004</v>
      </c>
      <c r="E13" s="195">
        <v>153</v>
      </c>
      <c r="F13" s="138"/>
      <c r="G13" s="187"/>
    </row>
    <row r="14" spans="1:7" x14ac:dyDescent="0.25">
      <c r="A14" s="39" t="s">
        <v>383</v>
      </c>
      <c r="B14" s="139">
        <v>512</v>
      </c>
      <c r="C14" s="140" t="s">
        <v>23</v>
      </c>
      <c r="D14" s="194">
        <v>20671</v>
      </c>
      <c r="E14" s="195">
        <v>140</v>
      </c>
      <c r="F14" s="138"/>
      <c r="G14" s="187"/>
    </row>
    <row r="15" spans="1:7" x14ac:dyDescent="0.25">
      <c r="A15" s="39" t="s">
        <v>384</v>
      </c>
      <c r="B15" s="139">
        <v>513</v>
      </c>
      <c r="C15" s="140" t="s">
        <v>26</v>
      </c>
      <c r="D15" s="194">
        <v>1930</v>
      </c>
      <c r="E15" s="195">
        <v>1</v>
      </c>
      <c r="F15" s="138"/>
      <c r="G15" s="187"/>
    </row>
    <row r="16" spans="1:7" x14ac:dyDescent="0.25">
      <c r="A16" s="39" t="s">
        <v>385</v>
      </c>
      <c r="B16" s="139">
        <v>518</v>
      </c>
      <c r="C16" s="140" t="s">
        <v>29</v>
      </c>
      <c r="D16" s="194">
        <v>53496</v>
      </c>
      <c r="E16" s="195">
        <v>1384</v>
      </c>
      <c r="F16" s="138"/>
      <c r="G16" s="187"/>
    </row>
    <row r="17" spans="1:7" x14ac:dyDescent="0.25">
      <c r="A17" s="39" t="s">
        <v>1264</v>
      </c>
      <c r="B17" s="139" t="s">
        <v>386</v>
      </c>
      <c r="C17" s="140" t="s">
        <v>32</v>
      </c>
      <c r="D17" s="196">
        <f>SUM(D18:D22)</f>
        <v>581158</v>
      </c>
      <c r="E17" s="197">
        <f>SUM(E18:E22)</f>
        <v>8943</v>
      </c>
      <c r="F17" s="138"/>
      <c r="G17" s="187"/>
    </row>
    <row r="18" spans="1:7" x14ac:dyDescent="0.25">
      <c r="A18" s="39" t="s">
        <v>387</v>
      </c>
      <c r="B18" s="139">
        <v>521</v>
      </c>
      <c r="C18" s="140" t="s">
        <v>34</v>
      </c>
      <c r="D18" s="194">
        <v>436190</v>
      </c>
      <c r="E18" s="195">
        <v>6934</v>
      </c>
      <c r="F18" s="138"/>
      <c r="G18" s="187"/>
    </row>
    <row r="19" spans="1:7" x14ac:dyDescent="0.25">
      <c r="A19" s="39" t="s">
        <v>388</v>
      </c>
      <c r="B19" s="139">
        <v>524</v>
      </c>
      <c r="C19" s="140" t="s">
        <v>37</v>
      </c>
      <c r="D19" s="194">
        <v>141262</v>
      </c>
      <c r="E19" s="195">
        <v>2009</v>
      </c>
      <c r="F19" s="138"/>
      <c r="G19" s="187"/>
    </row>
    <row r="20" spans="1:7" x14ac:dyDescent="0.25">
      <c r="A20" s="39" t="s">
        <v>389</v>
      </c>
      <c r="B20" s="139">
        <v>525</v>
      </c>
      <c r="C20" s="140" t="s">
        <v>40</v>
      </c>
      <c r="D20" s="194">
        <v>0</v>
      </c>
      <c r="E20" s="195">
        <v>0</v>
      </c>
      <c r="F20" s="138"/>
      <c r="G20" s="187"/>
    </row>
    <row r="21" spans="1:7" x14ac:dyDescent="0.25">
      <c r="A21" s="39" t="s">
        <v>390</v>
      </c>
      <c r="B21" s="139">
        <v>527</v>
      </c>
      <c r="C21" s="140" t="s">
        <v>43</v>
      </c>
      <c r="D21" s="194">
        <v>3706</v>
      </c>
      <c r="E21" s="195">
        <v>0</v>
      </c>
      <c r="F21" s="138"/>
      <c r="G21" s="187"/>
    </row>
    <row r="22" spans="1:7" x14ac:dyDescent="0.25">
      <c r="A22" s="39" t="s">
        <v>391</v>
      </c>
      <c r="B22" s="139">
        <v>528</v>
      </c>
      <c r="C22" s="140" t="s">
        <v>46</v>
      </c>
      <c r="D22" s="194">
        <v>0</v>
      </c>
      <c r="E22" s="195">
        <v>0</v>
      </c>
      <c r="F22" s="138"/>
      <c r="G22" s="187"/>
    </row>
    <row r="23" spans="1:7" x14ac:dyDescent="0.25">
      <c r="A23" s="39" t="s">
        <v>1265</v>
      </c>
      <c r="B23" s="139" t="s">
        <v>392</v>
      </c>
      <c r="C23" s="140" t="s">
        <v>49</v>
      </c>
      <c r="D23" s="196">
        <f>SUM(D24:D26)</f>
        <v>335</v>
      </c>
      <c r="E23" s="197">
        <f>SUM(E24:E26)</f>
        <v>0</v>
      </c>
      <c r="F23" s="138"/>
      <c r="G23" s="187"/>
    </row>
    <row r="24" spans="1:7" x14ac:dyDescent="0.25">
      <c r="A24" s="39" t="s">
        <v>393</v>
      </c>
      <c r="B24" s="139">
        <v>531</v>
      </c>
      <c r="C24" s="140" t="s">
        <v>52</v>
      </c>
      <c r="D24" s="194">
        <v>64</v>
      </c>
      <c r="E24" s="195">
        <v>0</v>
      </c>
      <c r="F24" s="138"/>
      <c r="G24" s="187"/>
    </row>
    <row r="25" spans="1:7" x14ac:dyDescent="0.25">
      <c r="A25" s="39" t="s">
        <v>394</v>
      </c>
      <c r="B25" s="139">
        <v>532</v>
      </c>
      <c r="C25" s="140" t="s">
        <v>55</v>
      </c>
      <c r="D25" s="194">
        <v>71</v>
      </c>
      <c r="E25" s="195">
        <v>0</v>
      </c>
      <c r="F25" s="138"/>
      <c r="G25" s="187"/>
    </row>
    <row r="26" spans="1:7" x14ac:dyDescent="0.25">
      <c r="A26" s="39" t="s">
        <v>395</v>
      </c>
      <c r="B26" s="139">
        <v>538</v>
      </c>
      <c r="C26" s="140" t="s">
        <v>57</v>
      </c>
      <c r="D26" s="194">
        <v>200</v>
      </c>
      <c r="E26" s="195">
        <v>0</v>
      </c>
      <c r="F26" s="138"/>
      <c r="G26" s="187"/>
    </row>
    <row r="27" spans="1:7" x14ac:dyDescent="0.25">
      <c r="A27" s="39" t="s">
        <v>1266</v>
      </c>
      <c r="B27" s="139" t="s">
        <v>396</v>
      </c>
      <c r="C27" s="140" t="s">
        <v>60</v>
      </c>
      <c r="D27" s="196">
        <f>SUM(D28:D35)</f>
        <v>288116</v>
      </c>
      <c r="E27" s="197">
        <f>SUM(E28:E35)</f>
        <v>3176</v>
      </c>
      <c r="F27" s="138"/>
      <c r="G27" s="187"/>
    </row>
    <row r="28" spans="1:7" x14ac:dyDescent="0.25">
      <c r="A28" s="39" t="s">
        <v>397</v>
      </c>
      <c r="B28" s="139">
        <v>541</v>
      </c>
      <c r="C28" s="140" t="s">
        <v>63</v>
      </c>
      <c r="D28" s="194">
        <v>0</v>
      </c>
      <c r="E28" s="195">
        <v>0</v>
      </c>
      <c r="F28" s="138"/>
      <c r="G28" s="187"/>
    </row>
    <row r="29" spans="1:7" x14ac:dyDescent="0.25">
      <c r="A29" s="39" t="s">
        <v>398</v>
      </c>
      <c r="B29" s="139">
        <v>542</v>
      </c>
      <c r="C29" s="140" t="s">
        <v>66</v>
      </c>
      <c r="D29" s="194">
        <v>1069</v>
      </c>
      <c r="E29" s="195">
        <v>0</v>
      </c>
      <c r="F29" s="138"/>
      <c r="G29" s="187"/>
    </row>
    <row r="30" spans="1:7" x14ac:dyDescent="0.25">
      <c r="A30" s="39" t="s">
        <v>399</v>
      </c>
      <c r="B30" s="139">
        <v>543</v>
      </c>
      <c r="C30" s="140" t="s">
        <v>69</v>
      </c>
      <c r="D30" s="194">
        <v>31</v>
      </c>
      <c r="E30" s="195">
        <v>0</v>
      </c>
      <c r="F30" s="138"/>
      <c r="G30" s="187"/>
    </row>
    <row r="31" spans="1:7" x14ac:dyDescent="0.25">
      <c r="A31" s="39" t="s">
        <v>400</v>
      </c>
      <c r="B31" s="139">
        <v>544</v>
      </c>
      <c r="C31" s="140" t="s">
        <v>72</v>
      </c>
      <c r="D31" s="194">
        <v>17</v>
      </c>
      <c r="E31" s="195">
        <v>0</v>
      </c>
      <c r="F31" s="138"/>
      <c r="G31" s="187"/>
    </row>
    <row r="32" spans="1:7" x14ac:dyDescent="0.25">
      <c r="A32" s="39" t="s">
        <v>401</v>
      </c>
      <c r="B32" s="139">
        <v>545</v>
      </c>
      <c r="C32" s="140" t="s">
        <v>75</v>
      </c>
      <c r="D32" s="194">
        <v>250</v>
      </c>
      <c r="E32" s="195">
        <v>5</v>
      </c>
      <c r="F32" s="138"/>
      <c r="G32" s="187"/>
    </row>
    <row r="33" spans="1:7" x14ac:dyDescent="0.25">
      <c r="A33" s="39" t="s">
        <v>402</v>
      </c>
      <c r="B33" s="139">
        <v>546</v>
      </c>
      <c r="C33" s="140" t="s">
        <v>78</v>
      </c>
      <c r="D33" s="194">
        <v>13</v>
      </c>
      <c r="E33" s="195">
        <v>2</v>
      </c>
      <c r="F33" s="138"/>
      <c r="G33" s="187"/>
    </row>
    <row r="34" spans="1:7" x14ac:dyDescent="0.25">
      <c r="A34" s="39" t="s">
        <v>403</v>
      </c>
      <c r="B34" s="139">
        <v>548</v>
      </c>
      <c r="C34" s="140" t="s">
        <v>80</v>
      </c>
      <c r="D34" s="194">
        <v>0</v>
      </c>
      <c r="E34" s="195">
        <v>0</v>
      </c>
      <c r="F34" s="138"/>
      <c r="G34" s="187"/>
    </row>
    <row r="35" spans="1:7" x14ac:dyDescent="0.25">
      <c r="A35" s="39" t="s">
        <v>404</v>
      </c>
      <c r="B35" s="139">
        <v>549</v>
      </c>
      <c r="C35" s="140" t="s">
        <v>83</v>
      </c>
      <c r="D35" s="194">
        <v>286736</v>
      </c>
      <c r="E35" s="195">
        <v>3169</v>
      </c>
      <c r="F35" s="138"/>
      <c r="G35" s="187"/>
    </row>
    <row r="36" spans="1:7" ht="12.75" customHeight="1" x14ac:dyDescent="0.25">
      <c r="A36" s="39" t="s">
        <v>1267</v>
      </c>
      <c r="B36" s="139" t="s">
        <v>405</v>
      </c>
      <c r="C36" s="140" t="s">
        <v>86</v>
      </c>
      <c r="D36" s="196">
        <f>SUM(D37:D42)</f>
        <v>178190</v>
      </c>
      <c r="E36" s="197">
        <f>SUM(E37:E42)</f>
        <v>0</v>
      </c>
      <c r="F36" s="138"/>
      <c r="G36" s="187"/>
    </row>
    <row r="37" spans="1:7" x14ac:dyDescent="0.25">
      <c r="A37" s="39" t="s">
        <v>672</v>
      </c>
      <c r="B37" s="139">
        <v>551</v>
      </c>
      <c r="C37" s="140" t="s">
        <v>89</v>
      </c>
      <c r="D37" s="194">
        <v>177190</v>
      </c>
      <c r="E37" s="195">
        <v>0</v>
      </c>
      <c r="F37" s="138"/>
      <c r="G37" s="187"/>
    </row>
    <row r="38" spans="1:7" ht="12.75" customHeight="1" x14ac:dyDescent="0.25">
      <c r="A38" s="39" t="s">
        <v>1277</v>
      </c>
      <c r="B38" s="139">
        <v>552</v>
      </c>
      <c r="C38" s="140" t="s">
        <v>92</v>
      </c>
      <c r="D38" s="194">
        <v>0</v>
      </c>
      <c r="E38" s="195">
        <v>0</v>
      </c>
      <c r="F38" s="138"/>
      <c r="G38" s="187"/>
    </row>
    <row r="39" spans="1:7" x14ac:dyDescent="0.25">
      <c r="A39" s="39" t="s">
        <v>406</v>
      </c>
      <c r="B39" s="139">
        <v>553</v>
      </c>
      <c r="C39" s="140" t="s">
        <v>94</v>
      </c>
      <c r="D39" s="194">
        <v>0</v>
      </c>
      <c r="E39" s="195">
        <v>0</v>
      </c>
      <c r="F39" s="138"/>
      <c r="G39" s="187"/>
    </row>
    <row r="40" spans="1:7" x14ac:dyDescent="0.25">
      <c r="A40" s="39" t="s">
        <v>407</v>
      </c>
      <c r="B40" s="139">
        <v>554</v>
      </c>
      <c r="C40" s="140" t="s">
        <v>96</v>
      </c>
      <c r="D40" s="194">
        <v>0</v>
      </c>
      <c r="E40" s="195">
        <v>0</v>
      </c>
      <c r="F40" s="138"/>
      <c r="G40" s="187"/>
    </row>
    <row r="41" spans="1:7" x14ac:dyDescent="0.25">
      <c r="A41" s="39" t="s">
        <v>408</v>
      </c>
      <c r="B41" s="139">
        <v>556</v>
      </c>
      <c r="C41" s="140" t="s">
        <v>99</v>
      </c>
      <c r="D41" s="194">
        <v>1000</v>
      </c>
      <c r="E41" s="195">
        <v>0</v>
      </c>
      <c r="F41" s="138"/>
      <c r="G41" s="187"/>
    </row>
    <row r="42" spans="1:7" x14ac:dyDescent="0.25">
      <c r="A42" s="39" t="s">
        <v>409</v>
      </c>
      <c r="B42" s="139">
        <v>559</v>
      </c>
      <c r="C42" s="140" t="s">
        <v>101</v>
      </c>
      <c r="D42" s="194">
        <v>0</v>
      </c>
      <c r="E42" s="195">
        <v>0</v>
      </c>
      <c r="F42" s="138"/>
      <c r="G42" s="187"/>
    </row>
    <row r="43" spans="1:7" x14ac:dyDescent="0.25">
      <c r="A43" s="39" t="s">
        <v>1268</v>
      </c>
      <c r="B43" s="139" t="s">
        <v>410</v>
      </c>
      <c r="C43" s="140" t="s">
        <v>104</v>
      </c>
      <c r="D43" s="196">
        <f>SUM(D44:D45)</f>
        <v>17838</v>
      </c>
      <c r="E43" s="197">
        <f>SUM(E44:E45)</f>
        <v>0</v>
      </c>
      <c r="F43" s="138"/>
      <c r="G43" s="187"/>
    </row>
    <row r="44" spans="1:7" x14ac:dyDescent="0.25">
      <c r="A44" s="39" t="s">
        <v>673</v>
      </c>
      <c r="B44" s="139">
        <v>581</v>
      </c>
      <c r="C44" s="140" t="s">
        <v>107</v>
      </c>
      <c r="D44" s="194">
        <v>0</v>
      </c>
      <c r="E44" s="195">
        <v>0</v>
      </c>
      <c r="F44" s="138"/>
      <c r="G44" s="187"/>
    </row>
    <row r="45" spans="1:7" x14ac:dyDescent="0.25">
      <c r="A45" s="39" t="s">
        <v>411</v>
      </c>
      <c r="B45" s="139">
        <v>582</v>
      </c>
      <c r="C45" s="140" t="s">
        <v>109</v>
      </c>
      <c r="D45" s="194">
        <v>17838</v>
      </c>
      <c r="E45" s="195">
        <v>0</v>
      </c>
      <c r="F45" s="138"/>
      <c r="G45" s="187"/>
    </row>
    <row r="46" spans="1:7" x14ac:dyDescent="0.25">
      <c r="A46" s="39" t="s">
        <v>1269</v>
      </c>
      <c r="B46" s="139" t="s">
        <v>412</v>
      </c>
      <c r="C46" s="140" t="s">
        <v>111</v>
      </c>
      <c r="D46" s="196">
        <f>D47</f>
        <v>0</v>
      </c>
      <c r="E46" s="197">
        <f>E47</f>
        <v>0</v>
      </c>
      <c r="F46" s="138"/>
      <c r="G46" s="187"/>
    </row>
    <row r="47" spans="1:7" x14ac:dyDescent="0.25">
      <c r="A47" s="39" t="s">
        <v>413</v>
      </c>
      <c r="B47" s="139">
        <v>595</v>
      </c>
      <c r="C47" s="140" t="s">
        <v>114</v>
      </c>
      <c r="D47" s="194">
        <v>0</v>
      </c>
      <c r="E47" s="195">
        <v>0</v>
      </c>
      <c r="F47" s="138"/>
      <c r="G47" s="187"/>
    </row>
    <row r="48" spans="1:7" ht="23.25" customHeight="1" thickBot="1" x14ac:dyDescent="0.3">
      <c r="A48" s="43" t="s">
        <v>414</v>
      </c>
      <c r="B48" s="141" t="s">
        <v>415</v>
      </c>
      <c r="C48" s="142" t="s">
        <v>117</v>
      </c>
      <c r="D48" s="198">
        <f>D7+D12+D17+D23+D27+D36+D43+D46</f>
        <v>1265719</v>
      </c>
      <c r="E48" s="199">
        <f>E7+E12+E17+E23+E27+E36+E43+E46</f>
        <v>16156</v>
      </c>
      <c r="F48" s="138"/>
      <c r="G48" s="187"/>
    </row>
    <row r="49" spans="1:7" ht="12.75" customHeight="1" thickBot="1" x14ac:dyDescent="0.3">
      <c r="A49" s="1235" t="s">
        <v>416</v>
      </c>
      <c r="B49" s="1236"/>
      <c r="C49" s="1236"/>
      <c r="D49" s="1236"/>
      <c r="E49" s="1237"/>
      <c r="F49" s="135"/>
      <c r="G49" s="187"/>
    </row>
    <row r="50" spans="1:7" x14ac:dyDescent="0.25">
      <c r="A50" s="50" t="s">
        <v>1270</v>
      </c>
      <c r="B50" s="143" t="s">
        <v>417</v>
      </c>
      <c r="C50" s="137" t="s">
        <v>120</v>
      </c>
      <c r="D50" s="192">
        <f>SUM(D51:D53)</f>
        <v>58927</v>
      </c>
      <c r="E50" s="193">
        <f>SUM(E51:E53)</f>
        <v>17621</v>
      </c>
      <c r="F50" s="138"/>
      <c r="G50" s="187"/>
    </row>
    <row r="51" spans="1:7" x14ac:dyDescent="0.25">
      <c r="A51" s="39" t="s">
        <v>418</v>
      </c>
      <c r="B51" s="144">
        <v>601</v>
      </c>
      <c r="C51" s="140" t="s">
        <v>123</v>
      </c>
      <c r="D51" s="194">
        <v>0</v>
      </c>
      <c r="E51" s="195">
        <v>0</v>
      </c>
      <c r="F51" s="138"/>
      <c r="G51" s="187"/>
    </row>
    <row r="52" spans="1:7" x14ac:dyDescent="0.25">
      <c r="A52" s="39" t="s">
        <v>419</v>
      </c>
      <c r="B52" s="144">
        <v>602</v>
      </c>
      <c r="C52" s="140" t="s">
        <v>126</v>
      </c>
      <c r="D52" s="194">
        <v>58161</v>
      </c>
      <c r="E52" s="195">
        <v>17621</v>
      </c>
      <c r="F52" s="138"/>
      <c r="G52" s="187"/>
    </row>
    <row r="53" spans="1:7" x14ac:dyDescent="0.25">
      <c r="A53" s="39" t="s">
        <v>420</v>
      </c>
      <c r="B53" s="144">
        <v>604</v>
      </c>
      <c r="C53" s="140" t="s">
        <v>129</v>
      </c>
      <c r="D53" s="194">
        <v>766</v>
      </c>
      <c r="E53" s="195">
        <v>0</v>
      </c>
      <c r="F53" s="138"/>
      <c r="G53" s="187"/>
    </row>
    <row r="54" spans="1:7" x14ac:dyDescent="0.25">
      <c r="A54" s="39" t="s">
        <v>1271</v>
      </c>
      <c r="B54" s="144" t="s">
        <v>421</v>
      </c>
      <c r="C54" s="140" t="s">
        <v>132</v>
      </c>
      <c r="D54" s="196">
        <f>SUM(D55:D58)</f>
        <v>0</v>
      </c>
      <c r="E54" s="197">
        <f>SUM(E55:E58)</f>
        <v>79</v>
      </c>
      <c r="F54" s="138"/>
      <c r="G54" s="187"/>
    </row>
    <row r="55" spans="1:7" x14ac:dyDescent="0.25">
      <c r="A55" s="39" t="s">
        <v>422</v>
      </c>
      <c r="B55" s="144">
        <v>611</v>
      </c>
      <c r="C55" s="140" t="s">
        <v>135</v>
      </c>
      <c r="D55" s="194">
        <v>0</v>
      </c>
      <c r="E55" s="195">
        <v>79</v>
      </c>
      <c r="F55" s="138"/>
      <c r="G55" s="187"/>
    </row>
    <row r="56" spans="1:7" x14ac:dyDescent="0.25">
      <c r="A56" s="39" t="s">
        <v>423</v>
      </c>
      <c r="B56" s="144">
        <v>612</v>
      </c>
      <c r="C56" s="140" t="s">
        <v>138</v>
      </c>
      <c r="D56" s="194">
        <v>0</v>
      </c>
      <c r="E56" s="195">
        <v>0</v>
      </c>
      <c r="F56" s="138"/>
      <c r="G56" s="187"/>
    </row>
    <row r="57" spans="1:7" x14ac:dyDescent="0.25">
      <c r="A57" s="39" t="s">
        <v>424</v>
      </c>
      <c r="B57" s="144">
        <v>613</v>
      </c>
      <c r="C57" s="140" t="s">
        <v>141</v>
      </c>
      <c r="D57" s="194">
        <v>0</v>
      </c>
      <c r="E57" s="195">
        <v>0</v>
      </c>
      <c r="F57" s="138"/>
      <c r="G57" s="187"/>
    </row>
    <row r="58" spans="1:7" x14ac:dyDescent="0.25">
      <c r="A58" s="39" t="s">
        <v>425</v>
      </c>
      <c r="B58" s="144">
        <v>614</v>
      </c>
      <c r="C58" s="140" t="s">
        <v>144</v>
      </c>
      <c r="D58" s="194">
        <v>0</v>
      </c>
      <c r="E58" s="195">
        <v>0</v>
      </c>
      <c r="F58" s="138"/>
      <c r="G58" s="187"/>
    </row>
    <row r="59" spans="1:7" x14ac:dyDescent="0.25">
      <c r="A59" s="39" t="s">
        <v>1272</v>
      </c>
      <c r="B59" s="144" t="s">
        <v>426</v>
      </c>
      <c r="C59" s="140" t="s">
        <v>147</v>
      </c>
      <c r="D59" s="196">
        <f>SUM(D60:D63)</f>
        <v>1924</v>
      </c>
      <c r="E59" s="197">
        <f>SUM(E60:E63)</f>
        <v>0</v>
      </c>
      <c r="F59" s="138"/>
      <c r="G59" s="187"/>
    </row>
    <row r="60" spans="1:7" x14ac:dyDescent="0.25">
      <c r="A60" s="39" t="s">
        <v>427</v>
      </c>
      <c r="B60" s="144">
        <v>621</v>
      </c>
      <c r="C60" s="140" t="s">
        <v>150</v>
      </c>
      <c r="D60" s="194">
        <v>1924</v>
      </c>
      <c r="E60" s="195">
        <v>0</v>
      </c>
      <c r="F60" s="138"/>
      <c r="G60" s="187"/>
    </row>
    <row r="61" spans="1:7" x14ac:dyDescent="0.25">
      <c r="A61" s="39" t="s">
        <v>428</v>
      </c>
      <c r="B61" s="144">
        <v>622</v>
      </c>
      <c r="C61" s="140" t="s">
        <v>153</v>
      </c>
      <c r="D61" s="194">
        <v>0</v>
      </c>
      <c r="E61" s="195">
        <v>0</v>
      </c>
      <c r="F61" s="138"/>
      <c r="G61" s="187"/>
    </row>
    <row r="62" spans="1:7" x14ac:dyDescent="0.25">
      <c r="A62" s="39" t="s">
        <v>429</v>
      </c>
      <c r="B62" s="144">
        <v>623</v>
      </c>
      <c r="C62" s="140" t="s">
        <v>156</v>
      </c>
      <c r="D62" s="194">
        <v>0</v>
      </c>
      <c r="E62" s="195">
        <v>0</v>
      </c>
      <c r="F62" s="138"/>
      <c r="G62" s="187"/>
    </row>
    <row r="63" spans="1:7" x14ac:dyDescent="0.25">
      <c r="A63" s="39" t="s">
        <v>430</v>
      </c>
      <c r="B63" s="144">
        <v>624</v>
      </c>
      <c r="C63" s="140" t="s">
        <v>158</v>
      </c>
      <c r="D63" s="194">
        <v>0</v>
      </c>
      <c r="E63" s="195">
        <v>0</v>
      </c>
      <c r="F63" s="138"/>
      <c r="G63" s="187"/>
    </row>
    <row r="64" spans="1:7" x14ac:dyDescent="0.25">
      <c r="A64" s="39" t="s">
        <v>1273</v>
      </c>
      <c r="B64" s="144" t="s">
        <v>431</v>
      </c>
      <c r="C64" s="140" t="s">
        <v>161</v>
      </c>
      <c r="D64" s="196">
        <f>SUM(D65:D71)</f>
        <v>395634</v>
      </c>
      <c r="E64" s="197">
        <f>SUM(E65:E71)</f>
        <v>712</v>
      </c>
      <c r="F64" s="138"/>
      <c r="G64" s="187"/>
    </row>
    <row r="65" spans="1:7" x14ac:dyDescent="0.25">
      <c r="A65" s="39" t="s">
        <v>432</v>
      </c>
      <c r="B65" s="144">
        <v>641</v>
      </c>
      <c r="C65" s="140" t="s">
        <v>164</v>
      </c>
      <c r="D65" s="194">
        <v>372</v>
      </c>
      <c r="E65" s="195">
        <v>0</v>
      </c>
      <c r="F65" s="138"/>
      <c r="G65" s="187"/>
    </row>
    <row r="66" spans="1:7" x14ac:dyDescent="0.25">
      <c r="A66" s="39" t="s">
        <v>433</v>
      </c>
      <c r="B66" s="144">
        <v>642</v>
      </c>
      <c r="C66" s="140" t="s">
        <v>166</v>
      </c>
      <c r="D66" s="194">
        <v>0</v>
      </c>
      <c r="E66" s="195">
        <v>0</v>
      </c>
      <c r="F66" s="138"/>
      <c r="G66" s="187"/>
    </row>
    <row r="67" spans="1:7" x14ac:dyDescent="0.25">
      <c r="A67" s="39" t="s">
        <v>434</v>
      </c>
      <c r="B67" s="144">
        <v>643</v>
      </c>
      <c r="C67" s="140" t="s">
        <v>169</v>
      </c>
      <c r="D67" s="194">
        <v>0</v>
      </c>
      <c r="E67" s="195">
        <v>0</v>
      </c>
      <c r="F67" s="138"/>
      <c r="G67" s="187"/>
    </row>
    <row r="68" spans="1:7" x14ac:dyDescent="0.25">
      <c r="A68" s="39" t="s">
        <v>435</v>
      </c>
      <c r="B68" s="144">
        <v>644</v>
      </c>
      <c r="C68" s="140" t="s">
        <v>172</v>
      </c>
      <c r="D68" s="194">
        <v>848</v>
      </c>
      <c r="E68" s="195">
        <v>0</v>
      </c>
      <c r="F68" s="138"/>
      <c r="G68" s="187"/>
    </row>
    <row r="69" spans="1:7" x14ac:dyDescent="0.25">
      <c r="A69" s="39" t="s">
        <v>436</v>
      </c>
      <c r="B69" s="144">
        <v>645</v>
      </c>
      <c r="C69" s="140" t="s">
        <v>175</v>
      </c>
      <c r="D69" s="194">
        <v>13</v>
      </c>
      <c r="E69" s="195">
        <v>0</v>
      </c>
      <c r="F69" s="138"/>
      <c r="G69" s="187"/>
    </row>
    <row r="70" spans="1:7" x14ac:dyDescent="0.25">
      <c r="A70" s="39" t="s">
        <v>437</v>
      </c>
      <c r="B70" s="144">
        <v>648</v>
      </c>
      <c r="C70" s="140" t="s">
        <v>178</v>
      </c>
      <c r="D70" s="194">
        <v>186761</v>
      </c>
      <c r="E70" s="195">
        <v>0</v>
      </c>
      <c r="F70" s="138"/>
      <c r="G70" s="187"/>
    </row>
    <row r="71" spans="1:7" x14ac:dyDescent="0.25">
      <c r="A71" s="39" t="s">
        <v>438</v>
      </c>
      <c r="B71" s="144">
        <v>649</v>
      </c>
      <c r="C71" s="140" t="s">
        <v>180</v>
      </c>
      <c r="D71" s="194">
        <v>207640</v>
      </c>
      <c r="E71" s="195">
        <v>712</v>
      </c>
      <c r="F71" s="138"/>
      <c r="G71" s="187"/>
    </row>
    <row r="72" spans="1:7" ht="12.75" customHeight="1" x14ac:dyDescent="0.25">
      <c r="A72" s="39" t="s">
        <v>1274</v>
      </c>
      <c r="B72" s="144" t="s">
        <v>439</v>
      </c>
      <c r="C72" s="140" t="s">
        <v>182</v>
      </c>
      <c r="D72" s="196">
        <f>SUM(D73:D79)</f>
        <v>2140</v>
      </c>
      <c r="E72" s="197">
        <f>SUM(E73:E79)</f>
        <v>0</v>
      </c>
      <c r="F72" s="138"/>
      <c r="G72" s="187"/>
    </row>
    <row r="73" spans="1:7" ht="12.75" customHeight="1" x14ac:dyDescent="0.25">
      <c r="A73" s="39" t="s">
        <v>1278</v>
      </c>
      <c r="B73" s="144">
        <v>652</v>
      </c>
      <c r="C73" s="140" t="s">
        <v>185</v>
      </c>
      <c r="D73" s="194">
        <v>120</v>
      </c>
      <c r="E73" s="195">
        <v>0</v>
      </c>
      <c r="F73" s="138"/>
      <c r="G73" s="187"/>
    </row>
    <row r="74" spans="1:7" x14ac:dyDescent="0.25">
      <c r="A74" s="39" t="s">
        <v>440</v>
      </c>
      <c r="B74" s="144">
        <v>653</v>
      </c>
      <c r="C74" s="140" t="s">
        <v>187</v>
      </c>
      <c r="D74" s="194">
        <v>0</v>
      </c>
      <c r="E74" s="195">
        <v>0</v>
      </c>
      <c r="F74" s="138"/>
      <c r="G74" s="187"/>
    </row>
    <row r="75" spans="1:7" x14ac:dyDescent="0.25">
      <c r="A75" s="39" t="s">
        <v>441</v>
      </c>
      <c r="B75" s="144">
        <v>654</v>
      </c>
      <c r="C75" s="140" t="s">
        <v>189</v>
      </c>
      <c r="D75" s="194">
        <v>1</v>
      </c>
      <c r="E75" s="195">
        <v>0</v>
      </c>
      <c r="F75" s="138"/>
      <c r="G75" s="187"/>
    </row>
    <row r="76" spans="1:7" x14ac:dyDescent="0.25">
      <c r="A76" s="39" t="s">
        <v>442</v>
      </c>
      <c r="B76" s="144">
        <v>655</v>
      </c>
      <c r="C76" s="140" t="s">
        <v>192</v>
      </c>
      <c r="D76" s="194">
        <v>0</v>
      </c>
      <c r="E76" s="195">
        <v>0</v>
      </c>
      <c r="F76" s="138"/>
      <c r="G76" s="187"/>
    </row>
    <row r="77" spans="1:7" x14ac:dyDescent="0.25">
      <c r="A77" s="39" t="s">
        <v>443</v>
      </c>
      <c r="B77" s="144">
        <v>656</v>
      </c>
      <c r="C77" s="140" t="s">
        <v>195</v>
      </c>
      <c r="D77" s="194">
        <v>2000</v>
      </c>
      <c r="E77" s="195">
        <v>0</v>
      </c>
      <c r="F77" s="138"/>
      <c r="G77" s="187"/>
    </row>
    <row r="78" spans="1:7" x14ac:dyDescent="0.25">
      <c r="A78" s="39" t="s">
        <v>444</v>
      </c>
      <c r="B78" s="144">
        <v>657</v>
      </c>
      <c r="C78" s="140" t="s">
        <v>198</v>
      </c>
      <c r="D78" s="194">
        <v>0</v>
      </c>
      <c r="E78" s="195">
        <v>0</v>
      </c>
      <c r="F78" s="138"/>
      <c r="G78" s="187"/>
    </row>
    <row r="79" spans="1:7" x14ac:dyDescent="0.25">
      <c r="A79" s="39" t="s">
        <v>445</v>
      </c>
      <c r="B79" s="144">
        <v>659</v>
      </c>
      <c r="C79" s="140" t="s">
        <v>201</v>
      </c>
      <c r="D79" s="194">
        <v>19</v>
      </c>
      <c r="E79" s="195">
        <v>0</v>
      </c>
      <c r="F79" s="138"/>
      <c r="G79" s="187"/>
    </row>
    <row r="80" spans="1:7" x14ac:dyDescent="0.25">
      <c r="A80" s="39" t="s">
        <v>1275</v>
      </c>
      <c r="B80" s="144" t="s">
        <v>446</v>
      </c>
      <c r="C80" s="140" t="s">
        <v>204</v>
      </c>
      <c r="D80" s="196">
        <f>SUM(D81:D83)</f>
        <v>30043</v>
      </c>
      <c r="E80" s="197">
        <f>SUM(E81:E83)</f>
        <v>0</v>
      </c>
      <c r="F80" s="138"/>
      <c r="G80" s="187"/>
    </row>
    <row r="81" spans="1:7" x14ac:dyDescent="0.25">
      <c r="A81" s="39" t="s">
        <v>447</v>
      </c>
      <c r="B81" s="144">
        <v>681</v>
      </c>
      <c r="C81" s="140" t="s">
        <v>207</v>
      </c>
      <c r="D81" s="194">
        <v>0</v>
      </c>
      <c r="E81" s="195">
        <v>0</v>
      </c>
      <c r="F81" s="138"/>
      <c r="G81" s="187"/>
    </row>
    <row r="82" spans="1:7" x14ac:dyDescent="0.25">
      <c r="A82" s="39" t="s">
        <v>448</v>
      </c>
      <c r="B82" s="144">
        <v>682</v>
      </c>
      <c r="C82" s="140" t="s">
        <v>210</v>
      </c>
      <c r="D82" s="194">
        <v>30043</v>
      </c>
      <c r="E82" s="195">
        <v>0</v>
      </c>
      <c r="F82" s="138"/>
      <c r="G82" s="187"/>
    </row>
    <row r="83" spans="1:7" x14ac:dyDescent="0.25">
      <c r="A83" s="39" t="s">
        <v>449</v>
      </c>
      <c r="B83" s="144">
        <v>684</v>
      </c>
      <c r="C83" s="140" t="s">
        <v>213</v>
      </c>
      <c r="D83" s="194">
        <v>0</v>
      </c>
      <c r="E83" s="195">
        <v>0</v>
      </c>
      <c r="F83" s="138"/>
      <c r="G83" s="187"/>
    </row>
    <row r="84" spans="1:7" x14ac:dyDescent="0.25">
      <c r="A84" s="39" t="s">
        <v>1276</v>
      </c>
      <c r="B84" s="144" t="s">
        <v>450</v>
      </c>
      <c r="C84" s="140" t="s">
        <v>216</v>
      </c>
      <c r="D84" s="196">
        <f>D85</f>
        <v>784066</v>
      </c>
      <c r="E84" s="197">
        <f>E85</f>
        <v>0</v>
      </c>
      <c r="F84" s="138"/>
      <c r="G84" s="187"/>
    </row>
    <row r="85" spans="1:7" x14ac:dyDescent="0.25">
      <c r="A85" s="39" t="s">
        <v>451</v>
      </c>
      <c r="B85" s="144">
        <v>691</v>
      </c>
      <c r="C85" s="140" t="s">
        <v>219</v>
      </c>
      <c r="D85" s="194">
        <v>784066</v>
      </c>
      <c r="E85" s="195">
        <v>0</v>
      </c>
      <c r="F85" s="138"/>
      <c r="G85" s="187"/>
    </row>
    <row r="86" spans="1:7" ht="25.5" x14ac:dyDescent="0.25">
      <c r="A86" s="39" t="s">
        <v>452</v>
      </c>
      <c r="B86" s="145" t="s">
        <v>638</v>
      </c>
      <c r="C86" s="140" t="s">
        <v>222</v>
      </c>
      <c r="D86" s="196">
        <f>D50+D54+D59+D64+D72+D80+D84</f>
        <v>1272734</v>
      </c>
      <c r="E86" s="197">
        <f>E50+E54+E59+E64+E72+E80+E84</f>
        <v>18412</v>
      </c>
      <c r="F86" s="138"/>
      <c r="G86" s="187"/>
    </row>
    <row r="87" spans="1:7" x14ac:dyDescent="0.25">
      <c r="A87" s="146" t="s">
        <v>453</v>
      </c>
      <c r="B87" s="144" t="s">
        <v>454</v>
      </c>
      <c r="C87" s="140" t="s">
        <v>225</v>
      </c>
      <c r="D87" s="196">
        <f>D86-D48</f>
        <v>7015</v>
      </c>
      <c r="E87" s="197">
        <f>E86-E48</f>
        <v>2256</v>
      </c>
      <c r="F87" s="138"/>
      <c r="G87" s="187"/>
    </row>
    <row r="88" spans="1:7" x14ac:dyDescent="0.25">
      <c r="A88" s="39" t="s">
        <v>455</v>
      </c>
      <c r="B88" s="144">
        <v>591</v>
      </c>
      <c r="C88" s="140" t="s">
        <v>228</v>
      </c>
      <c r="D88" s="194">
        <v>237</v>
      </c>
      <c r="E88" s="195">
        <v>161</v>
      </c>
      <c r="F88" s="138"/>
      <c r="G88" s="187"/>
    </row>
    <row r="89" spans="1:7" x14ac:dyDescent="0.25">
      <c r="A89" s="146" t="s">
        <v>456</v>
      </c>
      <c r="B89" s="144" t="s">
        <v>457</v>
      </c>
      <c r="C89" s="140" t="s">
        <v>231</v>
      </c>
      <c r="D89" s="194">
        <f>D87-D88</f>
        <v>6778</v>
      </c>
      <c r="E89" s="195">
        <f>E87-E88</f>
        <v>2095</v>
      </c>
      <c r="F89" s="138"/>
      <c r="G89" s="187"/>
    </row>
    <row r="90" spans="1:7" ht="24" customHeight="1" x14ac:dyDescent="0.25">
      <c r="A90" s="1240"/>
      <c r="B90" s="1241"/>
      <c r="C90" s="1242"/>
      <c r="D90" s="1238" t="s">
        <v>684</v>
      </c>
      <c r="E90" s="1239"/>
      <c r="F90" s="130"/>
    </row>
    <row r="91" spans="1:7" ht="12.75" customHeight="1" x14ac:dyDescent="0.25">
      <c r="A91" s="316" t="s">
        <v>458</v>
      </c>
      <c r="B91" s="317" t="s">
        <v>566</v>
      </c>
      <c r="C91" s="38" t="s">
        <v>234</v>
      </c>
      <c r="D91" s="1228">
        <f>+D87+E87</f>
        <v>9271</v>
      </c>
      <c r="E91" s="1229"/>
    </row>
    <row r="92" spans="1:7" ht="12.75" customHeight="1" thickBot="1" x14ac:dyDescent="0.3">
      <c r="A92" s="315" t="s">
        <v>459</v>
      </c>
      <c r="B92" s="52" t="s">
        <v>567</v>
      </c>
      <c r="C92" s="45" t="s">
        <v>237</v>
      </c>
      <c r="D92" s="1230">
        <f>+D89+E89</f>
        <v>8873</v>
      </c>
      <c r="E92" s="1231"/>
    </row>
    <row r="93" spans="1:7" ht="12.75" customHeight="1" x14ac:dyDescent="0.25">
      <c r="A93" s="147"/>
      <c r="B93" s="56"/>
      <c r="C93" s="56"/>
    </row>
    <row r="94" spans="1:7" ht="12.75" customHeight="1" x14ac:dyDescent="0.25">
      <c r="A94" s="53" t="s">
        <v>616</v>
      </c>
      <c r="B94" s="56"/>
      <c r="C94" s="56"/>
    </row>
    <row r="95" spans="1:7" ht="12.75" customHeight="1" x14ac:dyDescent="0.25">
      <c r="A95" s="163" t="s">
        <v>1108</v>
      </c>
      <c r="B95" s="56"/>
      <c r="C95" s="56"/>
    </row>
    <row r="96" spans="1:7" x14ac:dyDescent="0.25">
      <c r="A96" s="31" t="s">
        <v>641</v>
      </c>
      <c r="B96" s="32"/>
      <c r="C96" s="32"/>
    </row>
    <row r="97" spans="1:3" x14ac:dyDescent="0.25">
      <c r="A97" s="163" t="s">
        <v>636</v>
      </c>
      <c r="B97" s="32"/>
      <c r="C97" s="32"/>
    </row>
    <row r="98" spans="1:3" x14ac:dyDescent="0.25">
      <c r="A98" s="163" t="s">
        <v>1060</v>
      </c>
    </row>
  </sheetData>
  <customSheetViews>
    <customSheetView guid="{2AF6EA2A-E5C5-45EB-B6C4-875AD1E4E056}">
      <pane ySplit="5" topLeftCell="A6" activePane="bottomLeft" state="frozenSplit"/>
      <selection pane="bottomLeft" sqref="A1:E1"/>
      <rowBreaks count="1" manualBreakCount="1">
        <brk id="48" max="16383" man="1"/>
      </rowBreaks>
      <pageMargins left="0.70866141732283472" right="0" top="0.39370078740157483" bottom="0.39370078740157483" header="0.51181102362204722" footer="0.51181102362204722"/>
      <pageSetup paperSize="9" scale="80" orientation="portrait" r:id="rId1"/>
      <headerFooter alignWithMargins="0"/>
    </customSheetView>
  </customSheetViews>
  <mergeCells count="10">
    <mergeCell ref="D92:E92"/>
    <mergeCell ref="A3:E3"/>
    <mergeCell ref="A49:E49"/>
    <mergeCell ref="D90:E90"/>
    <mergeCell ref="A90:C90"/>
    <mergeCell ref="A1:E1"/>
    <mergeCell ref="A2:E2"/>
    <mergeCell ref="B6:C6"/>
    <mergeCell ref="A4:E4"/>
    <mergeCell ref="D91:E91"/>
  </mergeCells>
  <pageMargins left="0.70866141732283472" right="0" top="0.39370078740157483" bottom="0.39370078740157483" header="0.51181102362204722" footer="0.51181102362204722"/>
  <pageSetup paperSize="9" scale="80" orientation="portrait" r:id="rId2"/>
  <headerFooter alignWithMargins="0"/>
  <rowBreaks count="1" manualBreakCount="1">
    <brk id="48" max="16383" man="1"/>
  </rowBreaks>
  <ignoredErrors>
    <ignoredError sqref="C93"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A99"/>
  <sheetViews>
    <sheetView workbookViewId="0">
      <selection activeCell="I41" sqref="I41"/>
    </sheetView>
  </sheetViews>
  <sheetFormatPr defaultRowHeight="15" x14ac:dyDescent="0.25"/>
  <cols>
    <col min="1" max="1" width="3.28515625" style="129" customWidth="1"/>
    <col min="2" max="12" width="7.140625" style="129" customWidth="1"/>
    <col min="13" max="13" width="4.7109375" style="129" customWidth="1"/>
    <col min="14" max="24" width="7.140625" style="129" customWidth="1"/>
    <col min="25" max="25" width="4.85546875" style="129" customWidth="1"/>
    <col min="26" max="16384" width="9.140625" style="129"/>
  </cols>
  <sheetData>
    <row r="1" spans="1:1" ht="12.75" customHeight="1" x14ac:dyDescent="0.25">
      <c r="A1" s="778" t="s">
        <v>1176</v>
      </c>
    </row>
    <row r="2" spans="1:1" ht="12.75" customHeight="1" x14ac:dyDescent="0.25"/>
    <row r="3" spans="1:1" ht="12.75" customHeight="1" x14ac:dyDescent="0.25"/>
    <row r="4" spans="1:1" ht="12.75" customHeight="1" x14ac:dyDescent="0.25"/>
    <row r="5" spans="1:1" ht="12.75" customHeight="1" x14ac:dyDescent="0.25"/>
    <row r="6" spans="1:1" ht="12.75" customHeight="1" x14ac:dyDescent="0.25"/>
    <row r="7" spans="1:1" ht="12.75" customHeight="1" x14ac:dyDescent="0.25"/>
    <row r="8" spans="1:1" ht="12.75" customHeight="1" x14ac:dyDescent="0.25"/>
    <row r="9" spans="1:1" ht="12.75" customHeight="1" x14ac:dyDescent="0.25"/>
    <row r="10" spans="1:1" ht="12.75" customHeight="1" x14ac:dyDescent="0.25"/>
    <row r="11" spans="1:1" ht="12.75" customHeight="1" x14ac:dyDescent="0.25"/>
    <row r="12" spans="1:1" ht="12.75" customHeight="1" x14ac:dyDescent="0.25"/>
    <row r="13" spans="1:1" ht="12.75" customHeight="1" x14ac:dyDescent="0.25"/>
    <row r="14" spans="1:1" ht="12.75" customHeight="1" x14ac:dyDescent="0.25"/>
    <row r="15" spans="1:1" ht="12.75" customHeight="1" x14ac:dyDescent="0.25"/>
    <row r="16" spans="1:1" ht="12.75" customHeight="1" x14ac:dyDescent="0.25"/>
    <row r="17" ht="12.75" customHeight="1" x14ac:dyDescent="0.25"/>
    <row r="18" ht="12.75" customHeight="1" x14ac:dyDescent="0.25"/>
    <row r="19" ht="12.75" customHeight="1" x14ac:dyDescent="0.25"/>
    <row r="20" ht="12.75" customHeight="1" x14ac:dyDescent="0.25"/>
    <row r="21" ht="12.75" customHeight="1" x14ac:dyDescent="0.25"/>
    <row r="22" ht="12.75" customHeight="1" x14ac:dyDescent="0.25"/>
    <row r="23" ht="12.75" customHeight="1" x14ac:dyDescent="0.25"/>
    <row r="24" ht="12.75" customHeight="1" x14ac:dyDescent="0.25"/>
    <row r="25" ht="12.75" customHeight="1" x14ac:dyDescent="0.25"/>
    <row r="26" ht="12.75" customHeight="1" x14ac:dyDescent="0.25"/>
    <row r="27" ht="12.75" customHeight="1" x14ac:dyDescent="0.25"/>
    <row r="28" ht="12.75" customHeight="1" x14ac:dyDescent="0.25"/>
    <row r="29" ht="12.75" customHeight="1" x14ac:dyDescent="0.25"/>
    <row r="30" ht="12.75" customHeight="1" x14ac:dyDescent="0.25"/>
    <row r="31" ht="12.75" customHeight="1" x14ac:dyDescent="0.25"/>
    <row r="32" ht="12.75" customHeight="1" x14ac:dyDescent="0.25"/>
    <row r="33" ht="12.75" customHeight="1" x14ac:dyDescent="0.25"/>
    <row r="34" ht="12.75" customHeight="1" x14ac:dyDescent="0.25"/>
    <row r="35" ht="12.75" customHeight="1" x14ac:dyDescent="0.25"/>
    <row r="36" ht="12.75" customHeight="1" x14ac:dyDescent="0.25"/>
    <row r="37" ht="12.75" customHeight="1" x14ac:dyDescent="0.25"/>
    <row r="38" ht="12.75" customHeight="1" x14ac:dyDescent="0.25"/>
    <row r="39" ht="12.75" customHeight="1" x14ac:dyDescent="0.25"/>
    <row r="40" ht="12.75" customHeight="1" x14ac:dyDescent="0.25"/>
    <row r="41" ht="12.75" customHeight="1" x14ac:dyDescent="0.25"/>
    <row r="42" ht="12.75" customHeight="1" x14ac:dyDescent="0.25"/>
    <row r="43" ht="12.75" customHeight="1" x14ac:dyDescent="0.25"/>
    <row r="44" ht="12.75" customHeight="1" x14ac:dyDescent="0.25"/>
    <row r="45" ht="12.75" customHeight="1" x14ac:dyDescent="0.25"/>
    <row r="46" ht="12.75" customHeight="1" x14ac:dyDescent="0.25"/>
    <row r="47" ht="12.75" customHeight="1" x14ac:dyDescent="0.25"/>
    <row r="48"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sheetData>
  <pageMargins left="0.7" right="0.7" top="0.78740157499999996" bottom="0.78740157499999996" header="0.3" footer="0.3"/>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
  <sheetViews>
    <sheetView workbookViewId="0">
      <selection activeCell="G35" sqref="G35"/>
    </sheetView>
  </sheetViews>
  <sheetFormatPr defaultRowHeight="15" x14ac:dyDescent="0.25"/>
  <cols>
    <col min="1" max="16384" width="9.140625" style="129"/>
  </cols>
  <sheetData>
    <row r="1" spans="1:1" x14ac:dyDescent="0.25">
      <c r="A1" s="778" t="s">
        <v>1177</v>
      </c>
    </row>
  </sheetData>
  <pageMargins left="0.7" right="0.7" top="0.78740157499999996" bottom="0.78740157499999996"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
  <sheetViews>
    <sheetView zoomScaleNormal="100" workbookViewId="0">
      <selection activeCell="R28" sqref="R28"/>
    </sheetView>
  </sheetViews>
  <sheetFormatPr defaultRowHeight="15" x14ac:dyDescent="0.25"/>
  <cols>
    <col min="1" max="1" width="3.28515625" style="129" customWidth="1"/>
    <col min="2" max="16384" width="9.140625" style="129"/>
  </cols>
  <sheetData>
    <row r="1" spans="1:1" x14ac:dyDescent="0.25">
      <c r="A1" s="778" t="s">
        <v>1178</v>
      </c>
    </row>
  </sheetData>
  <pageMargins left="0.7" right="0.7" top="0.78740157499999996" bottom="0.78740157499999996"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5">
    <pageSetUpPr fitToPage="1"/>
  </sheetPr>
  <dimension ref="A1:M23"/>
  <sheetViews>
    <sheetView workbookViewId="0">
      <selection activeCell="M22" sqref="M22"/>
    </sheetView>
  </sheetViews>
  <sheetFormatPr defaultRowHeight="12.75" x14ac:dyDescent="0.25"/>
  <cols>
    <col min="1" max="1" width="3.5703125" style="16" customWidth="1"/>
    <col min="2" max="2" width="6.28515625" style="16" customWidth="1"/>
    <col min="3" max="3" width="10.5703125" style="85" customWidth="1"/>
    <col min="4" max="5" width="12.28515625" style="85" customWidth="1"/>
    <col min="6" max="6" width="6.140625" style="85" customWidth="1"/>
    <col min="7" max="7" width="8.42578125" style="85" customWidth="1"/>
    <col min="8" max="11" width="9.7109375" style="85" customWidth="1"/>
    <col min="12" max="12" width="9.7109375" style="16" customWidth="1"/>
    <col min="13" max="16384" width="9.140625" style="16"/>
  </cols>
  <sheetData>
    <row r="1" spans="1:13" ht="15.75" x14ac:dyDescent="0.25">
      <c r="A1" s="11" t="s">
        <v>1102</v>
      </c>
      <c r="B1" s="12"/>
      <c r="C1" s="84"/>
      <c r="D1" s="84"/>
      <c r="E1" s="84"/>
      <c r="F1" s="84"/>
      <c r="G1" s="84"/>
      <c r="H1" s="84"/>
      <c r="I1" s="84"/>
      <c r="J1" s="84"/>
      <c r="K1" s="84"/>
      <c r="L1" s="12"/>
      <c r="M1" s="12"/>
    </row>
    <row r="2" spans="1:13" ht="13.5" thickBot="1" x14ac:dyDescent="0.3">
      <c r="A2" s="12"/>
      <c r="B2" s="12"/>
      <c r="C2" s="84"/>
      <c r="D2" s="84"/>
      <c r="E2" s="84"/>
      <c r="F2" s="84"/>
      <c r="G2" s="84"/>
      <c r="H2" s="84"/>
      <c r="I2" s="84"/>
      <c r="J2" s="84"/>
      <c r="K2" s="84"/>
      <c r="M2" s="157" t="s">
        <v>480</v>
      </c>
    </row>
    <row r="3" spans="1:13" ht="15" customHeight="1" x14ac:dyDescent="0.25">
      <c r="A3" s="1534" t="s">
        <v>460</v>
      </c>
      <c r="B3" s="1531" t="s">
        <v>465</v>
      </c>
      <c r="C3" s="1531"/>
      <c r="D3" s="1531"/>
      <c r="E3" s="1531"/>
      <c r="F3" s="1531"/>
      <c r="G3" s="1531"/>
      <c r="H3" s="1538" t="s">
        <v>1098</v>
      </c>
      <c r="I3" s="1536" t="s">
        <v>467</v>
      </c>
      <c r="J3" s="1537"/>
      <c r="K3" s="324" t="s">
        <v>468</v>
      </c>
      <c r="L3" s="725" t="s">
        <v>466</v>
      </c>
      <c r="M3" s="1423" t="s">
        <v>1104</v>
      </c>
    </row>
    <row r="4" spans="1:13" ht="48.75" customHeight="1" x14ac:dyDescent="0.25">
      <c r="A4" s="1535"/>
      <c r="B4" s="1532"/>
      <c r="C4" s="1532"/>
      <c r="D4" s="1532"/>
      <c r="E4" s="1532"/>
      <c r="F4" s="1532"/>
      <c r="G4" s="1532"/>
      <c r="H4" s="1539"/>
      <c r="I4" s="207" t="s">
        <v>642</v>
      </c>
      <c r="J4" s="732" t="s">
        <v>1103</v>
      </c>
      <c r="K4" s="325" t="s">
        <v>469</v>
      </c>
      <c r="L4" s="726" t="s">
        <v>643</v>
      </c>
      <c r="M4" s="1424"/>
    </row>
    <row r="5" spans="1:13" ht="15.75" customHeight="1" x14ac:dyDescent="0.25">
      <c r="A5" s="665"/>
      <c r="B5" s="1533"/>
      <c r="C5" s="1533"/>
      <c r="D5" s="1533"/>
      <c r="E5" s="1533"/>
      <c r="F5" s="1533"/>
      <c r="G5" s="1533"/>
      <c r="H5" s="1130" t="s">
        <v>539</v>
      </c>
      <c r="I5" s="208" t="s">
        <v>540</v>
      </c>
      <c r="J5" s="208" t="s">
        <v>541</v>
      </c>
      <c r="K5" s="208" t="s">
        <v>542</v>
      </c>
      <c r="L5" s="727" t="s">
        <v>644</v>
      </c>
      <c r="M5" s="1424"/>
    </row>
    <row r="6" spans="1:13" x14ac:dyDescent="0.25">
      <c r="A6" s="666">
        <v>1</v>
      </c>
      <c r="B6" s="354" t="s">
        <v>645</v>
      </c>
      <c r="C6" s="209"/>
      <c r="D6" s="209"/>
      <c r="E6" s="209"/>
      <c r="F6" s="209"/>
      <c r="G6" s="357"/>
      <c r="H6" s="1131">
        <f>SUM(H7:H11)+H14+H15</f>
        <v>439266.10199999996</v>
      </c>
      <c r="I6" s="238">
        <f>SUM(I7:I11)+I14+I15</f>
        <v>255607.23623000001</v>
      </c>
      <c r="J6" s="238">
        <f>SUM(J7:J11)+J14+J15</f>
        <v>11980.365229999999</v>
      </c>
      <c r="K6" s="238">
        <f>SUM(K7:K11)+K14+K15</f>
        <v>262578.17047000001</v>
      </c>
      <c r="L6" s="728">
        <f>SUM(L7:L11)+L14+L15</f>
        <v>432295.16775999992</v>
      </c>
      <c r="M6" s="1540"/>
    </row>
    <row r="7" spans="1:13" x14ac:dyDescent="0.25">
      <c r="A7" s="667">
        <f t="shared" ref="A7:A15" si="0">A6+1</f>
        <v>2</v>
      </c>
      <c r="B7" s="361" t="s">
        <v>462</v>
      </c>
      <c r="C7" s="210" t="s">
        <v>470</v>
      </c>
      <c r="D7" s="211"/>
      <c r="E7" s="211"/>
      <c r="F7" s="211"/>
      <c r="G7" s="358"/>
      <c r="H7" s="1132">
        <f>'11.a'!C3</f>
        <v>1095.6510000000001</v>
      </c>
      <c r="I7" s="305">
        <f>'11.a'!C8</f>
        <v>0</v>
      </c>
      <c r="J7" s="305">
        <f>'11.a'!C4</f>
        <v>0</v>
      </c>
      <c r="K7" s="305">
        <f>'11.a'!C14</f>
        <v>0</v>
      </c>
      <c r="L7" s="729">
        <f t="shared" ref="L7:L15" si="1">H7+I7-K7</f>
        <v>1095.6510000000001</v>
      </c>
      <c r="M7" s="1109">
        <v>0</v>
      </c>
    </row>
    <row r="8" spans="1:13" x14ac:dyDescent="0.25">
      <c r="A8" s="668">
        <f t="shared" si="0"/>
        <v>3</v>
      </c>
      <c r="B8" s="355"/>
      <c r="C8" s="212" t="s">
        <v>471</v>
      </c>
      <c r="D8" s="213"/>
      <c r="E8" s="213"/>
      <c r="F8" s="213"/>
      <c r="G8" s="359"/>
      <c r="H8" s="1133">
        <f>'11.b'!C3</f>
        <v>126579.348</v>
      </c>
      <c r="I8" s="306">
        <f>'11.b'!C14</f>
        <v>41786</v>
      </c>
      <c r="J8" s="312">
        <f>'11.b'!C5</f>
        <v>9449</v>
      </c>
      <c r="K8" s="306">
        <f>'11.b'!C27</f>
        <v>62906</v>
      </c>
      <c r="L8" s="730">
        <f t="shared" si="1"/>
        <v>105459.348</v>
      </c>
      <c r="M8" s="1110">
        <v>5641.3648199999998</v>
      </c>
    </row>
    <row r="9" spans="1:13" x14ac:dyDescent="0.25">
      <c r="A9" s="668">
        <f t="shared" si="0"/>
        <v>4</v>
      </c>
      <c r="B9" s="355"/>
      <c r="C9" s="212" t="s">
        <v>472</v>
      </c>
      <c r="D9" s="213"/>
      <c r="E9" s="213"/>
      <c r="F9" s="213"/>
      <c r="G9" s="359"/>
      <c r="H9" s="1133">
        <f>'11.c'!C3</f>
        <v>39157.875</v>
      </c>
      <c r="I9" s="306">
        <f>'11.c'!C7</f>
        <v>16397</v>
      </c>
      <c r="J9" s="313">
        <v>0</v>
      </c>
      <c r="K9" s="306">
        <f>'11.c'!C8</f>
        <v>16744</v>
      </c>
      <c r="L9" s="730">
        <f t="shared" si="1"/>
        <v>38810.875</v>
      </c>
      <c r="M9" s="1110">
        <v>0</v>
      </c>
    </row>
    <row r="10" spans="1:13" x14ac:dyDescent="0.25">
      <c r="A10" s="668">
        <f t="shared" si="0"/>
        <v>5</v>
      </c>
      <c r="B10" s="355"/>
      <c r="C10" s="212" t="s">
        <v>473</v>
      </c>
      <c r="D10" s="213"/>
      <c r="E10" s="213"/>
      <c r="F10" s="213"/>
      <c r="G10" s="359"/>
      <c r="H10" s="1133">
        <f>'11.d'!C3</f>
        <v>11336.254999999999</v>
      </c>
      <c r="I10" s="306">
        <f>'11.d'!C9</f>
        <v>1148</v>
      </c>
      <c r="J10" s="305">
        <f>'11.d'!C4</f>
        <v>1148</v>
      </c>
      <c r="K10" s="306">
        <f>'11.d'!C15</f>
        <v>0</v>
      </c>
      <c r="L10" s="730">
        <f t="shared" si="1"/>
        <v>12484.254999999999</v>
      </c>
      <c r="M10" s="1111">
        <v>1275.12113</v>
      </c>
    </row>
    <row r="11" spans="1:13" x14ac:dyDescent="0.25">
      <c r="A11" s="668">
        <f t="shared" si="0"/>
        <v>6</v>
      </c>
      <c r="B11" s="355"/>
      <c r="C11" s="212" t="s">
        <v>474</v>
      </c>
      <c r="D11" s="213"/>
      <c r="E11" s="213"/>
      <c r="F11" s="213"/>
      <c r="G11" s="359"/>
      <c r="H11" s="1133">
        <f>'11.e'!E8</f>
        <v>1394</v>
      </c>
      <c r="I11" s="306">
        <f>'11.e'!E13</f>
        <v>1542</v>
      </c>
      <c r="J11" s="313">
        <v>0</v>
      </c>
      <c r="K11" s="306">
        <f>'11.e'!E18</f>
        <v>1394</v>
      </c>
      <c r="L11" s="730">
        <f t="shared" si="1"/>
        <v>1542</v>
      </c>
      <c r="M11" s="1111">
        <v>0</v>
      </c>
    </row>
    <row r="12" spans="1:13" x14ac:dyDescent="0.25">
      <c r="A12" s="668" t="s">
        <v>646</v>
      </c>
      <c r="B12" s="355"/>
      <c r="C12" s="212" t="s">
        <v>477</v>
      </c>
      <c r="D12" s="213" t="s">
        <v>478</v>
      </c>
      <c r="E12" s="213"/>
      <c r="F12" s="213"/>
      <c r="G12" s="359"/>
      <c r="H12" s="1133">
        <f>'11.e'!E6</f>
        <v>753</v>
      </c>
      <c r="I12" s="306">
        <f>'11.e'!E11</f>
        <v>1202</v>
      </c>
      <c r="J12" s="313">
        <v>0</v>
      </c>
      <c r="K12" s="306">
        <f>'11.e'!E16</f>
        <v>753</v>
      </c>
      <c r="L12" s="730">
        <f t="shared" si="1"/>
        <v>1202</v>
      </c>
      <c r="M12" s="1111">
        <v>0</v>
      </c>
    </row>
    <row r="13" spans="1:13" x14ac:dyDescent="0.25">
      <c r="A13" s="668" t="s">
        <v>647</v>
      </c>
      <c r="B13" s="355"/>
      <c r="C13" s="212"/>
      <c r="D13" s="213" t="s">
        <v>479</v>
      </c>
      <c r="E13" s="213"/>
      <c r="F13" s="213"/>
      <c r="G13" s="359"/>
      <c r="H13" s="1133">
        <f>'11.e'!E7</f>
        <v>641</v>
      </c>
      <c r="I13" s="306">
        <f>'11.e'!E12</f>
        <v>340</v>
      </c>
      <c r="J13" s="313">
        <v>0</v>
      </c>
      <c r="K13" s="306">
        <f>'11.e'!E17</f>
        <v>641</v>
      </c>
      <c r="L13" s="730">
        <f t="shared" si="1"/>
        <v>340</v>
      </c>
      <c r="M13" s="1111">
        <v>0</v>
      </c>
    </row>
    <row r="14" spans="1:13" x14ac:dyDescent="0.25">
      <c r="A14" s="668">
        <f>A11+1</f>
        <v>7</v>
      </c>
      <c r="B14" s="355"/>
      <c r="C14" s="212" t="s">
        <v>475</v>
      </c>
      <c r="D14" s="213"/>
      <c r="E14" s="213"/>
      <c r="F14" s="213"/>
      <c r="G14" s="359"/>
      <c r="H14" s="1133">
        <f>'11.f'!C3</f>
        <v>0</v>
      </c>
      <c r="I14" s="306">
        <f>'11.f'!C4</f>
        <v>0</v>
      </c>
      <c r="J14" s="313">
        <v>0</v>
      </c>
      <c r="K14" s="306">
        <f>'11.f'!C10</f>
        <v>0</v>
      </c>
      <c r="L14" s="730">
        <f t="shared" si="1"/>
        <v>0</v>
      </c>
      <c r="M14" s="1111">
        <v>0</v>
      </c>
    </row>
    <row r="15" spans="1:13" ht="13.5" thickBot="1" x14ac:dyDescent="0.3">
      <c r="A15" s="669">
        <f t="shared" si="0"/>
        <v>8</v>
      </c>
      <c r="B15" s="356"/>
      <c r="C15" s="214" t="s">
        <v>476</v>
      </c>
      <c r="D15" s="215"/>
      <c r="E15" s="215"/>
      <c r="F15" s="215"/>
      <c r="G15" s="360"/>
      <c r="H15" s="1134">
        <f>'11.g'!C3</f>
        <v>259702.97299999994</v>
      </c>
      <c r="I15" s="307">
        <f>'11.g'!C10</f>
        <v>194734.23623000001</v>
      </c>
      <c r="J15" s="307">
        <f>'11.g'!C5</f>
        <v>1383.3652300000001</v>
      </c>
      <c r="K15" s="307">
        <f>'11.g'!C16</f>
        <v>181534.17046999998</v>
      </c>
      <c r="L15" s="731">
        <f t="shared" si="1"/>
        <v>272903.03875999991</v>
      </c>
      <c r="M15" s="1112">
        <v>1956.24765</v>
      </c>
    </row>
    <row r="17" spans="1:10" x14ac:dyDescent="0.25">
      <c r="A17" s="16" t="s">
        <v>616</v>
      </c>
    </row>
    <row r="18" spans="1:10" x14ac:dyDescent="0.25">
      <c r="A18" s="18" t="s">
        <v>1112</v>
      </c>
    </row>
    <row r="19" spans="1:10" x14ac:dyDescent="0.25">
      <c r="A19" s="310" t="s">
        <v>1113</v>
      </c>
      <c r="B19" s="304"/>
      <c r="C19" s="308"/>
      <c r="D19" s="308"/>
      <c r="E19" s="308"/>
      <c r="F19" s="309"/>
      <c r="G19" s="308"/>
      <c r="H19" s="308"/>
      <c r="I19" s="216"/>
      <c r="J19" s="216"/>
    </row>
    <row r="20" spans="1:10" x14ac:dyDescent="0.25">
      <c r="A20" s="26"/>
      <c r="B20" s="216"/>
      <c r="C20" s="216"/>
      <c r="D20" s="216"/>
      <c r="E20" s="216"/>
      <c r="F20" s="216"/>
      <c r="G20" s="216"/>
      <c r="H20" s="216"/>
      <c r="I20" s="216"/>
      <c r="J20" s="216"/>
    </row>
    <row r="21" spans="1:10" x14ac:dyDescent="0.25">
      <c r="A21" s="72" t="s">
        <v>661</v>
      </c>
      <c r="B21" s="692"/>
      <c r="C21" s="692"/>
      <c r="D21" s="216"/>
      <c r="E21" s="216"/>
      <c r="F21" s="26"/>
      <c r="G21" s="216"/>
      <c r="H21" s="216"/>
      <c r="I21" s="216"/>
      <c r="J21" s="216"/>
    </row>
    <row r="22" spans="1:10" x14ac:dyDescent="0.25">
      <c r="A22" s="16" t="s">
        <v>1114</v>
      </c>
      <c r="B22" s="26"/>
      <c r="C22" s="26"/>
      <c r="D22" s="216"/>
      <c r="E22" s="216"/>
      <c r="F22" s="26"/>
      <c r="G22" s="216"/>
      <c r="H22" s="216"/>
      <c r="I22" s="216"/>
      <c r="J22" s="216"/>
    </row>
    <row r="23" spans="1:10" x14ac:dyDescent="0.25">
      <c r="A23" s="16" t="s">
        <v>1115</v>
      </c>
      <c r="B23" s="26"/>
      <c r="C23" s="216"/>
      <c r="D23" s="216"/>
      <c r="E23" s="216"/>
      <c r="F23" s="216"/>
      <c r="G23" s="216"/>
      <c r="H23" s="216"/>
      <c r="I23" s="216"/>
      <c r="J23" s="216"/>
    </row>
  </sheetData>
  <customSheetViews>
    <customSheetView guid="{2AF6EA2A-E5C5-45EB-B6C4-875AD1E4E056}" fitToPage="1">
      <selection activeCell="A2" sqref="A2"/>
      <pageMargins left="0.23622047244094491" right="0.23622047244094491" top="0.86614173228346458" bottom="0.98425196850393704" header="0.51181102362204722" footer="0.51181102362204722"/>
      <printOptions horizontalCentered="1"/>
      <pageSetup paperSize="9" orientation="landscape" cellComments="asDisplayed" horizontalDpi="300" verticalDpi="300" r:id="rId1"/>
      <headerFooter alignWithMargins="0"/>
    </customSheetView>
  </customSheetViews>
  <mergeCells count="5">
    <mergeCell ref="B3:G5"/>
    <mergeCell ref="A3:A4"/>
    <mergeCell ref="I3:J3"/>
    <mergeCell ref="H3:H4"/>
    <mergeCell ref="M3:M6"/>
  </mergeCells>
  <printOptions horizontalCentered="1"/>
  <pageMargins left="0.23622047244094491" right="0.23622047244094491" top="0.86614173228346458" bottom="0.98425196850393704" header="0.51181102362204722" footer="0.51181102362204722"/>
  <pageSetup paperSize="9" orientation="landscape" cellComments="asDisplayed" horizontalDpi="300" verticalDpi="300" r:id="rId2"/>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6"/>
  <dimension ref="A1:E20"/>
  <sheetViews>
    <sheetView zoomScaleNormal="100" workbookViewId="0">
      <selection activeCell="E41" sqref="E41"/>
    </sheetView>
  </sheetViews>
  <sheetFormatPr defaultRowHeight="12.75" x14ac:dyDescent="0.25"/>
  <cols>
    <col min="1" max="1" width="14.42578125" style="16" customWidth="1"/>
    <col min="2" max="2" width="30.140625" style="16" customWidth="1"/>
    <col min="3" max="3" width="16.140625" style="85" customWidth="1"/>
    <col min="4" max="16384" width="9.140625" style="16"/>
  </cols>
  <sheetData>
    <row r="1" spans="1:5" ht="15.75" x14ac:dyDescent="0.25">
      <c r="A1" s="74" t="s">
        <v>1091</v>
      </c>
      <c r="B1" s="12"/>
      <c r="D1" s="12"/>
    </row>
    <row r="2" spans="1:5" ht="13.5" thickBot="1" x14ac:dyDescent="0.3">
      <c r="A2" s="12"/>
      <c r="B2" s="12"/>
      <c r="C2" s="86" t="s">
        <v>480</v>
      </c>
      <c r="D2" s="12"/>
    </row>
    <row r="3" spans="1:5" ht="13.5" thickBot="1" x14ac:dyDescent="0.3">
      <c r="A3" s="1544" t="s">
        <v>501</v>
      </c>
      <c r="B3" s="1545"/>
      <c r="C3" s="288">
        <v>1095.6510000000001</v>
      </c>
    </row>
    <row r="4" spans="1:5" x14ac:dyDescent="0.25">
      <c r="A4" s="1541" t="s">
        <v>503</v>
      </c>
      <c r="B4" s="688" t="s">
        <v>1100</v>
      </c>
      <c r="C4" s="239">
        <v>0</v>
      </c>
    </row>
    <row r="5" spans="1:5" x14ac:dyDescent="0.25">
      <c r="A5" s="1542"/>
      <c r="B5" s="689" t="s">
        <v>504</v>
      </c>
      <c r="C5" s="167">
        <v>0</v>
      </c>
    </row>
    <row r="6" spans="1:5" x14ac:dyDescent="0.25">
      <c r="A6" s="1542"/>
      <c r="B6" s="689" t="s">
        <v>505</v>
      </c>
      <c r="C6" s="167">
        <v>0</v>
      </c>
    </row>
    <row r="7" spans="1:5" ht="13.5" thickBot="1" x14ac:dyDescent="0.3">
      <c r="A7" s="1542"/>
      <c r="B7" s="689" t="s">
        <v>506</v>
      </c>
      <c r="C7" s="167">
        <v>0</v>
      </c>
    </row>
    <row r="8" spans="1:5" ht="13.5" thickBot="1" x14ac:dyDescent="0.3">
      <c r="A8" s="1543"/>
      <c r="B8" s="690" t="s">
        <v>485</v>
      </c>
      <c r="C8" s="240">
        <f>SUM(C4:C7)</f>
        <v>0</v>
      </c>
    </row>
    <row r="9" spans="1:5" x14ac:dyDescent="0.25">
      <c r="A9" s="1541" t="s">
        <v>507</v>
      </c>
      <c r="B9" s="688" t="s">
        <v>508</v>
      </c>
      <c r="C9" s="239">
        <v>0</v>
      </c>
    </row>
    <row r="10" spans="1:5" x14ac:dyDescent="0.25">
      <c r="A10" s="1542"/>
      <c r="B10" s="689" t="s">
        <v>509</v>
      </c>
      <c r="C10" s="167">
        <v>0</v>
      </c>
    </row>
    <row r="11" spans="1:5" x14ac:dyDescent="0.25">
      <c r="A11" s="1542"/>
      <c r="B11" s="689" t="s">
        <v>510</v>
      </c>
      <c r="C11" s="167">
        <v>0</v>
      </c>
    </row>
    <row r="12" spans="1:5" x14ac:dyDescent="0.25">
      <c r="A12" s="1542"/>
      <c r="B12" s="689" t="s">
        <v>511</v>
      </c>
      <c r="C12" s="167">
        <v>0</v>
      </c>
    </row>
    <row r="13" spans="1:5" ht="13.5" thickBot="1" x14ac:dyDescent="0.3">
      <c r="A13" s="1542"/>
      <c r="B13" s="691" t="s">
        <v>687</v>
      </c>
      <c r="C13" s="169">
        <v>0</v>
      </c>
    </row>
    <row r="14" spans="1:5" ht="13.5" thickBot="1" x14ac:dyDescent="0.3">
      <c r="A14" s="1543"/>
      <c r="B14" s="690" t="s">
        <v>485</v>
      </c>
      <c r="C14" s="240">
        <f>SUM(C9:C13)</f>
        <v>0</v>
      </c>
    </row>
    <row r="15" spans="1:5" ht="13.5" thickBot="1" x14ac:dyDescent="0.3">
      <c r="A15" s="1546" t="s">
        <v>502</v>
      </c>
      <c r="B15" s="1547"/>
      <c r="C15" s="240">
        <f>C3+C8-C14</f>
        <v>1095.6510000000001</v>
      </c>
    </row>
    <row r="16" spans="1:5" x14ac:dyDescent="0.25">
      <c r="A16" s="12"/>
      <c r="B16" s="12"/>
      <c r="C16" s="84"/>
      <c r="D16" s="12"/>
      <c r="E16" s="12"/>
    </row>
    <row r="17" spans="1:5" x14ac:dyDescent="0.25">
      <c r="A17" s="12" t="s">
        <v>616</v>
      </c>
      <c r="B17" s="12"/>
      <c r="C17" s="84"/>
      <c r="D17" s="12"/>
      <c r="E17" s="12"/>
    </row>
    <row r="18" spans="1:5" x14ac:dyDescent="0.25">
      <c r="A18" s="17" t="s">
        <v>1116</v>
      </c>
      <c r="B18" s="12"/>
      <c r="C18" s="84"/>
      <c r="D18" s="12"/>
      <c r="E18" s="12"/>
    </row>
    <row r="19" spans="1:5" x14ac:dyDescent="0.25">
      <c r="A19" s="12"/>
      <c r="B19" s="12"/>
      <c r="C19" s="84"/>
      <c r="D19" s="12"/>
      <c r="E19" s="12"/>
    </row>
    <row r="20" spans="1:5" x14ac:dyDescent="0.25">
      <c r="A20" s="12"/>
      <c r="B20" s="12"/>
      <c r="C20" s="84"/>
      <c r="D20" s="12"/>
      <c r="E20" s="12"/>
    </row>
  </sheetData>
  <customSheetViews>
    <customSheetView guid="{2AF6EA2A-E5C5-45EB-B6C4-875AD1E4E056}">
      <selection activeCell="A2" sqref="A2"/>
      <pageMargins left="0.78740157480314965" right="0.78740157480314965" top="0.98425196850393704" bottom="0.98425196850393704" header="0.51181102362204722" footer="0.51181102362204722"/>
      <printOptions horizontalCentered="1"/>
      <pageSetup paperSize="9" orientation="landscape" r:id="rId1"/>
      <headerFooter alignWithMargins="0"/>
    </customSheetView>
  </customSheetViews>
  <mergeCells count="4">
    <mergeCell ref="A4:A8"/>
    <mergeCell ref="A9:A14"/>
    <mergeCell ref="A3:B3"/>
    <mergeCell ref="A15:B15"/>
  </mergeCells>
  <printOptions horizontalCentered="1"/>
  <pageMargins left="0.78740157480314965" right="0.78740157480314965" top="0.98425196850393704" bottom="0.98425196850393704" header="0.51181102362204722" footer="0.51181102362204722"/>
  <pageSetup paperSize="9" orientation="landscape" r:id="rId2"/>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7">
    <pageSetUpPr fitToPage="1"/>
  </sheetPr>
  <dimension ref="A1:D31"/>
  <sheetViews>
    <sheetView zoomScaleNormal="100" workbookViewId="0">
      <selection activeCell="C22" sqref="C22"/>
    </sheetView>
  </sheetViews>
  <sheetFormatPr defaultRowHeight="12.75" x14ac:dyDescent="0.2"/>
  <cols>
    <col min="1" max="1" width="10.5703125" style="60" customWidth="1"/>
    <col min="2" max="2" width="43.5703125" style="60" customWidth="1"/>
    <col min="3" max="3" width="17" style="90" customWidth="1"/>
    <col min="4" max="16384" width="9.140625" style="60"/>
  </cols>
  <sheetData>
    <row r="1" spans="1:4" ht="13.5" customHeight="1" x14ac:dyDescent="0.25">
      <c r="A1" s="87" t="s">
        <v>1092</v>
      </c>
      <c r="B1" s="62"/>
      <c r="C1" s="60"/>
      <c r="D1" s="62"/>
    </row>
    <row r="2" spans="1:4" ht="13.5" customHeight="1" thickBot="1" x14ac:dyDescent="0.25">
      <c r="A2" s="62"/>
      <c r="B2" s="62"/>
      <c r="C2" s="89" t="s">
        <v>480</v>
      </c>
      <c r="D2" s="62"/>
    </row>
    <row r="3" spans="1:4" ht="16.5" customHeight="1" thickBot="1" x14ac:dyDescent="0.25">
      <c r="A3" s="1546" t="s">
        <v>501</v>
      </c>
      <c r="B3" s="1553"/>
      <c r="C3" s="1108">
        <v>126579.348</v>
      </c>
    </row>
    <row r="4" spans="1:4" ht="12.75" customHeight="1" x14ac:dyDescent="0.2">
      <c r="A4" s="1548" t="s">
        <v>503</v>
      </c>
      <c r="B4" s="677" t="s">
        <v>512</v>
      </c>
      <c r="C4" s="241">
        <v>18256</v>
      </c>
    </row>
    <row r="5" spans="1:4" ht="12.75" customHeight="1" x14ac:dyDescent="0.2">
      <c r="A5" s="1549"/>
      <c r="B5" s="678" t="s">
        <v>1101</v>
      </c>
      <c r="C5" s="242">
        <v>9449</v>
      </c>
    </row>
    <row r="6" spans="1:4" ht="12.75" customHeight="1" x14ac:dyDescent="0.2">
      <c r="A6" s="1549"/>
      <c r="B6" s="679" t="s">
        <v>1052</v>
      </c>
      <c r="C6" s="242">
        <v>0</v>
      </c>
    </row>
    <row r="7" spans="1:4" ht="12.75" customHeight="1" x14ac:dyDescent="0.2">
      <c r="A7" s="1549"/>
      <c r="B7" s="678" t="s">
        <v>513</v>
      </c>
      <c r="C7" s="242">
        <v>564</v>
      </c>
    </row>
    <row r="8" spans="1:4" ht="12.75" customHeight="1" x14ac:dyDescent="0.2">
      <c r="A8" s="1549"/>
      <c r="B8" s="678" t="s">
        <v>514</v>
      </c>
      <c r="C8" s="243">
        <v>6</v>
      </c>
    </row>
    <row r="9" spans="1:4" ht="12.75" customHeight="1" x14ac:dyDescent="0.2">
      <c r="A9" s="1549"/>
      <c r="B9" s="678" t="s">
        <v>1411</v>
      </c>
      <c r="C9" s="242">
        <v>600</v>
      </c>
    </row>
    <row r="10" spans="1:4" ht="12.75" customHeight="1" x14ac:dyDescent="0.2">
      <c r="A10" s="1549"/>
      <c r="B10" s="680" t="s">
        <v>515</v>
      </c>
      <c r="C10" s="244">
        <f>SUM(C11:C13)</f>
        <v>12911</v>
      </c>
    </row>
    <row r="11" spans="1:4" ht="12.75" customHeight="1" x14ac:dyDescent="0.2">
      <c r="A11" s="1549"/>
      <c r="B11" s="678" t="s">
        <v>516</v>
      </c>
      <c r="C11" s="242">
        <v>0</v>
      </c>
    </row>
    <row r="12" spans="1:4" ht="12.75" customHeight="1" x14ac:dyDescent="0.2">
      <c r="A12" s="1549"/>
      <c r="B12" s="681" t="s">
        <v>517</v>
      </c>
      <c r="C12" s="242">
        <v>12911</v>
      </c>
    </row>
    <row r="13" spans="1:4" ht="12.75" customHeight="1" thickBot="1" x14ac:dyDescent="0.25">
      <c r="A13" s="1549"/>
      <c r="B13" s="678" t="s">
        <v>518</v>
      </c>
      <c r="C13" s="245">
        <v>0</v>
      </c>
    </row>
    <row r="14" spans="1:4" s="61" customFormat="1" ht="15.75" customHeight="1" thickBot="1" x14ac:dyDescent="0.25">
      <c r="A14" s="1550"/>
      <c r="B14" s="682" t="s">
        <v>486</v>
      </c>
      <c r="C14" s="246">
        <f>C4+C5+C6+C7+C8+C9+C10</f>
        <v>41786</v>
      </c>
    </row>
    <row r="15" spans="1:4" ht="12.75" customHeight="1" x14ac:dyDescent="0.2">
      <c r="A15" s="1551" t="s">
        <v>507</v>
      </c>
      <c r="B15" s="683" t="s">
        <v>575</v>
      </c>
      <c r="C15" s="247">
        <f>SUM(C16:C21)</f>
        <v>62906</v>
      </c>
    </row>
    <row r="16" spans="1:4" ht="12.75" customHeight="1" x14ac:dyDescent="0.2">
      <c r="A16" s="1551"/>
      <c r="B16" s="684" t="s">
        <v>670</v>
      </c>
      <c r="C16" s="248">
        <v>40284</v>
      </c>
    </row>
    <row r="17" spans="1:4" ht="12.75" customHeight="1" x14ac:dyDescent="0.2">
      <c r="A17" s="1551"/>
      <c r="B17" s="685" t="s">
        <v>519</v>
      </c>
      <c r="C17" s="249">
        <v>16492</v>
      </c>
    </row>
    <row r="18" spans="1:4" ht="12.75" customHeight="1" x14ac:dyDescent="0.2">
      <c r="A18" s="1551"/>
      <c r="B18" s="685" t="s">
        <v>1293</v>
      </c>
      <c r="C18" s="249">
        <v>2454</v>
      </c>
    </row>
    <row r="19" spans="1:4" ht="12.75" customHeight="1" x14ac:dyDescent="0.2">
      <c r="A19" s="1551"/>
      <c r="B19" s="685" t="s">
        <v>520</v>
      </c>
      <c r="C19" s="249">
        <v>2413</v>
      </c>
    </row>
    <row r="20" spans="1:4" ht="12.75" customHeight="1" x14ac:dyDescent="0.2">
      <c r="A20" s="1551"/>
      <c r="B20" s="685" t="s">
        <v>1295</v>
      </c>
      <c r="C20" s="249">
        <v>587</v>
      </c>
    </row>
    <row r="21" spans="1:4" ht="12.75" customHeight="1" x14ac:dyDescent="0.2">
      <c r="A21" s="1551"/>
      <c r="B21" s="685" t="s">
        <v>1294</v>
      </c>
      <c r="C21" s="249">
        <v>676</v>
      </c>
    </row>
    <row r="22" spans="1:4" ht="12.75" customHeight="1" x14ac:dyDescent="0.2">
      <c r="A22" s="1551"/>
      <c r="B22" s="686" t="s">
        <v>1053</v>
      </c>
      <c r="C22" s="250">
        <v>0</v>
      </c>
    </row>
    <row r="23" spans="1:4" ht="12.75" customHeight="1" x14ac:dyDescent="0.2">
      <c r="A23" s="1551"/>
      <c r="B23" s="687" t="s">
        <v>521</v>
      </c>
      <c r="C23" s="251">
        <f>SUM(C24:C26)</f>
        <v>0</v>
      </c>
    </row>
    <row r="24" spans="1:4" ht="12.75" customHeight="1" x14ac:dyDescent="0.2">
      <c r="A24" s="1551"/>
      <c r="B24" s="678" t="s">
        <v>522</v>
      </c>
      <c r="C24" s="242">
        <v>0</v>
      </c>
    </row>
    <row r="25" spans="1:4" ht="12.75" customHeight="1" x14ac:dyDescent="0.2">
      <c r="A25" s="1551"/>
      <c r="B25" s="678" t="s">
        <v>523</v>
      </c>
      <c r="C25" s="242">
        <v>0</v>
      </c>
    </row>
    <row r="26" spans="1:4" ht="12.75" customHeight="1" thickBot="1" x14ac:dyDescent="0.25">
      <c r="A26" s="1551"/>
      <c r="B26" s="678" t="s">
        <v>524</v>
      </c>
      <c r="C26" s="242">
        <v>0</v>
      </c>
    </row>
    <row r="27" spans="1:4" ht="13.5" thickBot="1" x14ac:dyDescent="0.25">
      <c r="A27" s="1552"/>
      <c r="B27" s="682" t="s">
        <v>485</v>
      </c>
      <c r="C27" s="252">
        <f>C15+C22+C23</f>
        <v>62906</v>
      </c>
    </row>
    <row r="28" spans="1:4" ht="18.75" customHeight="1" thickBot="1" x14ac:dyDescent="0.25">
      <c r="A28" s="1546" t="s">
        <v>502</v>
      </c>
      <c r="B28" s="1553"/>
      <c r="C28" s="252">
        <f>C3+C14-C27</f>
        <v>105459.348</v>
      </c>
    </row>
    <row r="29" spans="1:4" ht="12.75" customHeight="1" x14ac:dyDescent="0.2">
      <c r="B29" s="62"/>
      <c r="C29" s="88"/>
      <c r="D29" s="62"/>
    </row>
    <row r="30" spans="1:4" x14ac:dyDescent="0.2">
      <c r="A30" s="12" t="s">
        <v>616</v>
      </c>
      <c r="B30" s="62"/>
      <c r="C30" s="88"/>
      <c r="D30" s="62"/>
    </row>
    <row r="31" spans="1:4" x14ac:dyDescent="0.2">
      <c r="A31" s="17" t="s">
        <v>1099</v>
      </c>
    </row>
  </sheetData>
  <sheetProtection insertRows="0" deleteRows="0"/>
  <customSheetViews>
    <customSheetView guid="{2AF6EA2A-E5C5-45EB-B6C4-875AD1E4E056}" fitToPage="1">
      <selection activeCell="A2" sqref="A2"/>
      <pageMargins left="0.24" right="0.24" top="0.71" bottom="0.72" header="0.51181102362204722" footer="0.51181102362204722"/>
      <printOptions horizontalCentered="1"/>
      <pageSetup paperSize="9" orientation="landscape" horizontalDpi="300" verticalDpi="300" r:id="rId1"/>
      <headerFooter alignWithMargins="0"/>
    </customSheetView>
  </customSheetViews>
  <mergeCells count="4">
    <mergeCell ref="A4:A14"/>
    <mergeCell ref="A15:A27"/>
    <mergeCell ref="A3:B3"/>
    <mergeCell ref="A28:B28"/>
  </mergeCells>
  <printOptions horizontalCentered="1"/>
  <pageMargins left="0.24" right="0.24" top="0.71" bottom="0.72" header="0.51181102362204722" footer="0.51181102362204722"/>
  <pageSetup paperSize="9" orientation="landscape" horizontalDpi="300" verticalDpi="300" r:id="rId2"/>
  <headerFooter alignWithMargins="0"/>
  <drawing r:id="rId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8"/>
  <dimension ref="A1:H33"/>
  <sheetViews>
    <sheetView zoomScaleNormal="100" workbookViewId="0">
      <selection activeCell="A13" sqref="A11:A13"/>
    </sheetView>
  </sheetViews>
  <sheetFormatPr defaultRowHeight="12.75" x14ac:dyDescent="0.25"/>
  <cols>
    <col min="1" max="1" width="13.28515625" style="16" customWidth="1"/>
    <col min="2" max="2" width="54.7109375" style="16" customWidth="1"/>
    <col min="3" max="3" width="14.28515625" style="85" customWidth="1"/>
    <col min="4" max="4" width="56.42578125" style="16" customWidth="1"/>
    <col min="5" max="5" width="9.140625" style="16"/>
    <col min="6" max="6" width="17.5703125" style="16" customWidth="1"/>
    <col min="7" max="16384" width="9.140625" style="16"/>
  </cols>
  <sheetData>
    <row r="1" spans="1:8" ht="15.75" x14ac:dyDescent="0.25">
      <c r="A1" s="11" t="s">
        <v>1093</v>
      </c>
      <c r="B1" s="12"/>
      <c r="C1" s="16"/>
      <c r="D1" s="12"/>
    </row>
    <row r="2" spans="1:8" ht="13.5" thickBot="1" x14ac:dyDescent="0.3">
      <c r="A2" s="12"/>
      <c r="B2" s="12"/>
      <c r="C2" s="104" t="s">
        <v>480</v>
      </c>
      <c r="D2" s="12"/>
    </row>
    <row r="3" spans="1:8" ht="13.5" thickBot="1" x14ac:dyDescent="0.3">
      <c r="A3" s="1546" t="s">
        <v>501</v>
      </c>
      <c r="B3" s="1547"/>
      <c r="C3" s="288">
        <v>39157.875</v>
      </c>
    </row>
    <row r="4" spans="1:8" ht="12.75" customHeight="1" x14ac:dyDescent="0.25">
      <c r="A4" s="1554" t="s">
        <v>503</v>
      </c>
      <c r="B4" s="672" t="s">
        <v>689</v>
      </c>
      <c r="C4" s="271">
        <v>16397</v>
      </c>
      <c r="D4" s="253"/>
      <c r="E4" s="254"/>
      <c r="F4" s="255"/>
      <c r="G4" s="254"/>
    </row>
    <row r="5" spans="1:8" ht="12.75" customHeight="1" x14ac:dyDescent="0.25">
      <c r="A5" s="1555"/>
      <c r="B5" s="673" t="s">
        <v>525</v>
      </c>
      <c r="C5" s="271">
        <v>0</v>
      </c>
      <c r="D5" s="253"/>
      <c r="E5" s="254"/>
      <c r="F5" s="255"/>
      <c r="G5" s="254"/>
    </row>
    <row r="6" spans="1:8" ht="12.75" customHeight="1" thickBot="1" x14ac:dyDescent="0.3">
      <c r="A6" s="1556"/>
      <c r="B6" s="674" t="s">
        <v>690</v>
      </c>
      <c r="C6" s="272">
        <v>0</v>
      </c>
      <c r="D6" s="253"/>
      <c r="E6" s="254"/>
      <c r="F6" s="255"/>
      <c r="G6" s="254"/>
    </row>
    <row r="7" spans="1:8" ht="16.5" customHeight="1" thickBot="1" x14ac:dyDescent="0.3">
      <c r="A7" s="1557"/>
      <c r="B7" s="675" t="s">
        <v>485</v>
      </c>
      <c r="C7" s="273">
        <f>SUM(C4:C6)</f>
        <v>16397</v>
      </c>
      <c r="D7" s="253"/>
      <c r="E7" s="254"/>
      <c r="F7" s="255"/>
      <c r="G7" s="254"/>
    </row>
    <row r="8" spans="1:8" ht="16.5" customHeight="1" thickBot="1" x14ac:dyDescent="0.3">
      <c r="A8" s="1067" t="s">
        <v>507</v>
      </c>
      <c r="B8" s="676" t="s">
        <v>485</v>
      </c>
      <c r="C8" s="274">
        <v>16744</v>
      </c>
      <c r="D8" s="253"/>
      <c r="E8" s="254"/>
      <c r="F8" s="255"/>
      <c r="G8" s="254"/>
    </row>
    <row r="9" spans="1:8" ht="16.5" customHeight="1" thickBot="1" x14ac:dyDescent="0.3">
      <c r="A9" s="1558" t="s">
        <v>526</v>
      </c>
      <c r="B9" s="1559"/>
      <c r="C9" s="240">
        <f>C3+C7-C8</f>
        <v>38810.875</v>
      </c>
      <c r="D9" s="253"/>
      <c r="E9" s="254"/>
      <c r="F9" s="255"/>
      <c r="G9" s="254"/>
    </row>
    <row r="10" spans="1:8" ht="15" customHeight="1" x14ac:dyDescent="0.25">
      <c r="A10" s="95"/>
      <c r="B10" s="109"/>
      <c r="C10" s="256"/>
      <c r="D10" s="253"/>
      <c r="E10" s="254"/>
      <c r="F10" s="255"/>
      <c r="G10" s="254"/>
    </row>
    <row r="11" spans="1:8" x14ac:dyDescent="0.25">
      <c r="A11" s="12" t="s">
        <v>616</v>
      </c>
      <c r="B11" s="257"/>
      <c r="C11" s="258"/>
      <c r="D11" s="257"/>
      <c r="E11" s="259"/>
      <c r="F11" s="253"/>
      <c r="G11" s="253"/>
      <c r="H11" s="253"/>
    </row>
    <row r="12" spans="1:8" x14ac:dyDescent="0.25">
      <c r="A12" s="292" t="s">
        <v>831</v>
      </c>
      <c r="B12" s="291"/>
      <c r="C12" s="260"/>
      <c r="D12" s="257"/>
      <c r="E12" s="259"/>
      <c r="F12" s="253"/>
      <c r="G12" s="253"/>
      <c r="H12" s="253"/>
    </row>
    <row r="13" spans="1:8" x14ac:dyDescent="0.25">
      <c r="A13" s="17" t="s">
        <v>1117</v>
      </c>
      <c r="B13" s="111"/>
      <c r="C13" s="261"/>
      <c r="D13" s="111"/>
      <c r="E13" s="148"/>
      <c r="F13" s="148"/>
      <c r="G13" s="148"/>
      <c r="H13" s="148"/>
    </row>
    <row r="14" spans="1:8" x14ac:dyDescent="0.25">
      <c r="A14" s="158"/>
      <c r="B14" s="158"/>
      <c r="C14" s="262"/>
      <c r="D14" s="263"/>
      <c r="E14" s="264"/>
      <c r="F14" s="264"/>
      <c r="G14" s="264"/>
      <c r="H14" s="265"/>
    </row>
    <row r="15" spans="1:8" x14ac:dyDescent="0.25">
      <c r="A15" s="158"/>
      <c r="B15" s="158"/>
      <c r="C15" s="266"/>
      <c r="D15" s="158"/>
      <c r="E15" s="265"/>
      <c r="F15" s="265"/>
      <c r="G15" s="264"/>
      <c r="H15" s="265"/>
    </row>
    <row r="16" spans="1:8" x14ac:dyDescent="0.25">
      <c r="A16" s="267"/>
      <c r="B16" s="267"/>
      <c r="C16" s="268"/>
      <c r="D16" s="265"/>
      <c r="E16" s="265"/>
      <c r="F16" s="265"/>
      <c r="G16" s="265"/>
      <c r="H16" s="265"/>
    </row>
    <row r="17" spans="1:8" x14ac:dyDescent="0.25">
      <c r="A17" s="269"/>
      <c r="B17" s="269"/>
      <c r="C17" s="270"/>
      <c r="D17" s="269"/>
      <c r="E17" s="269"/>
      <c r="F17" s="269"/>
      <c r="G17" s="269"/>
      <c r="H17" s="269"/>
    </row>
    <row r="18" spans="1:8" x14ac:dyDescent="0.25">
      <c r="A18" s="269"/>
      <c r="B18" s="269"/>
      <c r="C18" s="270"/>
      <c r="D18" s="269"/>
      <c r="E18" s="269"/>
      <c r="F18" s="269"/>
      <c r="G18" s="269"/>
      <c r="H18" s="269"/>
    </row>
    <row r="19" spans="1:8" x14ac:dyDescent="0.25">
      <c r="A19" s="148"/>
      <c r="B19" s="148"/>
      <c r="C19" s="159"/>
      <c r="D19" s="148"/>
      <c r="E19" s="148"/>
      <c r="F19" s="148"/>
      <c r="G19" s="148"/>
      <c r="H19" s="148"/>
    </row>
    <row r="20" spans="1:8" x14ac:dyDescent="0.25">
      <c r="A20" s="148"/>
      <c r="B20" s="148"/>
      <c r="C20" s="159"/>
      <c r="D20" s="148"/>
      <c r="E20" s="148"/>
      <c r="F20" s="148"/>
      <c r="G20" s="148"/>
      <c r="H20" s="148"/>
    </row>
    <row r="21" spans="1:8" x14ac:dyDescent="0.25">
      <c r="A21" s="148"/>
      <c r="B21" s="148"/>
      <c r="C21" s="159"/>
      <c r="D21" s="148"/>
      <c r="E21" s="148"/>
      <c r="F21" s="148"/>
      <c r="G21" s="148"/>
      <c r="H21" s="148"/>
    </row>
    <row r="22" spans="1:8" x14ac:dyDescent="0.25">
      <c r="A22" s="148"/>
      <c r="B22" s="148"/>
      <c r="C22" s="159"/>
      <c r="D22" s="148"/>
      <c r="E22" s="148"/>
      <c r="F22" s="148"/>
      <c r="G22" s="148"/>
      <c r="H22" s="148"/>
    </row>
    <row r="23" spans="1:8" x14ac:dyDescent="0.25">
      <c r="A23" s="148"/>
      <c r="B23" s="148"/>
      <c r="C23" s="159"/>
      <c r="D23" s="148"/>
      <c r="E23" s="148"/>
      <c r="F23" s="148"/>
      <c r="G23" s="148"/>
      <c r="H23" s="148"/>
    </row>
    <row r="24" spans="1:8" x14ac:dyDescent="0.25">
      <c r="A24" s="148"/>
      <c r="B24" s="148"/>
      <c r="C24" s="159"/>
      <c r="D24" s="148"/>
      <c r="E24" s="148"/>
      <c r="F24" s="148"/>
      <c r="G24" s="148"/>
      <c r="H24" s="148"/>
    </row>
    <row r="25" spans="1:8" x14ac:dyDescent="0.25">
      <c r="A25" s="148"/>
      <c r="B25" s="148"/>
      <c r="C25" s="159"/>
      <c r="D25" s="148"/>
      <c r="E25" s="148"/>
      <c r="F25" s="148"/>
      <c r="G25" s="148"/>
      <c r="H25" s="148"/>
    </row>
    <row r="26" spans="1:8" x14ac:dyDescent="0.25">
      <c r="A26" s="148"/>
      <c r="B26" s="148"/>
      <c r="C26" s="159"/>
      <c r="D26" s="148"/>
      <c r="E26" s="148"/>
      <c r="F26" s="148"/>
      <c r="G26" s="148"/>
      <c r="H26" s="148"/>
    </row>
    <row r="27" spans="1:8" x14ac:dyDescent="0.25">
      <c r="A27" s="148"/>
      <c r="B27" s="148"/>
      <c r="C27" s="159"/>
      <c r="D27" s="148"/>
      <c r="E27" s="148"/>
      <c r="F27" s="148"/>
      <c r="G27" s="148"/>
      <c r="H27" s="148"/>
    </row>
    <row r="28" spans="1:8" x14ac:dyDescent="0.25">
      <c r="A28" s="148"/>
      <c r="B28" s="148"/>
      <c r="C28" s="159"/>
      <c r="D28" s="148"/>
      <c r="E28" s="148"/>
      <c r="F28" s="148"/>
      <c r="G28" s="148"/>
      <c r="H28" s="148"/>
    </row>
    <row r="29" spans="1:8" x14ac:dyDescent="0.25">
      <c r="A29" s="148"/>
      <c r="B29" s="148"/>
      <c r="C29" s="159"/>
      <c r="D29" s="148"/>
      <c r="E29" s="148"/>
      <c r="F29" s="148"/>
      <c r="G29" s="148"/>
      <c r="H29" s="148"/>
    </row>
    <row r="30" spans="1:8" x14ac:dyDescent="0.25">
      <c r="A30" s="148"/>
      <c r="B30" s="148"/>
      <c r="C30" s="159"/>
      <c r="D30" s="148"/>
      <c r="E30" s="148"/>
      <c r="F30" s="148"/>
      <c r="G30" s="148"/>
      <c r="H30" s="148"/>
    </row>
    <row r="31" spans="1:8" x14ac:dyDescent="0.25">
      <c r="A31" s="148"/>
      <c r="B31" s="148"/>
      <c r="C31" s="159"/>
      <c r="D31" s="148"/>
      <c r="E31" s="148"/>
      <c r="F31" s="148"/>
      <c r="G31" s="148"/>
      <c r="H31" s="148"/>
    </row>
    <row r="32" spans="1:8" x14ac:dyDescent="0.25">
      <c r="A32" s="148"/>
      <c r="B32" s="148"/>
      <c r="C32" s="159"/>
      <c r="D32" s="148"/>
      <c r="E32" s="148"/>
      <c r="F32" s="148"/>
      <c r="G32" s="148"/>
      <c r="H32" s="148"/>
    </row>
    <row r="33" spans="1:8" x14ac:dyDescent="0.25">
      <c r="A33" s="148"/>
      <c r="B33" s="148"/>
      <c r="C33" s="159"/>
      <c r="D33" s="148"/>
      <c r="E33" s="148"/>
      <c r="F33" s="148"/>
      <c r="G33" s="148"/>
      <c r="H33" s="148"/>
    </row>
  </sheetData>
  <sheetProtection insertRows="0"/>
  <customSheetViews>
    <customSheetView guid="{2AF6EA2A-E5C5-45EB-B6C4-875AD1E4E056}">
      <selection activeCell="A2" sqref="A2"/>
      <pageMargins left="0.78740157480314965" right="0.78740157480314965" top="0.98425196850393704" bottom="0.98425196850393704" header="0.51181102362204722" footer="0.51181102362204722"/>
      <printOptions horizontalCentered="1"/>
      <pageSetup paperSize="9" orientation="landscape" cellComments="asDisplayed" horizontalDpi="300" verticalDpi="300" r:id="rId1"/>
      <headerFooter alignWithMargins="0"/>
    </customSheetView>
  </customSheetViews>
  <mergeCells count="3">
    <mergeCell ref="A4:A7"/>
    <mergeCell ref="A3:B3"/>
    <mergeCell ref="A9:B9"/>
  </mergeCells>
  <printOptions horizontalCentered="1"/>
  <pageMargins left="0.78740157480314965" right="0.78740157480314965" top="0.98425196850393704" bottom="0.98425196850393704" header="0.51181102362204722" footer="0.51181102362204722"/>
  <pageSetup paperSize="9" orientation="landscape" cellComments="asDisplayed" horizontalDpi="300" verticalDpi="300" r:id="rId2"/>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9"/>
  <dimension ref="A1:E22"/>
  <sheetViews>
    <sheetView zoomScaleNormal="100" workbookViewId="0">
      <selection activeCell="A2" sqref="A2:C16"/>
    </sheetView>
  </sheetViews>
  <sheetFormatPr defaultRowHeight="12.75" x14ac:dyDescent="0.2"/>
  <cols>
    <col min="1" max="1" width="15.5703125" style="60" customWidth="1"/>
    <col min="2" max="2" width="32" style="60" customWidth="1"/>
    <col min="3" max="3" width="17.85546875" style="90" customWidth="1"/>
    <col min="4" max="16384" width="9.140625" style="60"/>
  </cols>
  <sheetData>
    <row r="1" spans="1:5" ht="13.5" customHeight="1" x14ac:dyDescent="0.25">
      <c r="A1" s="80" t="s">
        <v>1094</v>
      </c>
      <c r="B1" s="62"/>
      <c r="D1" s="62"/>
      <c r="E1" s="62"/>
    </row>
    <row r="2" spans="1:5" ht="13.5" thickBot="1" x14ac:dyDescent="0.25">
      <c r="A2" s="62"/>
      <c r="B2" s="62"/>
      <c r="C2" s="91" t="s">
        <v>480</v>
      </c>
      <c r="D2" s="62"/>
      <c r="E2" s="62"/>
    </row>
    <row r="3" spans="1:5" ht="13.5" thickBot="1" x14ac:dyDescent="0.25">
      <c r="A3" s="1546" t="s">
        <v>501</v>
      </c>
      <c r="B3" s="1547"/>
      <c r="C3" s="288">
        <v>11336.254999999999</v>
      </c>
      <c r="D3" s="62"/>
      <c r="E3" s="62"/>
    </row>
    <row r="4" spans="1:5" x14ac:dyDescent="0.2">
      <c r="A4" s="1541" t="s">
        <v>503</v>
      </c>
      <c r="B4" s="688" t="s">
        <v>1100</v>
      </c>
      <c r="C4" s="239">
        <v>1148</v>
      </c>
      <c r="D4" s="62"/>
      <c r="E4" s="62"/>
    </row>
    <row r="5" spans="1:5" x14ac:dyDescent="0.2">
      <c r="A5" s="1542"/>
      <c r="B5" s="689" t="s">
        <v>527</v>
      </c>
      <c r="C5" s="167">
        <v>0</v>
      </c>
      <c r="D5" s="62"/>
      <c r="E5" s="62"/>
    </row>
    <row r="6" spans="1:5" x14ac:dyDescent="0.2">
      <c r="A6" s="1542"/>
      <c r="B6" s="689" t="s">
        <v>504</v>
      </c>
      <c r="C6" s="167">
        <v>0</v>
      </c>
      <c r="D6" s="62"/>
      <c r="E6" s="62"/>
    </row>
    <row r="7" spans="1:5" x14ac:dyDescent="0.2">
      <c r="A7" s="1542"/>
      <c r="B7" s="1059" t="s">
        <v>506</v>
      </c>
      <c r="C7" s="169">
        <v>0</v>
      </c>
      <c r="D7" s="62"/>
      <c r="E7" s="62"/>
    </row>
    <row r="8" spans="1:5" ht="13.5" thickBot="1" x14ac:dyDescent="0.25">
      <c r="A8" s="1542"/>
      <c r="B8" s="1059" t="s">
        <v>686</v>
      </c>
      <c r="C8" s="169">
        <v>0</v>
      </c>
      <c r="D8" s="62"/>
      <c r="E8" s="62"/>
    </row>
    <row r="9" spans="1:5" ht="13.5" thickBot="1" x14ac:dyDescent="0.25">
      <c r="A9" s="1543"/>
      <c r="B9" s="690" t="s">
        <v>485</v>
      </c>
      <c r="C9" s="275">
        <f>SUM(C4:C8)</f>
        <v>1148</v>
      </c>
      <c r="D9" s="62"/>
      <c r="E9" s="62"/>
    </row>
    <row r="10" spans="1:5" x14ac:dyDescent="0.2">
      <c r="A10" s="1560" t="s">
        <v>507</v>
      </c>
      <c r="B10" s="688" t="s">
        <v>528</v>
      </c>
      <c r="C10" s="165">
        <v>0</v>
      </c>
      <c r="D10" s="62"/>
      <c r="E10" s="62"/>
    </row>
    <row r="11" spans="1:5" x14ac:dyDescent="0.2">
      <c r="A11" s="1542"/>
      <c r="B11" s="689" t="s">
        <v>529</v>
      </c>
      <c r="C11" s="167">
        <v>0</v>
      </c>
      <c r="D11" s="62"/>
      <c r="E11" s="62"/>
    </row>
    <row r="12" spans="1:5" x14ac:dyDescent="0.2">
      <c r="A12" s="1542"/>
      <c r="B12" s="689" t="s">
        <v>509</v>
      </c>
      <c r="C12" s="167">
        <v>0</v>
      </c>
      <c r="D12" s="62"/>
      <c r="E12" s="62"/>
    </row>
    <row r="13" spans="1:5" x14ac:dyDescent="0.2">
      <c r="A13" s="1542"/>
      <c r="B13" s="689" t="s">
        <v>511</v>
      </c>
      <c r="C13" s="167">
        <v>0</v>
      </c>
      <c r="D13" s="62"/>
      <c r="E13" s="62"/>
    </row>
    <row r="14" spans="1:5" ht="13.5" thickBot="1" x14ac:dyDescent="0.25">
      <c r="A14" s="1542"/>
      <c r="B14" s="689" t="s">
        <v>687</v>
      </c>
      <c r="C14" s="167">
        <v>0</v>
      </c>
      <c r="D14" s="62"/>
      <c r="E14" s="62"/>
    </row>
    <row r="15" spans="1:5" ht="13.5" thickBot="1" x14ac:dyDescent="0.25">
      <c r="A15" s="1543"/>
      <c r="B15" s="690" t="s">
        <v>485</v>
      </c>
      <c r="C15" s="275">
        <f>SUM(C10:C14)</f>
        <v>0</v>
      </c>
      <c r="D15" s="62"/>
      <c r="E15" s="62"/>
    </row>
    <row r="16" spans="1:5" ht="13.5" thickBot="1" x14ac:dyDescent="0.25">
      <c r="A16" s="1546" t="s">
        <v>502</v>
      </c>
      <c r="B16" s="1547"/>
      <c r="C16" s="275">
        <f>C3+C9-C15</f>
        <v>12484.254999999999</v>
      </c>
      <c r="D16" s="62"/>
      <c r="E16" s="62"/>
    </row>
    <row r="17" spans="1:5" x14ac:dyDescent="0.2">
      <c r="A17" s="62"/>
      <c r="B17" s="30"/>
      <c r="C17" s="88"/>
      <c r="D17" s="62"/>
      <c r="E17" s="62"/>
    </row>
    <row r="18" spans="1:5" x14ac:dyDescent="0.2">
      <c r="A18" s="12" t="s">
        <v>616</v>
      </c>
      <c r="B18" s="62"/>
      <c r="C18" s="88"/>
      <c r="D18" s="62"/>
      <c r="E18" s="62"/>
    </row>
    <row r="19" spans="1:5" x14ac:dyDescent="0.2">
      <c r="A19" s="17" t="s">
        <v>1099</v>
      </c>
      <c r="B19" s="62"/>
      <c r="C19" s="88"/>
      <c r="D19" s="62"/>
      <c r="E19" s="62"/>
    </row>
    <row r="20" spans="1:5" x14ac:dyDescent="0.2">
      <c r="A20" s="62"/>
      <c r="B20" s="62"/>
      <c r="C20" s="88"/>
      <c r="D20" s="62"/>
      <c r="E20" s="62"/>
    </row>
    <row r="21" spans="1:5" x14ac:dyDescent="0.2">
      <c r="A21" s="62"/>
      <c r="B21" s="62"/>
      <c r="C21" s="88"/>
      <c r="D21" s="62"/>
      <c r="E21" s="62"/>
    </row>
    <row r="22" spans="1:5" x14ac:dyDescent="0.2">
      <c r="A22" s="62"/>
      <c r="B22" s="62"/>
      <c r="C22" s="88"/>
      <c r="D22" s="62"/>
      <c r="E22" s="62"/>
    </row>
  </sheetData>
  <customSheetViews>
    <customSheetView guid="{2AF6EA2A-E5C5-45EB-B6C4-875AD1E4E056}">
      <selection activeCell="A2" sqref="A2"/>
      <pageMargins left="0.78740157480314965" right="0.78740157480314965" top="0.98425196850393704" bottom="0.98425196850393704" header="0.51181102362204722" footer="0.51181102362204722"/>
      <printOptions horizontalCentered="1"/>
      <pageSetup paperSize="9" orientation="landscape" r:id="rId1"/>
      <headerFooter alignWithMargins="0"/>
    </customSheetView>
  </customSheetViews>
  <mergeCells count="4">
    <mergeCell ref="A4:A9"/>
    <mergeCell ref="A10:A15"/>
    <mergeCell ref="A3:B3"/>
    <mergeCell ref="A16:B16"/>
  </mergeCells>
  <printOptions horizontalCentered="1"/>
  <pageMargins left="0.78740157480314965" right="0.78740157480314965" top="0.98425196850393704" bottom="0.98425196850393704" header="0.51181102362204722" footer="0.51181102362204722"/>
  <pageSetup paperSize="9" orientation="landscape" r:id="rId2"/>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0"/>
  <dimension ref="A1:H26"/>
  <sheetViews>
    <sheetView zoomScaleNormal="100" workbookViewId="0">
      <selection activeCell="B30" sqref="B30"/>
    </sheetView>
  </sheetViews>
  <sheetFormatPr defaultRowHeight="12.75" x14ac:dyDescent="0.25"/>
  <cols>
    <col min="1" max="1" width="11.85546875" style="16" customWidth="1"/>
    <col min="2" max="2" width="77.42578125" style="16" bestFit="1" customWidth="1"/>
    <col min="3" max="5" width="10.42578125" style="85" customWidth="1"/>
    <col min="6" max="6" width="17.5703125" style="16" customWidth="1"/>
    <col min="7" max="16384" width="9.140625" style="16"/>
  </cols>
  <sheetData>
    <row r="1" spans="1:8" ht="15.75" x14ac:dyDescent="0.25">
      <c r="A1" s="11" t="s">
        <v>1095</v>
      </c>
      <c r="B1" s="12"/>
      <c r="C1" s="84"/>
      <c r="D1" s="84"/>
      <c r="F1" s="12"/>
      <c r="G1" s="12"/>
      <c r="H1" s="12"/>
    </row>
    <row r="2" spans="1:8" ht="13.5" thickBot="1" x14ac:dyDescent="0.3">
      <c r="A2" s="12"/>
      <c r="B2" s="12"/>
      <c r="C2" s="84"/>
      <c r="D2" s="84"/>
      <c r="E2" s="104" t="s">
        <v>480</v>
      </c>
      <c r="F2" s="12"/>
      <c r="G2" s="12"/>
      <c r="H2" s="12"/>
    </row>
    <row r="3" spans="1:8" s="28" customFormat="1" ht="17.25" customHeight="1" thickBot="1" x14ac:dyDescent="0.3">
      <c r="A3" s="105"/>
      <c r="B3" s="106" t="s">
        <v>493</v>
      </c>
      <c r="C3" s="107" t="s">
        <v>530</v>
      </c>
      <c r="D3" s="107" t="s">
        <v>531</v>
      </c>
      <c r="E3" s="108" t="s">
        <v>486</v>
      </c>
      <c r="F3" s="27"/>
      <c r="G3" s="27"/>
      <c r="H3" s="27"/>
    </row>
    <row r="4" spans="1:8" ht="12.75" customHeight="1" x14ac:dyDescent="0.25">
      <c r="A4" s="1556" t="s">
        <v>501</v>
      </c>
      <c r="B4" s="935" t="s">
        <v>532</v>
      </c>
      <c r="C4" s="287">
        <v>0</v>
      </c>
      <c r="D4" s="287">
        <v>0</v>
      </c>
      <c r="E4" s="276">
        <f t="shared" ref="E4:E7" si="0">SUM(C4:D4)</f>
        <v>0</v>
      </c>
      <c r="F4" s="12"/>
      <c r="G4" s="12"/>
      <c r="H4" s="12"/>
    </row>
    <row r="5" spans="1:8" ht="12.75" customHeight="1" x14ac:dyDescent="0.25">
      <c r="A5" s="1556"/>
      <c r="B5" s="689" t="s">
        <v>533</v>
      </c>
      <c r="C5" s="287">
        <v>0</v>
      </c>
      <c r="D5" s="287">
        <v>0</v>
      </c>
      <c r="E5" s="283">
        <f t="shared" si="0"/>
        <v>0</v>
      </c>
      <c r="F5" s="109"/>
      <c r="G5" s="110"/>
      <c r="H5" s="12"/>
    </row>
    <row r="6" spans="1:8" ht="12.75" customHeight="1" x14ac:dyDescent="0.25">
      <c r="A6" s="1556"/>
      <c r="B6" s="689" t="s">
        <v>576</v>
      </c>
      <c r="C6" s="287">
        <v>753</v>
      </c>
      <c r="D6" s="287">
        <v>0</v>
      </c>
      <c r="E6" s="283">
        <f t="shared" si="0"/>
        <v>753</v>
      </c>
      <c r="F6" s="109"/>
      <c r="G6" s="110"/>
      <c r="H6" s="12"/>
    </row>
    <row r="7" spans="1:8" ht="12.75" customHeight="1" thickBot="1" x14ac:dyDescent="0.3">
      <c r="A7" s="1556"/>
      <c r="B7" s="934" t="s">
        <v>577</v>
      </c>
      <c r="C7" s="287">
        <v>641</v>
      </c>
      <c r="D7" s="287">
        <v>0</v>
      </c>
      <c r="E7" s="278">
        <f t="shared" si="0"/>
        <v>641</v>
      </c>
      <c r="F7" s="109"/>
      <c r="G7" s="110"/>
      <c r="H7" s="12"/>
    </row>
    <row r="8" spans="1:8" ht="13.5" thickBot="1" x14ac:dyDescent="0.3">
      <c r="A8" s="1557"/>
      <c r="B8" s="693" t="s">
        <v>486</v>
      </c>
      <c r="C8" s="279">
        <f>SUM(C4:C7)</f>
        <v>1394</v>
      </c>
      <c r="D8" s="279">
        <f>SUM(D4:D7)</f>
        <v>0</v>
      </c>
      <c r="E8" s="280">
        <f>SUM(E4:E7)</f>
        <v>1394</v>
      </c>
      <c r="F8" s="109"/>
      <c r="G8" s="110"/>
      <c r="H8" s="12"/>
    </row>
    <row r="9" spans="1:8" x14ac:dyDescent="0.25">
      <c r="A9" s="1554" t="s">
        <v>534</v>
      </c>
      <c r="B9" s="935" t="s">
        <v>532</v>
      </c>
      <c r="C9" s="287">
        <v>0</v>
      </c>
      <c r="D9" s="281">
        <v>0</v>
      </c>
      <c r="E9" s="282">
        <f t="shared" ref="E9:E17" si="1">SUM(C9:D9)</f>
        <v>0</v>
      </c>
      <c r="F9" s="111"/>
      <c r="G9" s="111"/>
      <c r="H9" s="111"/>
    </row>
    <row r="10" spans="1:8" x14ac:dyDescent="0.25">
      <c r="A10" s="1555"/>
      <c r="B10" s="689" t="s">
        <v>533</v>
      </c>
      <c r="C10" s="287">
        <v>0</v>
      </c>
      <c r="D10" s="166">
        <v>0</v>
      </c>
      <c r="E10" s="283">
        <f t="shared" si="1"/>
        <v>0</v>
      </c>
      <c r="F10" s="111"/>
      <c r="G10" s="111"/>
      <c r="H10" s="111"/>
    </row>
    <row r="11" spans="1:8" x14ac:dyDescent="0.25">
      <c r="A11" s="1555"/>
      <c r="B11" s="689" t="s">
        <v>576</v>
      </c>
      <c r="C11" s="287">
        <v>1202</v>
      </c>
      <c r="D11" s="166">
        <v>0</v>
      </c>
      <c r="E11" s="283">
        <f t="shared" si="1"/>
        <v>1202</v>
      </c>
      <c r="F11" s="12"/>
      <c r="G11" s="12"/>
      <c r="H11" s="12"/>
    </row>
    <row r="12" spans="1:8" ht="13.5" thickBot="1" x14ac:dyDescent="0.3">
      <c r="A12" s="1555"/>
      <c r="B12" s="934" t="s">
        <v>577</v>
      </c>
      <c r="C12" s="287">
        <v>340</v>
      </c>
      <c r="D12" s="166">
        <v>0</v>
      </c>
      <c r="E12" s="284">
        <f t="shared" si="1"/>
        <v>340</v>
      </c>
      <c r="F12" s="12"/>
      <c r="G12" s="12"/>
      <c r="H12" s="12"/>
    </row>
    <row r="13" spans="1:8" ht="13.5" thickBot="1" x14ac:dyDescent="0.3">
      <c r="A13" s="1561"/>
      <c r="B13" s="694" t="s">
        <v>485</v>
      </c>
      <c r="C13" s="285">
        <f>SUM(C9:C12)</f>
        <v>1542</v>
      </c>
      <c r="D13" s="285">
        <f>SUM(D9:D12)</f>
        <v>0</v>
      </c>
      <c r="E13" s="286">
        <f>SUM(C13:D13)</f>
        <v>1542</v>
      </c>
      <c r="F13" s="12"/>
      <c r="G13" s="12"/>
      <c r="H13" s="12"/>
    </row>
    <row r="14" spans="1:8" x14ac:dyDescent="0.25">
      <c r="A14" s="1554" t="s">
        <v>535</v>
      </c>
      <c r="B14" s="935" t="s">
        <v>532</v>
      </c>
      <c r="C14" s="287">
        <v>0</v>
      </c>
      <c r="D14" s="164">
        <v>0</v>
      </c>
      <c r="E14" s="283">
        <f t="shared" si="1"/>
        <v>0</v>
      </c>
      <c r="F14" s="111"/>
      <c r="G14" s="111"/>
      <c r="H14" s="111"/>
    </row>
    <row r="15" spans="1:8" x14ac:dyDescent="0.25">
      <c r="A15" s="1555"/>
      <c r="B15" s="689" t="s">
        <v>533</v>
      </c>
      <c r="C15" s="287">
        <v>0</v>
      </c>
      <c r="D15" s="166">
        <v>0</v>
      </c>
      <c r="E15" s="283">
        <f t="shared" si="1"/>
        <v>0</v>
      </c>
      <c r="F15" s="111"/>
      <c r="G15" s="111"/>
      <c r="H15" s="111"/>
    </row>
    <row r="16" spans="1:8" x14ac:dyDescent="0.25">
      <c r="A16" s="1555"/>
      <c r="B16" s="689" t="s">
        <v>576</v>
      </c>
      <c r="C16" s="287">
        <v>753</v>
      </c>
      <c r="D16" s="166">
        <v>0</v>
      </c>
      <c r="E16" s="283">
        <f t="shared" si="1"/>
        <v>753</v>
      </c>
      <c r="F16" s="12"/>
      <c r="G16" s="12"/>
      <c r="H16" s="12"/>
    </row>
    <row r="17" spans="1:8" ht="13.5" thickBot="1" x14ac:dyDescent="0.3">
      <c r="A17" s="1555"/>
      <c r="B17" s="934" t="s">
        <v>577</v>
      </c>
      <c r="C17" s="287">
        <v>641</v>
      </c>
      <c r="D17" s="166">
        <v>0</v>
      </c>
      <c r="E17" s="284">
        <f t="shared" si="1"/>
        <v>641</v>
      </c>
      <c r="F17" s="12"/>
      <c r="G17" s="12"/>
      <c r="H17" s="12"/>
    </row>
    <row r="18" spans="1:8" ht="13.5" thickBot="1" x14ac:dyDescent="0.3">
      <c r="A18" s="1561"/>
      <c r="B18" s="693" t="s">
        <v>486</v>
      </c>
      <c r="C18" s="285">
        <f>SUM(C14:C17)</f>
        <v>1394</v>
      </c>
      <c r="D18" s="285">
        <f>SUM(D14:D17)</f>
        <v>0</v>
      </c>
      <c r="E18" s="286">
        <f>SUM(C18:D18)</f>
        <v>1394</v>
      </c>
      <c r="F18" s="12"/>
      <c r="G18" s="12"/>
      <c r="H18" s="12"/>
    </row>
    <row r="19" spans="1:8" x14ac:dyDescent="0.25">
      <c r="A19" s="1556" t="s">
        <v>502</v>
      </c>
      <c r="B19" s="935" t="s">
        <v>532</v>
      </c>
      <c r="C19" s="287">
        <f t="shared" ref="C19:D22" si="2">C4+C9-C14</f>
        <v>0</v>
      </c>
      <c r="D19" s="287">
        <f t="shared" si="2"/>
        <v>0</v>
      </c>
      <c r="E19" s="276">
        <f>SUM(C19:D19)</f>
        <v>0</v>
      </c>
      <c r="F19" s="12"/>
      <c r="G19" s="12"/>
      <c r="H19" s="12"/>
    </row>
    <row r="20" spans="1:8" x14ac:dyDescent="0.25">
      <c r="A20" s="1556"/>
      <c r="B20" s="689" t="s">
        <v>533</v>
      </c>
      <c r="C20" s="287">
        <f t="shared" si="2"/>
        <v>0</v>
      </c>
      <c r="D20" s="287">
        <f t="shared" si="2"/>
        <v>0</v>
      </c>
      <c r="E20" s="277">
        <f>SUM(C20:D20)</f>
        <v>0</v>
      </c>
      <c r="F20" s="12"/>
      <c r="G20" s="12"/>
      <c r="H20" s="12"/>
    </row>
    <row r="21" spans="1:8" x14ac:dyDescent="0.25">
      <c r="A21" s="1556"/>
      <c r="B21" s="689" t="s">
        <v>576</v>
      </c>
      <c r="C21" s="287">
        <f t="shared" si="2"/>
        <v>1202</v>
      </c>
      <c r="D21" s="287">
        <f t="shared" si="2"/>
        <v>0</v>
      </c>
      <c r="E21" s="278">
        <f>SUM(C21:D21)</f>
        <v>1202</v>
      </c>
      <c r="F21" s="12"/>
      <c r="G21" s="12"/>
      <c r="H21" s="12"/>
    </row>
    <row r="22" spans="1:8" ht="13.5" thickBot="1" x14ac:dyDescent="0.3">
      <c r="A22" s="1556"/>
      <c r="B22" s="934" t="s">
        <v>577</v>
      </c>
      <c r="C22" s="287">
        <f t="shared" si="2"/>
        <v>340</v>
      </c>
      <c r="D22" s="287">
        <f t="shared" si="2"/>
        <v>0</v>
      </c>
      <c r="E22" s="278">
        <f>SUM(C22:D22)</f>
        <v>340</v>
      </c>
      <c r="F22" s="12"/>
      <c r="G22" s="12"/>
      <c r="H22" s="12"/>
    </row>
    <row r="23" spans="1:8" ht="13.5" thickBot="1" x14ac:dyDescent="0.3">
      <c r="A23" s="1557"/>
      <c r="B23" s="693" t="s">
        <v>486</v>
      </c>
      <c r="C23" s="279">
        <f>SUM(C19:C22)</f>
        <v>1542</v>
      </c>
      <c r="D23" s="279">
        <f>SUM(D19:D22)</f>
        <v>0</v>
      </c>
      <c r="E23" s="280">
        <f>SUM(E19:E22)</f>
        <v>1542</v>
      </c>
    </row>
    <row r="25" spans="1:8" x14ac:dyDescent="0.25">
      <c r="A25" s="112"/>
      <c r="C25" s="113"/>
    </row>
    <row r="26" spans="1:8" x14ac:dyDescent="0.25">
      <c r="B26" s="112"/>
    </row>
  </sheetData>
  <sheetProtection insertRows="0" deleteRows="0"/>
  <customSheetViews>
    <customSheetView guid="{2AF6EA2A-E5C5-45EB-B6C4-875AD1E4E056}">
      <selection activeCell="A2" sqref="A2"/>
      <pageMargins left="0.2" right="0.2" top="0.98425196850393704" bottom="0.98425196850393704" header="0.51181102362204722" footer="0.51181102362204722"/>
      <printOptions horizontalCentered="1"/>
      <pageSetup paperSize="9" orientation="landscape" cellComments="asDisplayed" horizontalDpi="300" verticalDpi="300" r:id="rId1"/>
      <headerFooter alignWithMargins="0"/>
    </customSheetView>
  </customSheetViews>
  <mergeCells count="4">
    <mergeCell ref="A4:A8"/>
    <mergeCell ref="A9:A13"/>
    <mergeCell ref="A14:A18"/>
    <mergeCell ref="A19:A23"/>
  </mergeCells>
  <printOptions horizontalCentered="1"/>
  <pageMargins left="0.2" right="0.2" top="0.98425196850393704" bottom="0.98425196850393704" header="0.51181102362204722" footer="0.51181102362204722"/>
  <pageSetup paperSize="9" orientation="landscape" cellComments="asDisplayed" horizontalDpi="300" verticalDpi="300" r:id="rId2"/>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1"/>
  <dimension ref="A1:F25"/>
  <sheetViews>
    <sheetView zoomScaleNormal="100" workbookViewId="0">
      <selection activeCell="C39" sqref="C39"/>
    </sheetView>
  </sheetViews>
  <sheetFormatPr defaultRowHeight="12.75" x14ac:dyDescent="0.2"/>
  <cols>
    <col min="1" max="1" width="12.85546875" style="114" customWidth="1"/>
    <col min="2" max="2" width="58.140625" style="114" customWidth="1"/>
    <col min="3" max="3" width="11.85546875" style="115" customWidth="1"/>
    <col min="4" max="4" width="17.5703125" style="114" customWidth="1"/>
    <col min="5" max="16384" width="9.140625" style="114"/>
  </cols>
  <sheetData>
    <row r="1" spans="1:6" ht="15.75" x14ac:dyDescent="0.25">
      <c r="A1" s="116" t="s">
        <v>1096</v>
      </c>
    </row>
    <row r="2" spans="1:6" ht="13.5" thickBot="1" x14ac:dyDescent="0.25">
      <c r="C2" s="117" t="s">
        <v>480</v>
      </c>
    </row>
    <row r="3" spans="1:6" ht="13.5" thickBot="1" x14ac:dyDescent="0.25">
      <c r="A3" s="1546" t="s">
        <v>501</v>
      </c>
      <c r="B3" s="1547"/>
      <c r="C3" s="288">
        <v>0</v>
      </c>
    </row>
    <row r="4" spans="1:6" ht="13.5" thickBot="1" x14ac:dyDescent="0.25">
      <c r="A4" s="1065" t="s">
        <v>503</v>
      </c>
      <c r="B4" s="1062" t="s">
        <v>536</v>
      </c>
      <c r="C4" s="239">
        <v>0</v>
      </c>
      <c r="D4" s="118"/>
      <c r="E4" s="119"/>
    </row>
    <row r="5" spans="1:6" x14ac:dyDescent="0.2">
      <c r="A5" s="1548" t="s">
        <v>507</v>
      </c>
      <c r="B5" s="1062" t="s">
        <v>688</v>
      </c>
      <c r="C5" s="241">
        <v>0</v>
      </c>
      <c r="D5" s="120"/>
      <c r="E5" s="120"/>
      <c r="F5" s="120"/>
    </row>
    <row r="6" spans="1:6" x14ac:dyDescent="0.2">
      <c r="A6" s="1549"/>
      <c r="B6" s="695"/>
      <c r="C6" s="167">
        <v>0</v>
      </c>
      <c r="D6" s="121"/>
      <c r="E6" s="121"/>
      <c r="F6" s="122"/>
    </row>
    <row r="7" spans="1:6" x14ac:dyDescent="0.2">
      <c r="A7" s="1549"/>
      <c r="B7" s="1066"/>
      <c r="C7" s="167">
        <v>0</v>
      </c>
      <c r="D7" s="122"/>
      <c r="E7" s="121"/>
      <c r="F7" s="122"/>
    </row>
    <row r="8" spans="1:6" x14ac:dyDescent="0.2">
      <c r="A8" s="1549"/>
      <c r="B8" s="1066"/>
      <c r="C8" s="167">
        <v>0</v>
      </c>
      <c r="D8" s="122"/>
      <c r="E8" s="122"/>
      <c r="F8" s="122"/>
    </row>
    <row r="9" spans="1:6" ht="13.5" thickBot="1" x14ac:dyDescent="0.25">
      <c r="A9" s="1549"/>
      <c r="B9" s="696"/>
      <c r="C9" s="169">
        <v>0</v>
      </c>
      <c r="D9" s="123"/>
      <c r="E9" s="123"/>
      <c r="F9" s="123"/>
    </row>
    <row r="10" spans="1:6" ht="13.5" thickBot="1" x14ac:dyDescent="0.25">
      <c r="A10" s="1550"/>
      <c r="B10" s="1064" t="s">
        <v>485</v>
      </c>
      <c r="C10" s="289">
        <f>SUM(C5:C9)</f>
        <v>0</v>
      </c>
      <c r="D10" s="123"/>
      <c r="E10" s="123"/>
      <c r="F10" s="123"/>
    </row>
    <row r="11" spans="1:6" ht="13.5" thickBot="1" x14ac:dyDescent="0.25">
      <c r="A11" s="1546" t="s">
        <v>502</v>
      </c>
      <c r="B11" s="1547"/>
      <c r="C11" s="290">
        <f>C3+C4-C10</f>
        <v>0</v>
      </c>
      <c r="D11" s="120"/>
      <c r="E11" s="120"/>
      <c r="F11" s="120"/>
    </row>
    <row r="12" spans="1:6" x14ac:dyDescent="0.2">
      <c r="A12" s="120"/>
      <c r="B12" s="120"/>
      <c r="C12" s="124"/>
      <c r="D12" s="120"/>
      <c r="E12" s="120"/>
      <c r="F12" s="120"/>
    </row>
    <row r="13" spans="1:6" x14ac:dyDescent="0.2">
      <c r="A13" s="120" t="s">
        <v>616</v>
      </c>
      <c r="B13" s="120"/>
      <c r="C13" s="124"/>
      <c r="D13" s="120"/>
      <c r="E13" s="120"/>
      <c r="F13" s="120"/>
    </row>
    <row r="14" spans="1:6" x14ac:dyDescent="0.2">
      <c r="A14" s="671" t="s">
        <v>1118</v>
      </c>
      <c r="B14" s="120"/>
      <c r="C14" s="124"/>
      <c r="D14" s="120"/>
      <c r="E14" s="120"/>
      <c r="F14" s="120"/>
    </row>
    <row r="15" spans="1:6" x14ac:dyDescent="0.2">
      <c r="B15" s="120"/>
      <c r="C15" s="124"/>
      <c r="D15" s="120"/>
      <c r="E15" s="120"/>
      <c r="F15" s="120"/>
    </row>
    <row r="16" spans="1:6" x14ac:dyDescent="0.2">
      <c r="A16" s="120"/>
      <c r="B16" s="120"/>
      <c r="C16" s="124"/>
      <c r="D16" s="120"/>
      <c r="E16" s="120"/>
      <c r="F16" s="120"/>
    </row>
    <row r="17" spans="1:6" x14ac:dyDescent="0.2">
      <c r="A17" s="125"/>
      <c r="B17" s="120"/>
      <c r="C17" s="124"/>
      <c r="D17" s="120"/>
      <c r="E17" s="120"/>
      <c r="F17" s="120"/>
    </row>
    <row r="18" spans="1:6" x14ac:dyDescent="0.2">
      <c r="A18" s="126"/>
      <c r="B18" s="120"/>
      <c r="C18" s="124"/>
      <c r="D18" s="120"/>
      <c r="E18" s="120"/>
      <c r="F18" s="120"/>
    </row>
    <row r="19" spans="1:6" x14ac:dyDescent="0.2">
      <c r="A19" s="120"/>
      <c r="B19" s="120"/>
      <c r="C19" s="124"/>
      <c r="D19" s="120"/>
      <c r="E19" s="120"/>
      <c r="F19" s="120"/>
    </row>
    <row r="20" spans="1:6" x14ac:dyDescent="0.2">
      <c r="A20" s="120"/>
      <c r="B20" s="120"/>
      <c r="C20" s="124"/>
      <c r="D20" s="120"/>
      <c r="E20" s="120"/>
      <c r="F20" s="120"/>
    </row>
    <row r="21" spans="1:6" x14ac:dyDescent="0.2">
      <c r="A21" s="120"/>
      <c r="B21" s="120"/>
      <c r="C21" s="124"/>
      <c r="D21" s="120"/>
      <c r="E21" s="120"/>
      <c r="F21" s="120"/>
    </row>
    <row r="22" spans="1:6" x14ac:dyDescent="0.2">
      <c r="A22" s="120"/>
      <c r="B22" s="120"/>
      <c r="C22" s="124"/>
      <c r="D22" s="120"/>
      <c r="E22" s="120"/>
      <c r="F22" s="120"/>
    </row>
    <row r="23" spans="1:6" x14ac:dyDescent="0.2">
      <c r="A23" s="120"/>
      <c r="B23" s="120"/>
      <c r="C23" s="124"/>
      <c r="D23" s="120"/>
      <c r="E23" s="120"/>
      <c r="F23" s="120"/>
    </row>
    <row r="24" spans="1:6" x14ac:dyDescent="0.2">
      <c r="A24" s="120"/>
      <c r="B24" s="120"/>
      <c r="C24" s="124"/>
      <c r="D24" s="120"/>
      <c r="E24" s="120"/>
      <c r="F24" s="120"/>
    </row>
    <row r="25" spans="1:6" x14ac:dyDescent="0.2">
      <c r="A25" s="120"/>
      <c r="B25" s="120"/>
      <c r="C25" s="124"/>
      <c r="D25" s="120"/>
      <c r="E25" s="120"/>
      <c r="F25" s="120"/>
    </row>
  </sheetData>
  <sheetProtection insertRows="0" deleteRows="0"/>
  <customSheetViews>
    <customSheetView guid="{2AF6EA2A-E5C5-45EB-B6C4-875AD1E4E056}">
      <selection activeCell="A2" sqref="A2"/>
      <pageMargins left="0.78740157480314965" right="0.78740157480314965" top="0.98425196850393704" bottom="0.98425196850393704" header="0.51181102362204722" footer="0.51181102362204722"/>
      <printOptions horizontalCentered="1"/>
      <pageSetup paperSize="9" orientation="landscape" horizontalDpi="300" verticalDpi="300" r:id="rId1"/>
      <headerFooter alignWithMargins="0"/>
    </customSheetView>
  </customSheetViews>
  <mergeCells count="3">
    <mergeCell ref="A5:A10"/>
    <mergeCell ref="A3:B3"/>
    <mergeCell ref="A11:B11"/>
  </mergeCells>
  <printOptions horizontalCentered="1"/>
  <pageMargins left="0.78740157480314965" right="0.78740157480314965" top="0.98425196850393704" bottom="0.98425196850393704" header="0.51181102362204722" footer="0.51181102362204722"/>
  <pageSetup paperSize="9" orientation="landscape" horizontalDpi="300" verticalDpi="300" r:id="rId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3"/>
  <dimension ref="A1:G98"/>
  <sheetViews>
    <sheetView zoomScaleNormal="100" workbookViewId="0">
      <pane ySplit="5" topLeftCell="A68" activePane="bottomLeft" state="frozenSplit"/>
      <selection pane="bottomLeft" activeCell="A3" sqref="A3:E92"/>
    </sheetView>
  </sheetViews>
  <sheetFormatPr defaultRowHeight="12.75" x14ac:dyDescent="0.25"/>
  <cols>
    <col min="1" max="1" width="60.42578125" style="53" customWidth="1"/>
    <col min="2" max="2" width="13.85546875" style="134" customWidth="1"/>
    <col min="3" max="3" width="9.140625" style="134"/>
    <col min="4" max="4" width="12.5703125" style="187" customWidth="1"/>
    <col min="5" max="5" width="15.140625" style="187" customWidth="1"/>
    <col min="6" max="16384" width="9.140625" style="31"/>
  </cols>
  <sheetData>
    <row r="1" spans="1:7" ht="15.75" x14ac:dyDescent="0.25">
      <c r="A1" s="1224" t="s">
        <v>1261</v>
      </c>
      <c r="B1" s="1224"/>
      <c r="C1" s="1224"/>
      <c r="D1" s="1224"/>
      <c r="E1" s="1224"/>
    </row>
    <row r="2" spans="1:7" ht="12.75" customHeight="1" thickBot="1" x14ac:dyDescent="0.3">
      <c r="A2" s="1225"/>
      <c r="B2" s="1225"/>
      <c r="C2" s="1225"/>
      <c r="D2" s="1225"/>
      <c r="E2" s="1225"/>
    </row>
    <row r="3" spans="1:7" ht="27.95" customHeight="1" thickBot="1" x14ac:dyDescent="0.3">
      <c r="A3" s="1232" t="s">
        <v>639</v>
      </c>
      <c r="B3" s="1233"/>
      <c r="C3" s="1233"/>
      <c r="D3" s="1233"/>
      <c r="E3" s="1234"/>
      <c r="F3" s="130"/>
    </row>
    <row r="4" spans="1:7" ht="15" customHeight="1" thickBot="1" x14ac:dyDescent="0.3">
      <c r="A4" s="1212" t="s">
        <v>586</v>
      </c>
      <c r="B4" s="1213"/>
      <c r="C4" s="1213"/>
      <c r="D4" s="1213"/>
      <c r="E4" s="1214"/>
    </row>
    <row r="5" spans="1:7" s="133" customFormat="1" ht="40.5" customHeight="1" thickBot="1" x14ac:dyDescent="0.3">
      <c r="A5" s="57" t="s">
        <v>587</v>
      </c>
      <c r="B5" s="58" t="s">
        <v>634</v>
      </c>
      <c r="C5" s="59" t="s">
        <v>640</v>
      </c>
      <c r="D5" s="188" t="s">
        <v>790</v>
      </c>
      <c r="E5" s="189" t="s">
        <v>791</v>
      </c>
      <c r="F5" s="135"/>
    </row>
    <row r="6" spans="1:7" s="133" customFormat="1" ht="12.75" customHeight="1" x14ac:dyDescent="0.25">
      <c r="A6" s="162" t="s">
        <v>374</v>
      </c>
      <c r="B6" s="1226"/>
      <c r="C6" s="1227"/>
      <c r="D6" s="190" t="s">
        <v>565</v>
      </c>
      <c r="E6" s="191" t="s">
        <v>487</v>
      </c>
      <c r="F6" s="132"/>
    </row>
    <row r="7" spans="1:7" x14ac:dyDescent="0.25">
      <c r="A7" s="50" t="s">
        <v>375</v>
      </c>
      <c r="B7" s="136" t="s">
        <v>376</v>
      </c>
      <c r="C7" s="137" t="s">
        <v>2</v>
      </c>
      <c r="D7" s="192">
        <f>SUM(D8:D11)</f>
        <v>83487</v>
      </c>
      <c r="E7" s="193">
        <f>SUM(E8:E11)</f>
        <v>844</v>
      </c>
      <c r="F7" s="138"/>
      <c r="G7" s="187"/>
    </row>
    <row r="8" spans="1:7" x14ac:dyDescent="0.25">
      <c r="A8" s="39" t="s">
        <v>377</v>
      </c>
      <c r="B8" s="139">
        <v>501</v>
      </c>
      <c r="C8" s="140" t="s">
        <v>5</v>
      </c>
      <c r="D8" s="194">
        <f>68087-11601</f>
        <v>56486</v>
      </c>
      <c r="E8" s="195">
        <f>1692-849</f>
        <v>843</v>
      </c>
      <c r="F8" s="138"/>
      <c r="G8" s="187"/>
    </row>
    <row r="9" spans="1:7" x14ac:dyDescent="0.25">
      <c r="A9" s="39" t="s">
        <v>378</v>
      </c>
      <c r="B9" s="139">
        <v>502</v>
      </c>
      <c r="C9" s="140" t="s">
        <v>8</v>
      </c>
      <c r="D9" s="194">
        <f>33106-6893</f>
        <v>26213</v>
      </c>
      <c r="E9" s="195">
        <f>667-666</f>
        <v>1</v>
      </c>
      <c r="F9" s="138"/>
      <c r="G9" s="187"/>
    </row>
    <row r="10" spans="1:7" x14ac:dyDescent="0.25">
      <c r="A10" s="39" t="s">
        <v>379</v>
      </c>
      <c r="B10" s="139">
        <v>503</v>
      </c>
      <c r="C10" s="140" t="s">
        <v>11</v>
      </c>
      <c r="D10" s="194">
        <v>0</v>
      </c>
      <c r="E10" s="195">
        <v>0</v>
      </c>
      <c r="F10" s="138"/>
      <c r="G10" s="187"/>
    </row>
    <row r="11" spans="1:7" x14ac:dyDescent="0.25">
      <c r="A11" s="39" t="s">
        <v>380</v>
      </c>
      <c r="B11" s="139">
        <v>504</v>
      </c>
      <c r="C11" s="140" t="s">
        <v>14</v>
      </c>
      <c r="D11" s="194">
        <v>788</v>
      </c>
      <c r="E11" s="195">
        <v>0</v>
      </c>
      <c r="F11" s="138"/>
      <c r="G11" s="187"/>
    </row>
    <row r="12" spans="1:7" x14ac:dyDescent="0.25">
      <c r="A12" s="39" t="s">
        <v>1263</v>
      </c>
      <c r="B12" s="139" t="s">
        <v>381</v>
      </c>
      <c r="C12" s="140" t="s">
        <v>17</v>
      </c>
      <c r="D12" s="196">
        <f>SUM(D13:D16)</f>
        <v>87123</v>
      </c>
      <c r="E12" s="197">
        <f>SUM(E13:E16)</f>
        <v>1226</v>
      </c>
      <c r="F12" s="138"/>
      <c r="G12" s="187"/>
    </row>
    <row r="13" spans="1:7" x14ac:dyDescent="0.25">
      <c r="A13" s="39" t="s">
        <v>382</v>
      </c>
      <c r="B13" s="139">
        <v>511</v>
      </c>
      <c r="C13" s="140" t="s">
        <v>20</v>
      </c>
      <c r="D13" s="194">
        <f>22004-8721</f>
        <v>13283</v>
      </c>
      <c r="E13" s="195">
        <f>153-143</f>
        <v>10</v>
      </c>
      <c r="F13" s="138"/>
      <c r="G13" s="187"/>
    </row>
    <row r="14" spans="1:7" x14ac:dyDescent="0.25">
      <c r="A14" s="39" t="s">
        <v>383</v>
      </c>
      <c r="B14" s="139">
        <v>512</v>
      </c>
      <c r="C14" s="140" t="s">
        <v>23</v>
      </c>
      <c r="D14" s="194">
        <f>20671-8</f>
        <v>20663</v>
      </c>
      <c r="E14" s="195">
        <v>140</v>
      </c>
      <c r="F14" s="138"/>
      <c r="G14" s="187"/>
    </row>
    <row r="15" spans="1:7" x14ac:dyDescent="0.25">
      <c r="A15" s="39" t="s">
        <v>384</v>
      </c>
      <c r="B15" s="139">
        <v>513</v>
      </c>
      <c r="C15" s="140" t="s">
        <v>26</v>
      </c>
      <c r="D15" s="194">
        <f>1930-13</f>
        <v>1917</v>
      </c>
      <c r="E15" s="195">
        <v>1</v>
      </c>
      <c r="F15" s="138"/>
      <c r="G15" s="187"/>
    </row>
    <row r="16" spans="1:7" x14ac:dyDescent="0.25">
      <c r="A16" s="39" t="s">
        <v>385</v>
      </c>
      <c r="B16" s="139">
        <v>518</v>
      </c>
      <c r="C16" s="140" t="s">
        <v>29</v>
      </c>
      <c r="D16" s="194">
        <f>53496-2236</f>
        <v>51260</v>
      </c>
      <c r="E16" s="195">
        <f>1384-309</f>
        <v>1075</v>
      </c>
      <c r="F16" s="138"/>
      <c r="G16" s="187"/>
    </row>
    <row r="17" spans="1:7" x14ac:dyDescent="0.25">
      <c r="A17" s="39" t="s">
        <v>1264</v>
      </c>
      <c r="B17" s="139" t="s">
        <v>386</v>
      </c>
      <c r="C17" s="140" t="s">
        <v>32</v>
      </c>
      <c r="D17" s="196">
        <f>SUM(D18:D22)</f>
        <v>561556</v>
      </c>
      <c r="E17" s="197">
        <f>SUM(E18:E22)</f>
        <v>7578</v>
      </c>
      <c r="F17" s="138"/>
      <c r="G17" s="187"/>
    </row>
    <row r="18" spans="1:7" x14ac:dyDescent="0.25">
      <c r="A18" s="39" t="s">
        <v>387</v>
      </c>
      <c r="B18" s="139">
        <v>521</v>
      </c>
      <c r="C18" s="140" t="s">
        <v>34</v>
      </c>
      <c r="D18" s="194">
        <f>436190-14549</f>
        <v>421641</v>
      </c>
      <c r="E18" s="195">
        <f>6934-1019</f>
        <v>5915</v>
      </c>
      <c r="F18" s="138"/>
      <c r="G18" s="187"/>
    </row>
    <row r="19" spans="1:7" x14ac:dyDescent="0.25">
      <c r="A19" s="39" t="s">
        <v>388</v>
      </c>
      <c r="B19" s="139">
        <v>524</v>
      </c>
      <c r="C19" s="140" t="s">
        <v>37</v>
      </c>
      <c r="D19" s="194">
        <f>141262-4852</f>
        <v>136410</v>
      </c>
      <c r="E19" s="195">
        <f>2009-346</f>
        <v>1663</v>
      </c>
      <c r="F19" s="138"/>
      <c r="G19" s="187"/>
    </row>
    <row r="20" spans="1:7" x14ac:dyDescent="0.25">
      <c r="A20" s="39" t="s">
        <v>389</v>
      </c>
      <c r="B20" s="139">
        <v>525</v>
      </c>
      <c r="C20" s="140" t="s">
        <v>40</v>
      </c>
      <c r="D20" s="194">
        <v>0</v>
      </c>
      <c r="E20" s="195">
        <v>0</v>
      </c>
      <c r="F20" s="138"/>
      <c r="G20" s="187"/>
    </row>
    <row r="21" spans="1:7" x14ac:dyDescent="0.25">
      <c r="A21" s="39" t="s">
        <v>390</v>
      </c>
      <c r="B21" s="139">
        <v>527</v>
      </c>
      <c r="C21" s="140" t="s">
        <v>43</v>
      </c>
      <c r="D21" s="194">
        <f>3706-201</f>
        <v>3505</v>
      </c>
      <c r="E21" s="195">
        <v>0</v>
      </c>
      <c r="F21" s="138"/>
      <c r="G21" s="187"/>
    </row>
    <row r="22" spans="1:7" x14ac:dyDescent="0.25">
      <c r="A22" s="39" t="s">
        <v>391</v>
      </c>
      <c r="B22" s="139">
        <v>528</v>
      </c>
      <c r="C22" s="140" t="s">
        <v>46</v>
      </c>
      <c r="D22" s="194">
        <v>0</v>
      </c>
      <c r="E22" s="195">
        <v>0</v>
      </c>
      <c r="F22" s="138"/>
      <c r="G22" s="187"/>
    </row>
    <row r="23" spans="1:7" x14ac:dyDescent="0.25">
      <c r="A23" s="39" t="s">
        <v>1265</v>
      </c>
      <c r="B23" s="139" t="s">
        <v>392</v>
      </c>
      <c r="C23" s="140" t="s">
        <v>49</v>
      </c>
      <c r="D23" s="196">
        <f>SUM(D24:D26)</f>
        <v>304</v>
      </c>
      <c r="E23" s="197">
        <f>SUM(E24:E26)</f>
        <v>0</v>
      </c>
      <c r="F23" s="138"/>
      <c r="G23" s="187"/>
    </row>
    <row r="24" spans="1:7" x14ac:dyDescent="0.25">
      <c r="A24" s="39" t="s">
        <v>393</v>
      </c>
      <c r="B24" s="139">
        <v>531</v>
      </c>
      <c r="C24" s="140" t="s">
        <v>52</v>
      </c>
      <c r="D24" s="194">
        <v>64</v>
      </c>
      <c r="E24" s="195">
        <v>0</v>
      </c>
      <c r="F24" s="138"/>
      <c r="G24" s="187"/>
    </row>
    <row r="25" spans="1:7" x14ac:dyDescent="0.25">
      <c r="A25" s="39" t="s">
        <v>394</v>
      </c>
      <c r="B25" s="139">
        <v>532</v>
      </c>
      <c r="C25" s="140" t="s">
        <v>55</v>
      </c>
      <c r="D25" s="194">
        <v>71</v>
      </c>
      <c r="E25" s="195">
        <v>0</v>
      </c>
      <c r="F25" s="138"/>
      <c r="G25" s="187"/>
    </row>
    <row r="26" spans="1:7" x14ac:dyDescent="0.25">
      <c r="A26" s="39" t="s">
        <v>395</v>
      </c>
      <c r="B26" s="139">
        <v>538</v>
      </c>
      <c r="C26" s="140" t="s">
        <v>57</v>
      </c>
      <c r="D26" s="194">
        <f>200-31</f>
        <v>169</v>
      </c>
      <c r="E26" s="195">
        <v>0</v>
      </c>
      <c r="F26" s="138"/>
      <c r="G26" s="187"/>
    </row>
    <row r="27" spans="1:7" x14ac:dyDescent="0.25">
      <c r="A27" s="39" t="s">
        <v>1266</v>
      </c>
      <c r="B27" s="139" t="s">
        <v>396</v>
      </c>
      <c r="C27" s="140" t="s">
        <v>60</v>
      </c>
      <c r="D27" s="196">
        <f>SUM(D28:D35)</f>
        <v>288779</v>
      </c>
      <c r="E27" s="197">
        <f>SUM(E28:E35)</f>
        <v>3347</v>
      </c>
      <c r="F27" s="138"/>
      <c r="G27" s="187"/>
    </row>
    <row r="28" spans="1:7" x14ac:dyDescent="0.25">
      <c r="A28" s="39" t="s">
        <v>397</v>
      </c>
      <c r="B28" s="139">
        <v>541</v>
      </c>
      <c r="C28" s="140" t="s">
        <v>63</v>
      </c>
      <c r="D28" s="194">
        <v>0</v>
      </c>
      <c r="E28" s="195">
        <v>0</v>
      </c>
      <c r="F28" s="138"/>
      <c r="G28" s="187"/>
    </row>
    <row r="29" spans="1:7" x14ac:dyDescent="0.25">
      <c r="A29" s="39" t="s">
        <v>398</v>
      </c>
      <c r="B29" s="139">
        <v>542</v>
      </c>
      <c r="C29" s="140" t="s">
        <v>66</v>
      </c>
      <c r="D29" s="194">
        <v>1069</v>
      </c>
      <c r="E29" s="195">
        <v>0</v>
      </c>
      <c r="F29" s="138"/>
      <c r="G29" s="187"/>
    </row>
    <row r="30" spans="1:7" x14ac:dyDescent="0.25">
      <c r="A30" s="39" t="s">
        <v>399</v>
      </c>
      <c r="B30" s="139">
        <v>543</v>
      </c>
      <c r="C30" s="140" t="s">
        <v>69</v>
      </c>
      <c r="D30" s="194">
        <v>31</v>
      </c>
      <c r="E30" s="195">
        <v>0</v>
      </c>
      <c r="F30" s="138"/>
      <c r="G30" s="187"/>
    </row>
    <row r="31" spans="1:7" x14ac:dyDescent="0.25">
      <c r="A31" s="39" t="s">
        <v>400</v>
      </c>
      <c r="B31" s="139">
        <v>544</v>
      </c>
      <c r="C31" s="140" t="s">
        <v>72</v>
      </c>
      <c r="D31" s="194">
        <f>17-17</f>
        <v>0</v>
      </c>
      <c r="E31" s="195">
        <v>0</v>
      </c>
      <c r="F31" s="138"/>
      <c r="G31" s="187"/>
    </row>
    <row r="32" spans="1:7" x14ac:dyDescent="0.25">
      <c r="A32" s="39" t="s">
        <v>401</v>
      </c>
      <c r="B32" s="139">
        <v>545</v>
      </c>
      <c r="C32" s="140" t="s">
        <v>75</v>
      </c>
      <c r="D32" s="194">
        <v>250</v>
      </c>
      <c r="E32" s="195">
        <v>5</v>
      </c>
      <c r="F32" s="138"/>
      <c r="G32" s="187"/>
    </row>
    <row r="33" spans="1:7" x14ac:dyDescent="0.25">
      <c r="A33" s="39" t="s">
        <v>402</v>
      </c>
      <c r="B33" s="139">
        <v>546</v>
      </c>
      <c r="C33" s="140" t="s">
        <v>78</v>
      </c>
      <c r="D33" s="194">
        <v>13</v>
      </c>
      <c r="E33" s="195">
        <v>2</v>
      </c>
      <c r="F33" s="138"/>
      <c r="G33" s="187"/>
    </row>
    <row r="34" spans="1:7" x14ac:dyDescent="0.25">
      <c r="A34" s="39" t="s">
        <v>403</v>
      </c>
      <c r="B34" s="139">
        <v>548</v>
      </c>
      <c r="C34" s="140" t="s">
        <v>80</v>
      </c>
      <c r="D34" s="194">
        <v>0</v>
      </c>
      <c r="E34" s="195">
        <v>0</v>
      </c>
      <c r="F34" s="138"/>
      <c r="G34" s="187"/>
    </row>
    <row r="35" spans="1:7" x14ac:dyDescent="0.25">
      <c r="A35" s="39" t="s">
        <v>404</v>
      </c>
      <c r="B35" s="139">
        <v>549</v>
      </c>
      <c r="C35" s="140" t="s">
        <v>83</v>
      </c>
      <c r="D35" s="194">
        <f>286736+680</f>
        <v>287416</v>
      </c>
      <c r="E35" s="195">
        <f>3169+171</f>
        <v>3340</v>
      </c>
      <c r="F35" s="138"/>
      <c r="G35" s="187"/>
    </row>
    <row r="36" spans="1:7" ht="12.75" customHeight="1" x14ac:dyDescent="0.25">
      <c r="A36" s="39" t="s">
        <v>1267</v>
      </c>
      <c r="B36" s="139" t="s">
        <v>405</v>
      </c>
      <c r="C36" s="140" t="s">
        <v>86</v>
      </c>
      <c r="D36" s="196">
        <f>SUM(D37:D42)</f>
        <v>173201</v>
      </c>
      <c r="E36" s="197">
        <f>SUM(E37:E42)</f>
        <v>0</v>
      </c>
      <c r="F36" s="138"/>
      <c r="G36" s="187"/>
    </row>
    <row r="37" spans="1:7" x14ac:dyDescent="0.25">
      <c r="A37" s="39" t="s">
        <v>672</v>
      </c>
      <c r="B37" s="139">
        <v>551</v>
      </c>
      <c r="C37" s="140" t="s">
        <v>89</v>
      </c>
      <c r="D37" s="194">
        <f>177190-3989</f>
        <v>173201</v>
      </c>
      <c r="E37" s="195">
        <v>0</v>
      </c>
      <c r="F37" s="138"/>
      <c r="G37" s="187"/>
    </row>
    <row r="38" spans="1:7" ht="12.75" customHeight="1" x14ac:dyDescent="0.25">
      <c r="A38" s="39" t="s">
        <v>1277</v>
      </c>
      <c r="B38" s="139">
        <v>552</v>
      </c>
      <c r="C38" s="140" t="s">
        <v>92</v>
      </c>
      <c r="D38" s="194">
        <v>0</v>
      </c>
      <c r="E38" s="195">
        <v>0</v>
      </c>
      <c r="F38" s="138"/>
      <c r="G38" s="187"/>
    </row>
    <row r="39" spans="1:7" x14ac:dyDescent="0.25">
      <c r="A39" s="39" t="s">
        <v>406</v>
      </c>
      <c r="B39" s="139">
        <v>553</v>
      </c>
      <c r="C39" s="140" t="s">
        <v>94</v>
      </c>
      <c r="D39" s="194">
        <v>0</v>
      </c>
      <c r="E39" s="195">
        <v>0</v>
      </c>
      <c r="F39" s="138"/>
      <c r="G39" s="187"/>
    </row>
    <row r="40" spans="1:7" x14ac:dyDescent="0.25">
      <c r="A40" s="39" t="s">
        <v>407</v>
      </c>
      <c r="B40" s="139">
        <v>554</v>
      </c>
      <c r="C40" s="140" t="s">
        <v>96</v>
      </c>
      <c r="D40" s="194">
        <v>0</v>
      </c>
      <c r="E40" s="195">
        <v>0</v>
      </c>
      <c r="F40" s="138"/>
      <c r="G40" s="187"/>
    </row>
    <row r="41" spans="1:7" x14ac:dyDescent="0.25">
      <c r="A41" s="39" t="s">
        <v>408</v>
      </c>
      <c r="B41" s="139">
        <v>556</v>
      </c>
      <c r="C41" s="140" t="s">
        <v>99</v>
      </c>
      <c r="D41" s="194">
        <f>1000-1000</f>
        <v>0</v>
      </c>
      <c r="E41" s="195">
        <v>0</v>
      </c>
      <c r="F41" s="138"/>
      <c r="G41" s="187"/>
    </row>
    <row r="42" spans="1:7" x14ac:dyDescent="0.25">
      <c r="A42" s="39" t="s">
        <v>409</v>
      </c>
      <c r="B42" s="139">
        <v>559</v>
      </c>
      <c r="C42" s="140" t="s">
        <v>101</v>
      </c>
      <c r="D42" s="194">
        <v>0</v>
      </c>
      <c r="E42" s="195">
        <v>0</v>
      </c>
      <c r="F42" s="138"/>
      <c r="G42" s="187"/>
    </row>
    <row r="43" spans="1:7" x14ac:dyDescent="0.25">
      <c r="A43" s="39" t="s">
        <v>1268</v>
      </c>
      <c r="B43" s="139" t="s">
        <v>410</v>
      </c>
      <c r="C43" s="140" t="s">
        <v>104</v>
      </c>
      <c r="D43" s="196">
        <f>SUM(D44:D45)</f>
        <v>17838</v>
      </c>
      <c r="E43" s="197">
        <f>SUM(E44:E45)</f>
        <v>0</v>
      </c>
      <c r="F43" s="138"/>
      <c r="G43" s="187"/>
    </row>
    <row r="44" spans="1:7" x14ac:dyDescent="0.25">
      <c r="A44" s="39" t="s">
        <v>673</v>
      </c>
      <c r="B44" s="139">
        <v>581</v>
      </c>
      <c r="C44" s="140" t="s">
        <v>107</v>
      </c>
      <c r="D44" s="194">
        <v>0</v>
      </c>
      <c r="E44" s="195">
        <v>0</v>
      </c>
      <c r="F44" s="138"/>
      <c r="G44" s="187"/>
    </row>
    <row r="45" spans="1:7" x14ac:dyDescent="0.25">
      <c r="A45" s="39" t="s">
        <v>411</v>
      </c>
      <c r="B45" s="139">
        <v>582</v>
      </c>
      <c r="C45" s="140" t="s">
        <v>109</v>
      </c>
      <c r="D45" s="194">
        <v>17838</v>
      </c>
      <c r="E45" s="195">
        <v>0</v>
      </c>
      <c r="F45" s="138"/>
      <c r="G45" s="187"/>
    </row>
    <row r="46" spans="1:7" x14ac:dyDescent="0.25">
      <c r="A46" s="39" t="s">
        <v>1269</v>
      </c>
      <c r="B46" s="139" t="s">
        <v>412</v>
      </c>
      <c r="C46" s="140" t="s">
        <v>111</v>
      </c>
      <c r="D46" s="196">
        <f>D47</f>
        <v>0</v>
      </c>
      <c r="E46" s="197">
        <f>E47</f>
        <v>0</v>
      </c>
      <c r="F46" s="138"/>
      <c r="G46" s="187"/>
    </row>
    <row r="47" spans="1:7" x14ac:dyDescent="0.25">
      <c r="A47" s="39" t="s">
        <v>413</v>
      </c>
      <c r="B47" s="139">
        <v>595</v>
      </c>
      <c r="C47" s="140" t="s">
        <v>114</v>
      </c>
      <c r="D47" s="194">
        <v>0</v>
      </c>
      <c r="E47" s="195">
        <v>0</v>
      </c>
      <c r="F47" s="138"/>
      <c r="G47" s="187"/>
    </row>
    <row r="48" spans="1:7" ht="23.25" customHeight="1" thickBot="1" x14ac:dyDescent="0.3">
      <c r="A48" s="43" t="s">
        <v>414</v>
      </c>
      <c r="B48" s="141" t="s">
        <v>415</v>
      </c>
      <c r="C48" s="142" t="s">
        <v>117</v>
      </c>
      <c r="D48" s="198">
        <f>D7+D12+D17+D23+D27+D36+D43+D46</f>
        <v>1212288</v>
      </c>
      <c r="E48" s="199">
        <f>E7+E12+E17+E23+E27+E36+E43+E46</f>
        <v>12995</v>
      </c>
      <c r="F48" s="138"/>
      <c r="G48" s="187"/>
    </row>
    <row r="49" spans="1:7" ht="12.75" customHeight="1" thickBot="1" x14ac:dyDescent="0.3">
      <c r="A49" s="1235" t="s">
        <v>416</v>
      </c>
      <c r="B49" s="1236"/>
      <c r="C49" s="1236"/>
      <c r="D49" s="1236"/>
      <c r="E49" s="1237"/>
      <c r="F49" s="135"/>
      <c r="G49" s="187"/>
    </row>
    <row r="50" spans="1:7" x14ac:dyDescent="0.25">
      <c r="A50" s="50" t="s">
        <v>1270</v>
      </c>
      <c r="B50" s="143" t="s">
        <v>417</v>
      </c>
      <c r="C50" s="137" t="s">
        <v>120</v>
      </c>
      <c r="D50" s="192">
        <f>SUM(D51:D53)</f>
        <v>14249</v>
      </c>
      <c r="E50" s="193">
        <f>SUM(E51:E53)</f>
        <v>12903</v>
      </c>
      <c r="F50" s="138"/>
      <c r="G50" s="187"/>
    </row>
    <row r="51" spans="1:7" x14ac:dyDescent="0.25">
      <c r="A51" s="39" t="s">
        <v>418</v>
      </c>
      <c r="B51" s="144">
        <v>601</v>
      </c>
      <c r="C51" s="140" t="s">
        <v>123</v>
      </c>
      <c r="D51" s="194">
        <v>0</v>
      </c>
      <c r="E51" s="195">
        <v>0</v>
      </c>
      <c r="F51" s="138"/>
      <c r="G51" s="187"/>
    </row>
    <row r="52" spans="1:7" x14ac:dyDescent="0.25">
      <c r="A52" s="39" t="s">
        <v>419</v>
      </c>
      <c r="B52" s="144">
        <v>602</v>
      </c>
      <c r="C52" s="140" t="s">
        <v>126</v>
      </c>
      <c r="D52" s="194">
        <f>58161-44678</f>
        <v>13483</v>
      </c>
      <c r="E52" s="195">
        <f>17621-4718</f>
        <v>12903</v>
      </c>
      <c r="F52" s="138"/>
      <c r="G52" s="187"/>
    </row>
    <row r="53" spans="1:7" x14ac:dyDescent="0.25">
      <c r="A53" s="39" t="s">
        <v>420</v>
      </c>
      <c r="B53" s="144">
        <v>604</v>
      </c>
      <c r="C53" s="140" t="s">
        <v>129</v>
      </c>
      <c r="D53" s="194">
        <v>766</v>
      </c>
      <c r="E53" s="195">
        <v>0</v>
      </c>
      <c r="F53" s="138"/>
      <c r="G53" s="187"/>
    </row>
    <row r="54" spans="1:7" x14ac:dyDescent="0.25">
      <c r="A54" s="39" t="s">
        <v>1271</v>
      </c>
      <c r="B54" s="144" t="s">
        <v>421</v>
      </c>
      <c r="C54" s="140" t="s">
        <v>132</v>
      </c>
      <c r="D54" s="196">
        <f>SUM(D55:D58)</f>
        <v>0</v>
      </c>
      <c r="E54" s="197">
        <f>SUM(E55:E58)</f>
        <v>79</v>
      </c>
      <c r="F54" s="138"/>
      <c r="G54" s="187"/>
    </row>
    <row r="55" spans="1:7" x14ac:dyDescent="0.25">
      <c r="A55" s="39" t="s">
        <v>422</v>
      </c>
      <c r="B55" s="144">
        <v>611</v>
      </c>
      <c r="C55" s="140" t="s">
        <v>135</v>
      </c>
      <c r="D55" s="194">
        <v>0</v>
      </c>
      <c r="E55" s="195">
        <v>79</v>
      </c>
      <c r="F55" s="138"/>
      <c r="G55" s="187"/>
    </row>
    <row r="56" spans="1:7" x14ac:dyDescent="0.25">
      <c r="A56" s="39" t="s">
        <v>423</v>
      </c>
      <c r="B56" s="144">
        <v>612</v>
      </c>
      <c r="C56" s="140" t="s">
        <v>138</v>
      </c>
      <c r="D56" s="194">
        <v>0</v>
      </c>
      <c r="E56" s="195">
        <v>0</v>
      </c>
      <c r="F56" s="138"/>
      <c r="G56" s="187"/>
    </row>
    <row r="57" spans="1:7" x14ac:dyDescent="0.25">
      <c r="A57" s="39" t="s">
        <v>424</v>
      </c>
      <c r="B57" s="144">
        <v>613</v>
      </c>
      <c r="C57" s="140" t="s">
        <v>141</v>
      </c>
      <c r="D57" s="194">
        <v>0</v>
      </c>
      <c r="E57" s="195">
        <v>0</v>
      </c>
      <c r="F57" s="138"/>
      <c r="G57" s="187"/>
    </row>
    <row r="58" spans="1:7" x14ac:dyDescent="0.25">
      <c r="A58" s="39" t="s">
        <v>425</v>
      </c>
      <c r="B58" s="144">
        <v>614</v>
      </c>
      <c r="C58" s="140" t="s">
        <v>144</v>
      </c>
      <c r="D58" s="194">
        <v>0</v>
      </c>
      <c r="E58" s="195">
        <v>0</v>
      </c>
      <c r="F58" s="138"/>
      <c r="G58" s="187"/>
    </row>
    <row r="59" spans="1:7" x14ac:dyDescent="0.25">
      <c r="A59" s="39" t="s">
        <v>1272</v>
      </c>
      <c r="B59" s="144" t="s">
        <v>426</v>
      </c>
      <c r="C59" s="140" t="s">
        <v>147</v>
      </c>
      <c r="D59" s="196">
        <f>SUM(D60:D63)</f>
        <v>1924</v>
      </c>
      <c r="E59" s="197">
        <f>SUM(E60:E63)</f>
        <v>0</v>
      </c>
      <c r="F59" s="138"/>
      <c r="G59" s="187"/>
    </row>
    <row r="60" spans="1:7" x14ac:dyDescent="0.25">
      <c r="A60" s="39" t="s">
        <v>427</v>
      </c>
      <c r="B60" s="144">
        <v>621</v>
      </c>
      <c r="C60" s="140" t="s">
        <v>150</v>
      </c>
      <c r="D60" s="194">
        <v>1924</v>
      </c>
      <c r="E60" s="195">
        <v>0</v>
      </c>
      <c r="F60" s="138"/>
      <c r="G60" s="187"/>
    </row>
    <row r="61" spans="1:7" x14ac:dyDescent="0.25">
      <c r="A61" s="39" t="s">
        <v>428</v>
      </c>
      <c r="B61" s="144">
        <v>622</v>
      </c>
      <c r="C61" s="140" t="s">
        <v>153</v>
      </c>
      <c r="D61" s="194">
        <v>0</v>
      </c>
      <c r="E61" s="195">
        <v>0</v>
      </c>
      <c r="F61" s="138"/>
      <c r="G61" s="187"/>
    </row>
    <row r="62" spans="1:7" x14ac:dyDescent="0.25">
      <c r="A62" s="39" t="s">
        <v>429</v>
      </c>
      <c r="B62" s="144">
        <v>623</v>
      </c>
      <c r="C62" s="140" t="s">
        <v>156</v>
      </c>
      <c r="D62" s="194">
        <v>0</v>
      </c>
      <c r="E62" s="195">
        <v>0</v>
      </c>
      <c r="F62" s="138"/>
      <c r="G62" s="187"/>
    </row>
    <row r="63" spans="1:7" x14ac:dyDescent="0.25">
      <c r="A63" s="39" t="s">
        <v>430</v>
      </c>
      <c r="B63" s="144">
        <v>624</v>
      </c>
      <c r="C63" s="140" t="s">
        <v>158</v>
      </c>
      <c r="D63" s="194">
        <v>0</v>
      </c>
      <c r="E63" s="195">
        <v>0</v>
      </c>
      <c r="F63" s="138"/>
      <c r="G63" s="187"/>
    </row>
    <row r="64" spans="1:7" x14ac:dyDescent="0.25">
      <c r="A64" s="39" t="s">
        <v>1273</v>
      </c>
      <c r="B64" s="144" t="s">
        <v>431</v>
      </c>
      <c r="C64" s="140" t="s">
        <v>161</v>
      </c>
      <c r="D64" s="196">
        <f>SUM(D65:D71)</f>
        <v>392148</v>
      </c>
      <c r="E64" s="197">
        <f>SUM(E65:E71)</f>
        <v>13</v>
      </c>
      <c r="F64" s="138"/>
      <c r="G64" s="187"/>
    </row>
    <row r="65" spans="1:7" x14ac:dyDescent="0.25">
      <c r="A65" s="39" t="s">
        <v>432</v>
      </c>
      <c r="B65" s="144">
        <v>641</v>
      </c>
      <c r="C65" s="140" t="s">
        <v>164</v>
      </c>
      <c r="D65" s="194">
        <v>372</v>
      </c>
      <c r="E65" s="195">
        <v>0</v>
      </c>
      <c r="F65" s="138"/>
      <c r="G65" s="187"/>
    </row>
    <row r="66" spans="1:7" x14ac:dyDescent="0.25">
      <c r="A66" s="39" t="s">
        <v>433</v>
      </c>
      <c r="B66" s="144">
        <v>642</v>
      </c>
      <c r="C66" s="140" t="s">
        <v>166</v>
      </c>
      <c r="D66" s="194">
        <v>0</v>
      </c>
      <c r="E66" s="195">
        <v>0</v>
      </c>
      <c r="F66" s="138"/>
      <c r="G66" s="187"/>
    </row>
    <row r="67" spans="1:7" x14ac:dyDescent="0.25">
      <c r="A67" s="39" t="s">
        <v>434</v>
      </c>
      <c r="B67" s="144">
        <v>643</v>
      </c>
      <c r="C67" s="140" t="s">
        <v>169</v>
      </c>
      <c r="D67" s="194">
        <v>0</v>
      </c>
      <c r="E67" s="195">
        <v>0</v>
      </c>
      <c r="F67" s="138"/>
      <c r="G67" s="187"/>
    </row>
    <row r="68" spans="1:7" x14ac:dyDescent="0.25">
      <c r="A68" s="39" t="s">
        <v>435</v>
      </c>
      <c r="B68" s="144">
        <v>644</v>
      </c>
      <c r="C68" s="140" t="s">
        <v>172</v>
      </c>
      <c r="D68" s="194">
        <f>848-7</f>
        <v>841</v>
      </c>
      <c r="E68" s="195">
        <v>0</v>
      </c>
      <c r="F68" s="138"/>
      <c r="G68" s="187"/>
    </row>
    <row r="69" spans="1:7" x14ac:dyDescent="0.25">
      <c r="A69" s="39" t="s">
        <v>436</v>
      </c>
      <c r="B69" s="144">
        <v>645</v>
      </c>
      <c r="C69" s="140" t="s">
        <v>175</v>
      </c>
      <c r="D69" s="194">
        <v>13</v>
      </c>
      <c r="E69" s="195">
        <v>0</v>
      </c>
      <c r="F69" s="138"/>
      <c r="G69" s="187"/>
    </row>
    <row r="70" spans="1:7" x14ac:dyDescent="0.25">
      <c r="A70" s="39" t="s">
        <v>437</v>
      </c>
      <c r="B70" s="144">
        <v>648</v>
      </c>
      <c r="C70" s="140" t="s">
        <v>178</v>
      </c>
      <c r="D70" s="194">
        <v>186761</v>
      </c>
      <c r="E70" s="195">
        <v>0</v>
      </c>
      <c r="F70" s="138"/>
      <c r="G70" s="187"/>
    </row>
    <row r="71" spans="1:7" x14ac:dyDescent="0.25">
      <c r="A71" s="39" t="s">
        <v>438</v>
      </c>
      <c r="B71" s="144">
        <v>649</v>
      </c>
      <c r="C71" s="140" t="s">
        <v>180</v>
      </c>
      <c r="D71" s="194">
        <f>207640-3479</f>
        <v>204161</v>
      </c>
      <c r="E71" s="195">
        <f>712-699</f>
        <v>13</v>
      </c>
      <c r="F71" s="138"/>
      <c r="G71" s="187"/>
    </row>
    <row r="72" spans="1:7" ht="12.75" customHeight="1" x14ac:dyDescent="0.25">
      <c r="A72" s="39" t="s">
        <v>1274</v>
      </c>
      <c r="B72" s="144" t="s">
        <v>439</v>
      </c>
      <c r="C72" s="140" t="s">
        <v>182</v>
      </c>
      <c r="D72" s="196">
        <f>SUM(D73:D79)</f>
        <v>111</v>
      </c>
      <c r="E72" s="197">
        <f>SUM(E73:E79)</f>
        <v>0</v>
      </c>
      <c r="F72" s="138"/>
      <c r="G72" s="187"/>
    </row>
    <row r="73" spans="1:7" ht="25.5" x14ac:dyDescent="0.25">
      <c r="A73" s="39" t="s">
        <v>1278</v>
      </c>
      <c r="B73" s="144">
        <v>652</v>
      </c>
      <c r="C73" s="140" t="s">
        <v>185</v>
      </c>
      <c r="D73" s="194">
        <f>120-29</f>
        <v>91</v>
      </c>
      <c r="E73" s="195">
        <v>0</v>
      </c>
      <c r="F73" s="138"/>
      <c r="G73" s="187"/>
    </row>
    <row r="74" spans="1:7" x14ac:dyDescent="0.25">
      <c r="A74" s="39" t="s">
        <v>440</v>
      </c>
      <c r="B74" s="144">
        <v>653</v>
      </c>
      <c r="C74" s="140" t="s">
        <v>187</v>
      </c>
      <c r="D74" s="194">
        <v>0</v>
      </c>
      <c r="E74" s="195">
        <v>0</v>
      </c>
      <c r="F74" s="138"/>
      <c r="G74" s="187"/>
    </row>
    <row r="75" spans="1:7" x14ac:dyDescent="0.25">
      <c r="A75" s="39" t="s">
        <v>441</v>
      </c>
      <c r="B75" s="144">
        <v>654</v>
      </c>
      <c r="C75" s="140" t="s">
        <v>189</v>
      </c>
      <c r="D75" s="194">
        <v>1</v>
      </c>
      <c r="E75" s="195">
        <v>0</v>
      </c>
      <c r="F75" s="138"/>
      <c r="G75" s="187"/>
    </row>
    <row r="76" spans="1:7" x14ac:dyDescent="0.25">
      <c r="A76" s="39" t="s">
        <v>442</v>
      </c>
      <c r="B76" s="144">
        <v>655</v>
      </c>
      <c r="C76" s="140" t="s">
        <v>192</v>
      </c>
      <c r="D76" s="194">
        <v>0</v>
      </c>
      <c r="E76" s="195">
        <v>0</v>
      </c>
      <c r="F76" s="138"/>
      <c r="G76" s="187"/>
    </row>
    <row r="77" spans="1:7" x14ac:dyDescent="0.25">
      <c r="A77" s="39" t="s">
        <v>443</v>
      </c>
      <c r="B77" s="144">
        <v>656</v>
      </c>
      <c r="C77" s="140" t="s">
        <v>195</v>
      </c>
      <c r="D77" s="194">
        <f>2000-2000</f>
        <v>0</v>
      </c>
      <c r="E77" s="195">
        <v>0</v>
      </c>
      <c r="F77" s="138"/>
      <c r="G77" s="187"/>
    </row>
    <row r="78" spans="1:7" x14ac:dyDescent="0.25">
      <c r="A78" s="39" t="s">
        <v>444</v>
      </c>
      <c r="B78" s="144">
        <v>657</v>
      </c>
      <c r="C78" s="140" t="s">
        <v>198</v>
      </c>
      <c r="D78" s="194">
        <v>0</v>
      </c>
      <c r="E78" s="195">
        <v>0</v>
      </c>
      <c r="F78" s="138"/>
      <c r="G78" s="187"/>
    </row>
    <row r="79" spans="1:7" x14ac:dyDescent="0.25">
      <c r="A79" s="39" t="s">
        <v>445</v>
      </c>
      <c r="B79" s="144">
        <v>659</v>
      </c>
      <c r="C79" s="140" t="s">
        <v>201</v>
      </c>
      <c r="D79" s="194">
        <v>19</v>
      </c>
      <c r="E79" s="195">
        <v>0</v>
      </c>
      <c r="F79" s="138"/>
      <c r="G79" s="187"/>
    </row>
    <row r="80" spans="1:7" x14ac:dyDescent="0.25">
      <c r="A80" s="39" t="s">
        <v>1275</v>
      </c>
      <c r="B80" s="144" t="s">
        <v>446</v>
      </c>
      <c r="C80" s="140" t="s">
        <v>204</v>
      </c>
      <c r="D80" s="196">
        <f>SUM(D81:D83)</f>
        <v>30043</v>
      </c>
      <c r="E80" s="197">
        <f>SUM(E81:E83)</f>
        <v>0</v>
      </c>
      <c r="F80" s="138"/>
      <c r="G80" s="187"/>
    </row>
    <row r="81" spans="1:7" x14ac:dyDescent="0.25">
      <c r="A81" s="39" t="s">
        <v>447</v>
      </c>
      <c r="B81" s="144">
        <v>681</v>
      </c>
      <c r="C81" s="140" t="s">
        <v>207</v>
      </c>
      <c r="D81" s="194">
        <v>0</v>
      </c>
      <c r="E81" s="195">
        <v>0</v>
      </c>
      <c r="F81" s="138"/>
      <c r="G81" s="187"/>
    </row>
    <row r="82" spans="1:7" x14ac:dyDescent="0.25">
      <c r="A82" s="39" t="s">
        <v>448</v>
      </c>
      <c r="B82" s="144">
        <v>682</v>
      </c>
      <c r="C82" s="140" t="s">
        <v>210</v>
      </c>
      <c r="D82" s="194">
        <v>30043</v>
      </c>
      <c r="E82" s="195">
        <v>0</v>
      </c>
      <c r="F82" s="138"/>
      <c r="G82" s="187"/>
    </row>
    <row r="83" spans="1:7" x14ac:dyDescent="0.25">
      <c r="A83" s="39" t="s">
        <v>449</v>
      </c>
      <c r="B83" s="144">
        <v>684</v>
      </c>
      <c r="C83" s="140" t="s">
        <v>213</v>
      </c>
      <c r="D83" s="194">
        <v>0</v>
      </c>
      <c r="E83" s="195">
        <v>0</v>
      </c>
      <c r="F83" s="138"/>
      <c r="G83" s="187"/>
    </row>
    <row r="84" spans="1:7" x14ac:dyDescent="0.25">
      <c r="A84" s="39" t="s">
        <v>1276</v>
      </c>
      <c r="B84" s="144" t="s">
        <v>450</v>
      </c>
      <c r="C84" s="140" t="s">
        <v>216</v>
      </c>
      <c r="D84" s="196">
        <f>D85</f>
        <v>779320</v>
      </c>
      <c r="E84" s="197">
        <f>E85</f>
        <v>0</v>
      </c>
      <c r="F84" s="138"/>
      <c r="G84" s="187"/>
    </row>
    <row r="85" spans="1:7" x14ac:dyDescent="0.25">
      <c r="A85" s="39" t="s">
        <v>451</v>
      </c>
      <c r="B85" s="144">
        <v>691</v>
      </c>
      <c r="C85" s="140" t="s">
        <v>219</v>
      </c>
      <c r="D85" s="194">
        <f>784066-4746</f>
        <v>779320</v>
      </c>
      <c r="E85" s="195">
        <v>0</v>
      </c>
      <c r="F85" s="138"/>
      <c r="G85" s="187"/>
    </row>
    <row r="86" spans="1:7" ht="25.5" x14ac:dyDescent="0.25">
      <c r="A86" s="39" t="s">
        <v>452</v>
      </c>
      <c r="B86" s="145" t="s">
        <v>638</v>
      </c>
      <c r="C86" s="140" t="s">
        <v>222</v>
      </c>
      <c r="D86" s="196">
        <f>D50+D54+D59+D64+D72+D80+D84</f>
        <v>1217795</v>
      </c>
      <c r="E86" s="197">
        <f>E50+E54+E59+E64+E72+E80+E84</f>
        <v>12995</v>
      </c>
      <c r="F86" s="138"/>
      <c r="G86" s="187"/>
    </row>
    <row r="87" spans="1:7" x14ac:dyDescent="0.25">
      <c r="A87" s="146" t="s">
        <v>453</v>
      </c>
      <c r="B87" s="144" t="s">
        <v>454</v>
      </c>
      <c r="C87" s="140" t="s">
        <v>225</v>
      </c>
      <c r="D87" s="196">
        <f>D86-D48</f>
        <v>5507</v>
      </c>
      <c r="E87" s="197">
        <f>E86-E48</f>
        <v>0</v>
      </c>
      <c r="F87" s="138"/>
      <c r="G87" s="187"/>
    </row>
    <row r="88" spans="1:7" x14ac:dyDescent="0.25">
      <c r="A88" s="39" t="s">
        <v>455</v>
      </c>
      <c r="B88" s="144">
        <v>591</v>
      </c>
      <c r="C88" s="140" t="s">
        <v>228</v>
      </c>
      <c r="D88" s="194">
        <v>237</v>
      </c>
      <c r="E88" s="195">
        <f>161-161</f>
        <v>0</v>
      </c>
      <c r="F88" s="138"/>
      <c r="G88" s="187"/>
    </row>
    <row r="89" spans="1:7" x14ac:dyDescent="0.25">
      <c r="A89" s="146" t="s">
        <v>456</v>
      </c>
      <c r="B89" s="144" t="s">
        <v>457</v>
      </c>
      <c r="C89" s="140" t="s">
        <v>231</v>
      </c>
      <c r="D89" s="194">
        <f>6778-1508</f>
        <v>5270</v>
      </c>
      <c r="E89" s="195">
        <f>2095-2095</f>
        <v>0</v>
      </c>
      <c r="F89" s="138"/>
      <c r="G89" s="187"/>
    </row>
    <row r="90" spans="1:7" ht="24" customHeight="1" x14ac:dyDescent="0.25">
      <c r="A90" s="1240"/>
      <c r="B90" s="1241"/>
      <c r="C90" s="1242"/>
      <c r="D90" s="1238" t="s">
        <v>684</v>
      </c>
      <c r="E90" s="1239"/>
      <c r="F90" s="130"/>
    </row>
    <row r="91" spans="1:7" ht="12.75" customHeight="1" x14ac:dyDescent="0.25">
      <c r="A91" s="316" t="s">
        <v>458</v>
      </c>
      <c r="B91" s="317" t="s">
        <v>566</v>
      </c>
      <c r="C91" s="38" t="s">
        <v>234</v>
      </c>
      <c r="D91" s="1228">
        <f>+D87+E87</f>
        <v>5507</v>
      </c>
      <c r="E91" s="1229"/>
    </row>
    <row r="92" spans="1:7" ht="12.75" customHeight="1" thickBot="1" x14ac:dyDescent="0.3">
      <c r="A92" s="315" t="s">
        <v>459</v>
      </c>
      <c r="B92" s="52" t="s">
        <v>567</v>
      </c>
      <c r="C92" s="45" t="s">
        <v>237</v>
      </c>
      <c r="D92" s="1230">
        <f>+D89+E89</f>
        <v>5270</v>
      </c>
      <c r="E92" s="1231"/>
    </row>
    <row r="93" spans="1:7" ht="12.75" customHeight="1" x14ac:dyDescent="0.25">
      <c r="A93" s="147"/>
      <c r="B93" s="56"/>
      <c r="C93" s="56"/>
    </row>
    <row r="94" spans="1:7" ht="12.75" customHeight="1" x14ac:dyDescent="0.25">
      <c r="A94" s="53" t="s">
        <v>616</v>
      </c>
      <c r="B94" s="56"/>
      <c r="C94" s="56"/>
    </row>
    <row r="95" spans="1:7" ht="12.75" customHeight="1" x14ac:dyDescent="0.25">
      <c r="A95" s="163" t="s">
        <v>1108</v>
      </c>
      <c r="B95" s="56"/>
      <c r="C95" s="56"/>
    </row>
    <row r="96" spans="1:7" x14ac:dyDescent="0.25">
      <c r="A96" s="31" t="s">
        <v>641</v>
      </c>
      <c r="B96" s="32"/>
      <c r="C96" s="32"/>
    </row>
    <row r="97" spans="1:3" x14ac:dyDescent="0.25">
      <c r="A97" s="163" t="s">
        <v>636</v>
      </c>
      <c r="B97" s="32"/>
      <c r="C97" s="32"/>
    </row>
    <row r="98" spans="1:3" x14ac:dyDescent="0.25">
      <c r="A98" s="163" t="s">
        <v>1060</v>
      </c>
    </row>
  </sheetData>
  <mergeCells count="10">
    <mergeCell ref="A90:C90"/>
    <mergeCell ref="D90:E90"/>
    <mergeCell ref="D91:E91"/>
    <mergeCell ref="D92:E92"/>
    <mergeCell ref="A1:E1"/>
    <mergeCell ref="A2:E2"/>
    <mergeCell ref="A3:E3"/>
    <mergeCell ref="A4:E4"/>
    <mergeCell ref="B6:C6"/>
    <mergeCell ref="A49:E49"/>
  </mergeCells>
  <pageMargins left="0.70866141732283472" right="0" top="0.39370078740157483" bottom="0.39370078740157483" header="0.51181102362204722" footer="0.51181102362204722"/>
  <pageSetup paperSize="9" scale="80" orientation="portrait" r:id="rId1"/>
  <headerFooter alignWithMargins="0"/>
  <rowBreaks count="1" manualBreakCount="1">
    <brk id="48" max="16383"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2"/>
  <dimension ref="A1:G29"/>
  <sheetViews>
    <sheetView zoomScaleNormal="100" workbookViewId="0">
      <selection activeCell="I32" sqref="I32"/>
    </sheetView>
  </sheetViews>
  <sheetFormatPr defaultRowHeight="12.75" x14ac:dyDescent="0.2"/>
  <cols>
    <col min="1" max="1" width="12.7109375" style="60" customWidth="1"/>
    <col min="2" max="2" width="44.85546875" style="60" customWidth="1"/>
    <col min="3" max="3" width="11.5703125" style="90" customWidth="1"/>
    <col min="4" max="4" width="9.140625" style="60"/>
    <col min="5" max="5" width="10" style="60" customWidth="1"/>
    <col min="6" max="16384" width="9.140625" style="60"/>
  </cols>
  <sheetData>
    <row r="1" spans="1:7" ht="15.75" x14ac:dyDescent="0.25">
      <c r="A1" s="127" t="s">
        <v>1097</v>
      </c>
    </row>
    <row r="2" spans="1:7" ht="13.5" thickBot="1" x14ac:dyDescent="0.25">
      <c r="A2" s="62"/>
      <c r="B2" s="62"/>
      <c r="C2" s="128" t="s">
        <v>480</v>
      </c>
    </row>
    <row r="3" spans="1:7" ht="13.5" thickBot="1" x14ac:dyDescent="0.25">
      <c r="A3" s="1546" t="s">
        <v>501</v>
      </c>
      <c r="B3" s="1547"/>
      <c r="C3" s="288">
        <v>259702.97299999994</v>
      </c>
      <c r="D3" s="93"/>
      <c r="E3" s="94"/>
      <c r="F3" s="93"/>
    </row>
    <row r="4" spans="1:7" x14ac:dyDescent="0.2">
      <c r="A4" s="1562" t="s">
        <v>503</v>
      </c>
      <c r="B4" s="1062" t="s">
        <v>537</v>
      </c>
      <c r="C4" s="239">
        <v>193350.87100000001</v>
      </c>
      <c r="D4" s="93"/>
      <c r="E4" s="94"/>
      <c r="F4" s="93"/>
    </row>
    <row r="5" spans="1:7" x14ac:dyDescent="0.2">
      <c r="A5" s="1563"/>
      <c r="B5" s="1063" t="s">
        <v>1100</v>
      </c>
      <c r="C5" s="167">
        <v>1383.3652300000001</v>
      </c>
      <c r="D5" s="93"/>
      <c r="E5" s="93"/>
      <c r="F5" s="93"/>
      <c r="G5" s="92"/>
    </row>
    <row r="6" spans="1:7" x14ac:dyDescent="0.2">
      <c r="A6" s="1563"/>
      <c r="B6" s="1063" t="s">
        <v>504</v>
      </c>
      <c r="C6" s="167">
        <v>0</v>
      </c>
      <c r="D6" s="96"/>
      <c r="E6" s="92"/>
      <c r="F6" s="92"/>
      <c r="G6" s="92"/>
    </row>
    <row r="7" spans="1:7" x14ac:dyDescent="0.2">
      <c r="A7" s="1563"/>
      <c r="B7" s="1063" t="s">
        <v>505</v>
      </c>
      <c r="C7" s="167">
        <v>0</v>
      </c>
      <c r="D7" s="96"/>
      <c r="E7" s="96"/>
      <c r="F7" s="96"/>
      <c r="G7" s="96"/>
    </row>
    <row r="8" spans="1:7" x14ac:dyDescent="0.2">
      <c r="A8" s="1563"/>
      <c r="B8" s="1063" t="s">
        <v>527</v>
      </c>
      <c r="C8" s="167">
        <v>0</v>
      </c>
      <c r="D8" s="96"/>
      <c r="E8" s="96"/>
      <c r="F8" s="96"/>
      <c r="G8" s="96"/>
    </row>
    <row r="9" spans="1:7" ht="13.5" thickBot="1" x14ac:dyDescent="0.25">
      <c r="A9" s="1563"/>
      <c r="B9" s="1063" t="s">
        <v>686</v>
      </c>
      <c r="C9" s="167">
        <v>0</v>
      </c>
      <c r="D9" s="96"/>
      <c r="E9" s="92"/>
      <c r="F9" s="92"/>
      <c r="G9" s="92"/>
    </row>
    <row r="10" spans="1:7" ht="13.5" thickBot="1" x14ac:dyDescent="0.25">
      <c r="A10" s="1564"/>
      <c r="B10" s="697" t="s">
        <v>485</v>
      </c>
      <c r="C10" s="240">
        <f>C4+C5</f>
        <v>194734.23623000001</v>
      </c>
      <c r="D10" s="99"/>
      <c r="E10" s="99"/>
      <c r="F10" s="99"/>
      <c r="G10" s="99"/>
    </row>
    <row r="11" spans="1:7" x14ac:dyDescent="0.2">
      <c r="A11" s="1548" t="s">
        <v>507</v>
      </c>
      <c r="B11" s="1062" t="s">
        <v>538</v>
      </c>
      <c r="C11" s="239">
        <v>168623.27111999999</v>
      </c>
      <c r="D11" s="100"/>
      <c r="E11" s="100"/>
      <c r="F11" s="100"/>
      <c r="G11" s="101"/>
    </row>
    <row r="12" spans="1:7" x14ac:dyDescent="0.2">
      <c r="A12" s="1549"/>
      <c r="B12" s="1063" t="s">
        <v>509</v>
      </c>
      <c r="C12" s="167">
        <v>12910.89935</v>
      </c>
      <c r="D12" s="101"/>
      <c r="E12" s="101"/>
      <c r="F12" s="100"/>
      <c r="G12" s="101"/>
    </row>
    <row r="13" spans="1:7" x14ac:dyDescent="0.2">
      <c r="A13" s="1549"/>
      <c r="B13" s="1063" t="s">
        <v>510</v>
      </c>
      <c r="C13" s="167">
        <v>0</v>
      </c>
      <c r="D13" s="101"/>
      <c r="E13" s="101"/>
      <c r="F13" s="101"/>
      <c r="G13" s="101"/>
    </row>
    <row r="14" spans="1:7" x14ac:dyDescent="0.2">
      <c r="A14" s="1549"/>
      <c r="B14" s="1063" t="s">
        <v>529</v>
      </c>
      <c r="C14" s="167">
        <v>0</v>
      </c>
      <c r="D14" s="102"/>
      <c r="E14" s="102"/>
      <c r="F14" s="102"/>
      <c r="G14" s="102"/>
    </row>
    <row r="15" spans="1:7" ht="13.5" thickBot="1" x14ac:dyDescent="0.25">
      <c r="A15" s="1549"/>
      <c r="B15" s="698" t="s">
        <v>687</v>
      </c>
      <c r="C15" s="169">
        <v>0</v>
      </c>
      <c r="D15" s="102"/>
      <c r="E15" s="102"/>
      <c r="F15" s="102"/>
      <c r="G15" s="102"/>
    </row>
    <row r="16" spans="1:7" ht="13.5" thickBot="1" x14ac:dyDescent="0.25">
      <c r="A16" s="1550"/>
      <c r="B16" s="697" t="s">
        <v>485</v>
      </c>
      <c r="C16" s="240">
        <f>SUM(C11:C15)</f>
        <v>181534.17046999998</v>
      </c>
      <c r="D16" s="99"/>
      <c r="E16" s="99"/>
      <c r="F16" s="99"/>
      <c r="G16" s="99"/>
    </row>
    <row r="17" spans="1:7" ht="13.5" thickBot="1" x14ac:dyDescent="0.25">
      <c r="A17" s="1546" t="s">
        <v>502</v>
      </c>
      <c r="B17" s="1547"/>
      <c r="C17" s="240">
        <f>C3+C10-C16</f>
        <v>272903.03875999991</v>
      </c>
      <c r="D17" s="99"/>
      <c r="E17" s="99"/>
      <c r="F17" s="99"/>
      <c r="G17" s="99"/>
    </row>
    <row r="18" spans="1:7" x14ac:dyDescent="0.2">
      <c r="A18" s="97"/>
      <c r="B18" s="97"/>
      <c r="C18" s="98"/>
      <c r="D18" s="97"/>
      <c r="E18" s="99"/>
      <c r="F18" s="99"/>
      <c r="G18" s="99"/>
    </row>
    <row r="19" spans="1:7" x14ac:dyDescent="0.2">
      <c r="A19" s="12" t="s">
        <v>616</v>
      </c>
      <c r="B19" s="97"/>
      <c r="C19" s="98"/>
      <c r="D19" s="97"/>
      <c r="E19" s="99"/>
      <c r="F19" s="99"/>
      <c r="G19" s="99"/>
    </row>
    <row r="20" spans="1:7" x14ac:dyDescent="0.2">
      <c r="A20" s="17" t="s">
        <v>1099</v>
      </c>
      <c r="B20" s="97"/>
      <c r="C20" s="98"/>
      <c r="D20" s="97"/>
      <c r="E20" s="99"/>
      <c r="F20" s="99"/>
      <c r="G20" s="99"/>
    </row>
    <row r="21" spans="1:7" x14ac:dyDescent="0.2">
      <c r="A21" s="97"/>
      <c r="B21" s="97"/>
      <c r="C21" s="98"/>
      <c r="D21" s="97"/>
      <c r="E21" s="99"/>
      <c r="F21" s="99"/>
      <c r="G21" s="99"/>
    </row>
    <row r="22" spans="1:7" x14ac:dyDescent="0.2">
      <c r="A22" s="97"/>
      <c r="B22" s="97"/>
      <c r="C22" s="98"/>
      <c r="D22" s="97"/>
      <c r="E22" s="99"/>
      <c r="F22" s="99"/>
      <c r="G22" s="99"/>
    </row>
    <row r="23" spans="1:7" x14ac:dyDescent="0.2">
      <c r="A23" s="99"/>
      <c r="B23" s="99"/>
      <c r="C23" s="103"/>
      <c r="D23" s="99"/>
      <c r="E23" s="99"/>
      <c r="F23" s="99"/>
      <c r="G23" s="99"/>
    </row>
    <row r="24" spans="1:7" x14ac:dyDescent="0.2">
      <c r="A24" s="99"/>
      <c r="B24" s="99"/>
      <c r="C24" s="103"/>
      <c r="D24" s="99"/>
      <c r="E24" s="99"/>
      <c r="F24" s="99"/>
      <c r="G24" s="99"/>
    </row>
    <row r="25" spans="1:7" x14ac:dyDescent="0.2">
      <c r="A25" s="99"/>
      <c r="B25" s="99"/>
      <c r="C25" s="103"/>
      <c r="D25" s="99"/>
      <c r="E25" s="99"/>
      <c r="F25" s="99"/>
      <c r="G25" s="99"/>
    </row>
    <row r="26" spans="1:7" x14ac:dyDescent="0.2">
      <c r="A26" s="99"/>
      <c r="B26" s="99"/>
      <c r="C26" s="103"/>
      <c r="D26" s="99"/>
      <c r="E26" s="99"/>
      <c r="F26" s="99"/>
      <c r="G26" s="99"/>
    </row>
    <row r="27" spans="1:7" x14ac:dyDescent="0.2">
      <c r="A27" s="99"/>
      <c r="B27" s="99"/>
      <c r="C27" s="103"/>
      <c r="D27" s="99"/>
      <c r="E27" s="99"/>
      <c r="F27" s="99"/>
      <c r="G27" s="99"/>
    </row>
    <row r="28" spans="1:7" x14ac:dyDescent="0.2">
      <c r="A28" s="99"/>
      <c r="B28" s="99"/>
      <c r="C28" s="103"/>
      <c r="D28" s="99"/>
      <c r="E28" s="99"/>
      <c r="F28" s="99"/>
      <c r="G28" s="99"/>
    </row>
    <row r="29" spans="1:7" x14ac:dyDescent="0.2">
      <c r="A29" s="99"/>
      <c r="B29" s="99"/>
      <c r="C29" s="103"/>
      <c r="D29" s="99"/>
      <c r="E29" s="99"/>
      <c r="F29" s="99"/>
      <c r="G29" s="99"/>
    </row>
  </sheetData>
  <sheetProtection insertRows="0" deleteRows="0"/>
  <customSheetViews>
    <customSheetView guid="{2AF6EA2A-E5C5-45EB-B6C4-875AD1E4E056}">
      <selection activeCell="A2" sqref="A2"/>
      <pageMargins left="0.78740157480314965" right="0.78740157480314965" top="0.98425196850393704" bottom="0.98425196850393704" header="0.51181102362204722" footer="0.51181102362204722"/>
      <printOptions horizontalCentered="1"/>
      <pageSetup paperSize="9" orientation="landscape" horizontalDpi="300" verticalDpi="300" r:id="rId1"/>
      <headerFooter alignWithMargins="0"/>
    </customSheetView>
  </customSheetViews>
  <mergeCells count="4">
    <mergeCell ref="A4:A10"/>
    <mergeCell ref="A11:A16"/>
    <mergeCell ref="A3:B3"/>
    <mergeCell ref="A17:B17"/>
  </mergeCells>
  <printOptions horizontalCentered="1"/>
  <pageMargins left="0.78740157480314965" right="0.78740157480314965" top="0.98425196850393704" bottom="0.98425196850393704" header="0.51181102362204722" footer="0.51181102362204722"/>
  <pageSetup paperSize="9" orientation="landscape" horizontalDpi="300" verticalDpi="300" r:id="rId2"/>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H64"/>
  <sheetViews>
    <sheetView workbookViewId="0">
      <selection activeCell="D3" sqref="D3"/>
    </sheetView>
  </sheetViews>
  <sheetFormatPr defaultRowHeight="12.75" x14ac:dyDescent="0.2"/>
  <cols>
    <col min="1" max="1" width="13.85546875" style="782" bestFit="1" customWidth="1"/>
    <col min="2" max="2" width="15.28515625" style="782" customWidth="1"/>
    <col min="3" max="3" width="11.5703125" style="782" customWidth="1"/>
    <col min="4" max="4" width="31.85546875" style="782" customWidth="1"/>
    <col min="5" max="5" width="11.28515625" style="782" customWidth="1"/>
    <col min="6" max="6" width="14.7109375" style="782" customWidth="1"/>
    <col min="7" max="7" width="27.7109375" style="820" customWidth="1"/>
    <col min="8" max="8" width="11.5703125" style="821" customWidth="1"/>
    <col min="9" max="16384" width="9.140625" style="782"/>
  </cols>
  <sheetData>
    <row r="1" spans="1:8" s="60" customFormat="1" ht="15.75" x14ac:dyDescent="0.25">
      <c r="A1" s="127" t="s">
        <v>1179</v>
      </c>
      <c r="B1" s="127" t="s">
        <v>1180</v>
      </c>
      <c r="D1" s="481"/>
      <c r="G1" s="779"/>
    </row>
    <row r="2" spans="1:8" ht="16.5" thickBot="1" x14ac:dyDescent="0.3">
      <c r="A2" s="780"/>
      <c r="B2" s="781"/>
      <c r="F2" s="783"/>
      <c r="G2" s="784"/>
      <c r="H2" s="785"/>
    </row>
    <row r="3" spans="1:8" s="792" customFormat="1" ht="30.75" thickBot="1" x14ac:dyDescent="0.3">
      <c r="A3" s="786" t="s">
        <v>1181</v>
      </c>
      <c r="B3" s="787" t="s">
        <v>1182</v>
      </c>
      <c r="C3" s="788" t="s">
        <v>1183</v>
      </c>
      <c r="D3" s="787" t="s">
        <v>1184</v>
      </c>
      <c r="E3" s="789" t="s">
        <v>1185</v>
      </c>
      <c r="F3" s="790" t="s">
        <v>1186</v>
      </c>
      <c r="G3" s="791" t="s">
        <v>1187</v>
      </c>
    </row>
    <row r="4" spans="1:8" s="799" customFormat="1" ht="15" x14ac:dyDescent="0.25">
      <c r="A4" s="793" t="s">
        <v>1412</v>
      </c>
      <c r="B4" s="794" t="s">
        <v>1413</v>
      </c>
      <c r="C4" s="795" t="s">
        <v>1414</v>
      </c>
      <c r="D4" s="794" t="s">
        <v>1415</v>
      </c>
      <c r="E4" s="796">
        <v>1</v>
      </c>
      <c r="F4" s="797"/>
      <c r="G4" s="798"/>
    </row>
    <row r="5" spans="1:8" s="799" customFormat="1" ht="15" x14ac:dyDescent="0.25">
      <c r="A5" s="800" t="s">
        <v>1412</v>
      </c>
      <c r="B5" s="801" t="s">
        <v>1413</v>
      </c>
      <c r="C5" s="802" t="s">
        <v>1416</v>
      </c>
      <c r="D5" s="801" t="s">
        <v>1417</v>
      </c>
      <c r="E5" s="803">
        <v>1</v>
      </c>
      <c r="F5" s="804"/>
      <c r="G5" s="805"/>
    </row>
    <row r="6" spans="1:8" s="799" customFormat="1" ht="15" x14ac:dyDescent="0.25">
      <c r="A6" s="800" t="s">
        <v>1412</v>
      </c>
      <c r="B6" s="801" t="s">
        <v>1413</v>
      </c>
      <c r="C6" s="802" t="s">
        <v>1418</v>
      </c>
      <c r="D6" s="801" t="s">
        <v>1419</v>
      </c>
      <c r="E6" s="803">
        <v>1</v>
      </c>
      <c r="F6" s="804"/>
      <c r="G6" s="805"/>
    </row>
    <row r="7" spans="1:8" s="799" customFormat="1" ht="15" x14ac:dyDescent="0.25">
      <c r="A7" s="800" t="s">
        <v>1412</v>
      </c>
      <c r="B7" s="801" t="s">
        <v>1413</v>
      </c>
      <c r="C7" s="802" t="s">
        <v>1420</v>
      </c>
      <c r="D7" s="801" t="s">
        <v>1421</v>
      </c>
      <c r="E7" s="803">
        <v>1</v>
      </c>
      <c r="F7" s="804"/>
      <c r="G7" s="805"/>
    </row>
    <row r="8" spans="1:8" s="799" customFormat="1" ht="15" x14ac:dyDescent="0.25">
      <c r="A8" s="800" t="s">
        <v>1412</v>
      </c>
      <c r="B8" s="801" t="s">
        <v>1413</v>
      </c>
      <c r="C8" s="802" t="s">
        <v>1422</v>
      </c>
      <c r="D8" s="801" t="s">
        <v>1423</v>
      </c>
      <c r="E8" s="803">
        <v>1</v>
      </c>
      <c r="F8" s="804"/>
      <c r="G8" s="805"/>
    </row>
    <row r="9" spans="1:8" s="799" customFormat="1" ht="15" x14ac:dyDescent="0.25">
      <c r="A9" s="800" t="s">
        <v>1412</v>
      </c>
      <c r="B9" s="801" t="s">
        <v>1413</v>
      </c>
      <c r="C9" s="802" t="s">
        <v>1424</v>
      </c>
      <c r="D9" s="801" t="s">
        <v>1425</v>
      </c>
      <c r="E9" s="803">
        <v>1</v>
      </c>
      <c r="F9" s="804"/>
      <c r="G9" s="805"/>
    </row>
    <row r="10" spans="1:8" s="799" customFormat="1" ht="15" x14ac:dyDescent="0.25">
      <c r="A10" s="800" t="s">
        <v>1412</v>
      </c>
      <c r="B10" s="801" t="s">
        <v>1413</v>
      </c>
      <c r="C10" s="802" t="s">
        <v>1426</v>
      </c>
      <c r="D10" s="801" t="s">
        <v>1427</v>
      </c>
      <c r="E10" s="803">
        <v>1</v>
      </c>
      <c r="F10" s="804"/>
      <c r="G10" s="805"/>
    </row>
    <row r="11" spans="1:8" s="799" customFormat="1" ht="15" x14ac:dyDescent="0.25">
      <c r="A11" s="800" t="s">
        <v>1412</v>
      </c>
      <c r="B11" s="801" t="s">
        <v>1413</v>
      </c>
      <c r="C11" s="802" t="s">
        <v>1428</v>
      </c>
      <c r="D11" s="801" t="s">
        <v>1429</v>
      </c>
      <c r="E11" s="803">
        <v>1</v>
      </c>
      <c r="F11" s="804"/>
      <c r="G11" s="805"/>
    </row>
    <row r="12" spans="1:8" s="799" customFormat="1" ht="17.25" x14ac:dyDescent="0.25">
      <c r="A12" s="800" t="s">
        <v>1412</v>
      </c>
      <c r="B12" s="801" t="s">
        <v>1413</v>
      </c>
      <c r="C12" s="802" t="s">
        <v>1430</v>
      </c>
      <c r="D12" s="801" t="s">
        <v>1431</v>
      </c>
      <c r="E12" s="803">
        <v>1</v>
      </c>
      <c r="F12" s="804" t="s">
        <v>1432</v>
      </c>
      <c r="G12" s="805" t="s">
        <v>1433</v>
      </c>
    </row>
    <row r="13" spans="1:8" s="799" customFormat="1" ht="15" x14ac:dyDescent="0.25">
      <c r="A13" s="800" t="s">
        <v>1412</v>
      </c>
      <c r="B13" s="801" t="s">
        <v>1413</v>
      </c>
      <c r="C13" s="802" t="s">
        <v>1434</v>
      </c>
      <c r="D13" s="801" t="s">
        <v>1435</v>
      </c>
      <c r="E13" s="803">
        <v>1</v>
      </c>
      <c r="F13" s="804"/>
      <c r="G13" s="805"/>
    </row>
    <row r="14" spans="1:8" s="799" customFormat="1" ht="15" x14ac:dyDescent="0.25">
      <c r="A14" s="800" t="s">
        <v>1412</v>
      </c>
      <c r="B14" s="801" t="s">
        <v>1413</v>
      </c>
      <c r="C14" s="802" t="s">
        <v>1436</v>
      </c>
      <c r="D14" s="801" t="s">
        <v>1437</v>
      </c>
      <c r="E14" s="803">
        <v>1</v>
      </c>
      <c r="F14" s="804"/>
      <c r="G14" s="805"/>
    </row>
    <row r="15" spans="1:8" s="799" customFormat="1" ht="15" x14ac:dyDescent="0.25">
      <c r="A15" s="800" t="s">
        <v>1412</v>
      </c>
      <c r="B15" s="801" t="s">
        <v>1413</v>
      </c>
      <c r="C15" s="802" t="s">
        <v>1438</v>
      </c>
      <c r="D15" s="801" t="s">
        <v>1439</v>
      </c>
      <c r="E15" s="803">
        <v>1</v>
      </c>
      <c r="F15" s="804"/>
      <c r="G15" s="805"/>
    </row>
    <row r="16" spans="1:8" s="799" customFormat="1" ht="15" x14ac:dyDescent="0.25">
      <c r="A16" s="800" t="s">
        <v>1412</v>
      </c>
      <c r="B16" s="801" t="s">
        <v>1413</v>
      </c>
      <c r="C16" s="802" t="s">
        <v>1440</v>
      </c>
      <c r="D16" s="801" t="s">
        <v>1441</v>
      </c>
      <c r="E16" s="803">
        <v>1</v>
      </c>
      <c r="F16" s="804"/>
      <c r="G16" s="805"/>
    </row>
    <row r="17" spans="1:7" s="799" customFormat="1" ht="15" x14ac:dyDescent="0.25">
      <c r="A17" s="800" t="s">
        <v>1412</v>
      </c>
      <c r="B17" s="801" t="s">
        <v>1413</v>
      </c>
      <c r="C17" s="802" t="s">
        <v>1442</v>
      </c>
      <c r="D17" s="801" t="s">
        <v>1443</v>
      </c>
      <c r="E17" s="803">
        <v>1</v>
      </c>
      <c r="F17" s="804"/>
      <c r="G17" s="805"/>
    </row>
    <row r="18" spans="1:7" s="799" customFormat="1" ht="15" x14ac:dyDescent="0.25">
      <c r="A18" s="800" t="s">
        <v>1412</v>
      </c>
      <c r="B18" s="801" t="s">
        <v>1413</v>
      </c>
      <c r="C18" s="802" t="s">
        <v>1444</v>
      </c>
      <c r="D18" s="801" t="s">
        <v>1445</v>
      </c>
      <c r="E18" s="803">
        <v>1</v>
      </c>
      <c r="F18" s="804"/>
      <c r="G18" s="805"/>
    </row>
    <row r="19" spans="1:7" s="799" customFormat="1" ht="15" x14ac:dyDescent="0.25">
      <c r="A19" s="800" t="s">
        <v>1412</v>
      </c>
      <c r="B19" s="801" t="s">
        <v>1413</v>
      </c>
      <c r="C19" s="802" t="s">
        <v>1446</v>
      </c>
      <c r="D19" s="801" t="s">
        <v>1447</v>
      </c>
      <c r="E19" s="803">
        <v>1</v>
      </c>
      <c r="F19" s="804"/>
      <c r="G19" s="805"/>
    </row>
    <row r="20" spans="1:7" s="799" customFormat="1" ht="15" x14ac:dyDescent="0.25">
      <c r="A20" s="800" t="s">
        <v>1412</v>
      </c>
      <c r="B20" s="801" t="s">
        <v>1413</v>
      </c>
      <c r="C20" s="802" t="s">
        <v>1448</v>
      </c>
      <c r="D20" s="801" t="s">
        <v>1449</v>
      </c>
      <c r="E20" s="803">
        <v>1</v>
      </c>
      <c r="F20" s="804"/>
      <c r="G20" s="805"/>
    </row>
    <row r="21" spans="1:7" s="799" customFormat="1" ht="15" x14ac:dyDescent="0.25">
      <c r="A21" s="800" t="s">
        <v>1412</v>
      </c>
      <c r="B21" s="801" t="s">
        <v>1413</v>
      </c>
      <c r="C21" s="802" t="s">
        <v>1450</v>
      </c>
      <c r="D21" s="801" t="s">
        <v>1451</v>
      </c>
      <c r="E21" s="803">
        <v>1</v>
      </c>
      <c r="F21" s="804"/>
      <c r="G21" s="805"/>
    </row>
    <row r="22" spans="1:7" s="799" customFormat="1" ht="15" x14ac:dyDescent="0.25">
      <c r="A22" s="800" t="s">
        <v>1412</v>
      </c>
      <c r="B22" s="801" t="s">
        <v>1413</v>
      </c>
      <c r="C22" s="802" t="s">
        <v>1452</v>
      </c>
      <c r="D22" s="801" t="s">
        <v>1453</v>
      </c>
      <c r="E22" s="803">
        <v>1</v>
      </c>
      <c r="F22" s="804"/>
      <c r="G22" s="805"/>
    </row>
    <row r="23" spans="1:7" s="799" customFormat="1" ht="15" x14ac:dyDescent="0.25">
      <c r="A23" s="800" t="s">
        <v>1412</v>
      </c>
      <c r="B23" s="801" t="s">
        <v>1413</v>
      </c>
      <c r="C23" s="802" t="s">
        <v>1454</v>
      </c>
      <c r="D23" s="801" t="s">
        <v>1455</v>
      </c>
      <c r="E23" s="803">
        <v>1</v>
      </c>
      <c r="F23" s="804"/>
      <c r="G23" s="805"/>
    </row>
    <row r="24" spans="1:7" s="799" customFormat="1" ht="15" x14ac:dyDescent="0.25">
      <c r="A24" s="800" t="s">
        <v>1412</v>
      </c>
      <c r="B24" s="801" t="s">
        <v>1413</v>
      </c>
      <c r="C24" s="802" t="s">
        <v>1456</v>
      </c>
      <c r="D24" s="801" t="s">
        <v>1457</v>
      </c>
      <c r="E24" s="803">
        <v>1</v>
      </c>
      <c r="F24" s="804"/>
      <c r="G24" s="805"/>
    </row>
    <row r="25" spans="1:7" s="799" customFormat="1" ht="15" x14ac:dyDescent="0.25">
      <c r="A25" s="800" t="s">
        <v>1412</v>
      </c>
      <c r="B25" s="801" t="s">
        <v>1413</v>
      </c>
      <c r="C25" s="802" t="s">
        <v>1458</v>
      </c>
      <c r="D25" s="801" t="s">
        <v>1459</v>
      </c>
      <c r="E25" s="803">
        <v>1</v>
      </c>
      <c r="F25" s="804"/>
      <c r="G25" s="805"/>
    </row>
    <row r="26" spans="1:7" s="799" customFormat="1" ht="15" x14ac:dyDescent="0.25">
      <c r="A26" s="800" t="s">
        <v>1412</v>
      </c>
      <c r="B26" s="801" t="s">
        <v>1413</v>
      </c>
      <c r="C26" s="802" t="s">
        <v>1460</v>
      </c>
      <c r="D26" s="801" t="s">
        <v>1461</v>
      </c>
      <c r="E26" s="803">
        <v>1</v>
      </c>
      <c r="F26" s="804"/>
      <c r="G26" s="805"/>
    </row>
    <row r="27" spans="1:7" s="799" customFormat="1" ht="17.25" x14ac:dyDescent="0.25">
      <c r="A27" s="800" t="s">
        <v>1412</v>
      </c>
      <c r="B27" s="801" t="s">
        <v>1413</v>
      </c>
      <c r="C27" s="802" t="s">
        <v>1462</v>
      </c>
      <c r="D27" s="801" t="s">
        <v>1463</v>
      </c>
      <c r="E27" s="803">
        <v>1</v>
      </c>
      <c r="F27" s="804" t="s">
        <v>1464</v>
      </c>
      <c r="G27" s="805" t="s">
        <v>1465</v>
      </c>
    </row>
    <row r="28" spans="1:7" s="799" customFormat="1" ht="15" x14ac:dyDescent="0.25">
      <c r="A28" s="800" t="s">
        <v>1412</v>
      </c>
      <c r="B28" s="801" t="s">
        <v>1413</v>
      </c>
      <c r="C28" s="802" t="s">
        <v>1466</v>
      </c>
      <c r="D28" s="801" t="s">
        <v>1467</v>
      </c>
      <c r="E28" s="803">
        <v>1</v>
      </c>
      <c r="F28" s="804"/>
      <c r="G28" s="805"/>
    </row>
    <row r="29" spans="1:7" s="799" customFormat="1" ht="15" x14ac:dyDescent="0.25">
      <c r="A29" s="800" t="s">
        <v>1412</v>
      </c>
      <c r="B29" s="801" t="s">
        <v>1413</v>
      </c>
      <c r="C29" s="802" t="s">
        <v>1468</v>
      </c>
      <c r="D29" s="801" t="s">
        <v>1469</v>
      </c>
      <c r="E29" s="803">
        <v>1</v>
      </c>
      <c r="F29" s="804"/>
      <c r="G29" s="805"/>
    </row>
    <row r="30" spans="1:7" s="799" customFormat="1" ht="15" x14ac:dyDescent="0.25">
      <c r="A30" s="800" t="s">
        <v>1412</v>
      </c>
      <c r="B30" s="801" t="s">
        <v>1413</v>
      </c>
      <c r="C30" s="802" t="s">
        <v>1470</v>
      </c>
      <c r="D30" s="801" t="s">
        <v>1471</v>
      </c>
      <c r="E30" s="803">
        <v>1</v>
      </c>
      <c r="F30" s="804"/>
      <c r="G30" s="805"/>
    </row>
    <row r="31" spans="1:7" s="799" customFormat="1" ht="17.25" x14ac:dyDescent="0.25">
      <c r="A31" s="800" t="s">
        <v>1412</v>
      </c>
      <c r="B31" s="801" t="s">
        <v>1413</v>
      </c>
      <c r="C31" s="802" t="s">
        <v>1472</v>
      </c>
      <c r="D31" s="801" t="s">
        <v>1473</v>
      </c>
      <c r="E31" s="803">
        <v>1</v>
      </c>
      <c r="F31" s="804" t="s">
        <v>1474</v>
      </c>
      <c r="G31" s="805" t="s">
        <v>1475</v>
      </c>
    </row>
    <row r="32" spans="1:7" s="799" customFormat="1" ht="15" x14ac:dyDescent="0.25">
      <c r="A32" s="800" t="s">
        <v>1412</v>
      </c>
      <c r="B32" s="801" t="s">
        <v>1476</v>
      </c>
      <c r="C32" s="802" t="s">
        <v>1477</v>
      </c>
      <c r="D32" s="801" t="s">
        <v>1478</v>
      </c>
      <c r="E32" s="803">
        <v>1</v>
      </c>
      <c r="F32" s="804"/>
      <c r="G32" s="805"/>
    </row>
    <row r="33" spans="1:8" s="799" customFormat="1" ht="15" x14ac:dyDescent="0.25">
      <c r="A33" s="800" t="s">
        <v>1412</v>
      </c>
      <c r="B33" s="801" t="s">
        <v>1476</v>
      </c>
      <c r="C33" s="802" t="s">
        <v>1479</v>
      </c>
      <c r="D33" s="801" t="s">
        <v>1480</v>
      </c>
      <c r="E33" s="803">
        <v>1</v>
      </c>
      <c r="F33" s="804"/>
      <c r="G33" s="805"/>
    </row>
    <row r="34" spans="1:8" s="799" customFormat="1" ht="15" x14ac:dyDescent="0.25">
      <c r="A34" s="800" t="s">
        <v>1412</v>
      </c>
      <c r="B34" s="801" t="s">
        <v>1476</v>
      </c>
      <c r="C34" s="802" t="s">
        <v>1481</v>
      </c>
      <c r="D34" s="801" t="s">
        <v>1482</v>
      </c>
      <c r="E34" s="803">
        <v>1</v>
      </c>
      <c r="F34" s="804"/>
      <c r="G34" s="805"/>
    </row>
    <row r="35" spans="1:8" s="799" customFormat="1" ht="17.25" x14ac:dyDescent="0.25">
      <c r="A35" s="800" t="s">
        <v>1412</v>
      </c>
      <c r="B35" s="801" t="s">
        <v>1483</v>
      </c>
      <c r="C35" s="802" t="s">
        <v>1484</v>
      </c>
      <c r="D35" s="801" t="s">
        <v>1485</v>
      </c>
      <c r="E35" s="803">
        <v>1</v>
      </c>
      <c r="F35" s="804" t="s">
        <v>1486</v>
      </c>
      <c r="G35" s="805" t="s">
        <v>1487</v>
      </c>
    </row>
    <row r="36" spans="1:8" s="799" customFormat="1" ht="17.25" x14ac:dyDescent="0.25">
      <c r="A36" s="800" t="s">
        <v>1412</v>
      </c>
      <c r="B36" s="801" t="s">
        <v>1483</v>
      </c>
      <c r="C36" s="802" t="s">
        <v>1488</v>
      </c>
      <c r="D36" s="801" t="s">
        <v>1489</v>
      </c>
      <c r="E36" s="803">
        <v>1</v>
      </c>
      <c r="F36" s="804" t="s">
        <v>1490</v>
      </c>
      <c r="G36" s="805" t="s">
        <v>1491</v>
      </c>
    </row>
    <row r="37" spans="1:8" ht="15" x14ac:dyDescent="0.25">
      <c r="A37" s="800" t="s">
        <v>1412</v>
      </c>
      <c r="B37" s="801" t="s">
        <v>1483</v>
      </c>
      <c r="C37" s="802" t="s">
        <v>1492</v>
      </c>
      <c r="D37" s="801" t="s">
        <v>1493</v>
      </c>
      <c r="E37" s="803">
        <v>1</v>
      </c>
      <c r="F37" s="804"/>
      <c r="G37" s="805"/>
      <c r="H37" s="782"/>
    </row>
    <row r="38" spans="1:8" ht="15" x14ac:dyDescent="0.25">
      <c r="A38" s="800" t="s">
        <v>1412</v>
      </c>
      <c r="B38" s="801" t="s">
        <v>1483</v>
      </c>
      <c r="C38" s="802" t="s">
        <v>1494</v>
      </c>
      <c r="D38" s="801" t="s">
        <v>1495</v>
      </c>
      <c r="E38" s="803">
        <v>1</v>
      </c>
      <c r="F38" s="804"/>
      <c r="G38" s="805"/>
      <c r="H38" s="782"/>
    </row>
    <row r="39" spans="1:8" ht="15" x14ac:dyDescent="0.25">
      <c r="A39" s="800" t="s">
        <v>1412</v>
      </c>
      <c r="B39" s="801" t="s">
        <v>1483</v>
      </c>
      <c r="C39" s="802" t="s">
        <v>1496</v>
      </c>
      <c r="D39" s="801" t="s">
        <v>1497</v>
      </c>
      <c r="E39" s="803">
        <v>1</v>
      </c>
      <c r="F39" s="804"/>
      <c r="G39" s="805"/>
      <c r="H39" s="782"/>
    </row>
    <row r="40" spans="1:8" ht="15" x14ac:dyDescent="0.25">
      <c r="A40" s="800" t="s">
        <v>1412</v>
      </c>
      <c r="B40" s="801" t="s">
        <v>1483</v>
      </c>
      <c r="C40" s="802" t="s">
        <v>1428</v>
      </c>
      <c r="D40" s="801" t="s">
        <v>1498</v>
      </c>
      <c r="E40" s="803">
        <v>1</v>
      </c>
      <c r="F40" s="804"/>
      <c r="G40" s="805"/>
      <c r="H40" s="782"/>
    </row>
    <row r="41" spans="1:8" ht="15" x14ac:dyDescent="0.25">
      <c r="A41" s="800" t="s">
        <v>1412</v>
      </c>
      <c r="B41" s="801" t="s">
        <v>1483</v>
      </c>
      <c r="C41" s="802" t="s">
        <v>1499</v>
      </c>
      <c r="D41" s="801" t="s">
        <v>1500</v>
      </c>
      <c r="E41" s="803">
        <v>1</v>
      </c>
      <c r="F41" s="804"/>
      <c r="G41" s="805"/>
      <c r="H41" s="782"/>
    </row>
    <row r="42" spans="1:8" ht="15" x14ac:dyDescent="0.25">
      <c r="A42" s="800" t="s">
        <v>1412</v>
      </c>
      <c r="B42" s="801" t="s">
        <v>1483</v>
      </c>
      <c r="C42" s="802" t="s">
        <v>1501</v>
      </c>
      <c r="D42" s="801" t="s">
        <v>1502</v>
      </c>
      <c r="E42" s="803">
        <v>1</v>
      </c>
      <c r="F42" s="804"/>
      <c r="G42" s="805"/>
      <c r="H42" s="782"/>
    </row>
    <row r="43" spans="1:8" ht="15" x14ac:dyDescent="0.25">
      <c r="A43" s="800" t="s">
        <v>1412</v>
      </c>
      <c r="B43" s="801" t="s">
        <v>1483</v>
      </c>
      <c r="C43" s="802" t="s">
        <v>1503</v>
      </c>
      <c r="D43" s="801" t="s">
        <v>1504</v>
      </c>
      <c r="E43" s="803">
        <v>1</v>
      </c>
      <c r="F43" s="804"/>
      <c r="G43" s="805"/>
      <c r="H43" s="782"/>
    </row>
    <row r="44" spans="1:8" ht="15" x14ac:dyDescent="0.25">
      <c r="A44" s="800" t="s">
        <v>1412</v>
      </c>
      <c r="B44" s="801" t="s">
        <v>1483</v>
      </c>
      <c r="C44" s="802" t="s">
        <v>1505</v>
      </c>
      <c r="D44" s="801" t="s">
        <v>1506</v>
      </c>
      <c r="E44" s="803">
        <v>1</v>
      </c>
      <c r="F44" s="804"/>
      <c r="G44" s="805"/>
      <c r="H44" s="782"/>
    </row>
    <row r="45" spans="1:8" ht="15" x14ac:dyDescent="0.25">
      <c r="A45" s="800" t="s">
        <v>1412</v>
      </c>
      <c r="B45" s="801" t="s">
        <v>1483</v>
      </c>
      <c r="C45" s="802" t="s">
        <v>1507</v>
      </c>
      <c r="D45" s="801" t="s">
        <v>1508</v>
      </c>
      <c r="E45" s="803">
        <v>1</v>
      </c>
      <c r="F45" s="804"/>
      <c r="G45" s="805"/>
      <c r="H45" s="782"/>
    </row>
    <row r="46" spans="1:8" ht="15" x14ac:dyDescent="0.25">
      <c r="A46" s="800" t="s">
        <v>1412</v>
      </c>
      <c r="B46" s="801" t="s">
        <v>1483</v>
      </c>
      <c r="C46" s="802" t="s">
        <v>1509</v>
      </c>
      <c r="D46" s="801" t="s">
        <v>1510</v>
      </c>
      <c r="E46" s="803">
        <v>1</v>
      </c>
      <c r="F46" s="804"/>
      <c r="G46" s="805"/>
      <c r="H46" s="782"/>
    </row>
    <row r="47" spans="1:8" ht="15" x14ac:dyDescent="0.25">
      <c r="A47" s="800" t="s">
        <v>1412</v>
      </c>
      <c r="B47" s="801" t="s">
        <v>1483</v>
      </c>
      <c r="C47" s="802" t="s">
        <v>1511</v>
      </c>
      <c r="D47" s="801" t="s">
        <v>1512</v>
      </c>
      <c r="E47" s="803">
        <v>1</v>
      </c>
      <c r="F47" s="804"/>
      <c r="G47" s="805"/>
      <c r="H47" s="782"/>
    </row>
    <row r="48" spans="1:8" ht="15" x14ac:dyDescent="0.25">
      <c r="A48" s="800" t="s">
        <v>1412</v>
      </c>
      <c r="B48" s="801" t="s">
        <v>1483</v>
      </c>
      <c r="C48" s="802" t="s">
        <v>1442</v>
      </c>
      <c r="D48" s="801" t="s">
        <v>1513</v>
      </c>
      <c r="E48" s="803">
        <v>1</v>
      </c>
      <c r="F48" s="804"/>
      <c r="G48" s="805"/>
      <c r="H48" s="782"/>
    </row>
    <row r="49" spans="1:8" ht="15" x14ac:dyDescent="0.25">
      <c r="A49" s="800" t="s">
        <v>1412</v>
      </c>
      <c r="B49" s="801" t="s">
        <v>1483</v>
      </c>
      <c r="C49" s="802" t="s">
        <v>1514</v>
      </c>
      <c r="D49" s="801" t="s">
        <v>1515</v>
      </c>
      <c r="E49" s="803">
        <v>1</v>
      </c>
      <c r="F49" s="804"/>
      <c r="G49" s="805"/>
      <c r="H49" s="782"/>
    </row>
    <row r="50" spans="1:8" ht="15" x14ac:dyDescent="0.25">
      <c r="A50" s="800" t="s">
        <v>1412</v>
      </c>
      <c r="B50" s="801" t="s">
        <v>1516</v>
      </c>
      <c r="C50" s="802" t="s">
        <v>1517</v>
      </c>
      <c r="D50" s="801" t="s">
        <v>1431</v>
      </c>
      <c r="E50" s="803">
        <v>0.2</v>
      </c>
      <c r="F50" s="804"/>
      <c r="G50" s="805"/>
      <c r="H50" s="782"/>
    </row>
    <row r="51" spans="1:8" ht="15" x14ac:dyDescent="0.25">
      <c r="A51" s="800" t="s">
        <v>1412</v>
      </c>
      <c r="B51" s="801" t="s">
        <v>1516</v>
      </c>
      <c r="C51" s="802" t="s">
        <v>1518</v>
      </c>
      <c r="D51" s="801" t="s">
        <v>1519</v>
      </c>
      <c r="E51" s="803">
        <v>0.2</v>
      </c>
      <c r="F51" s="804"/>
      <c r="G51" s="805"/>
      <c r="H51" s="782"/>
    </row>
    <row r="52" spans="1:8" ht="15" x14ac:dyDescent="0.25">
      <c r="A52" s="800" t="s">
        <v>1412</v>
      </c>
      <c r="B52" s="801" t="s">
        <v>1516</v>
      </c>
      <c r="C52" s="802" t="s">
        <v>1520</v>
      </c>
      <c r="D52" s="801" t="s">
        <v>1521</v>
      </c>
      <c r="E52" s="803">
        <v>0.2</v>
      </c>
      <c r="F52" s="804"/>
      <c r="G52" s="805"/>
      <c r="H52" s="782"/>
    </row>
    <row r="53" spans="1:8" ht="15" x14ac:dyDescent="0.25">
      <c r="A53" s="800" t="s">
        <v>1412</v>
      </c>
      <c r="B53" s="801" t="s">
        <v>1516</v>
      </c>
      <c r="C53" s="802" t="s">
        <v>1522</v>
      </c>
      <c r="D53" s="801" t="s">
        <v>1523</v>
      </c>
      <c r="E53" s="803">
        <v>0.2</v>
      </c>
      <c r="F53" s="804"/>
      <c r="G53" s="805"/>
      <c r="H53" s="782"/>
    </row>
    <row r="54" spans="1:8" ht="15" x14ac:dyDescent="0.25">
      <c r="A54" s="800" t="s">
        <v>1412</v>
      </c>
      <c r="B54" s="801" t="s">
        <v>1516</v>
      </c>
      <c r="C54" s="802" t="s">
        <v>1524</v>
      </c>
      <c r="D54" s="801" t="s">
        <v>1525</v>
      </c>
      <c r="E54" s="803">
        <v>1</v>
      </c>
      <c r="F54" s="804"/>
      <c r="G54" s="805"/>
      <c r="H54" s="782"/>
    </row>
    <row r="55" spans="1:8" ht="15" x14ac:dyDescent="0.25">
      <c r="A55" s="800" t="s">
        <v>1412</v>
      </c>
      <c r="B55" s="801" t="s">
        <v>1526</v>
      </c>
      <c r="C55" s="802" t="s">
        <v>1527</v>
      </c>
      <c r="D55" s="801" t="s">
        <v>1528</v>
      </c>
      <c r="E55" s="803">
        <v>1</v>
      </c>
      <c r="F55" s="804"/>
      <c r="G55" s="805"/>
      <c r="H55" s="782"/>
    </row>
    <row r="56" spans="1:8" ht="15" x14ac:dyDescent="0.25">
      <c r="A56" s="800" t="s">
        <v>1412</v>
      </c>
      <c r="B56" s="801" t="s">
        <v>1526</v>
      </c>
      <c r="C56" s="802" t="s">
        <v>1529</v>
      </c>
      <c r="D56" s="801" t="s">
        <v>1530</v>
      </c>
      <c r="E56" s="803">
        <v>1</v>
      </c>
      <c r="F56" s="804"/>
      <c r="G56" s="805"/>
      <c r="H56" s="782"/>
    </row>
    <row r="57" spans="1:8" ht="15" x14ac:dyDescent="0.25">
      <c r="A57" s="800" t="s">
        <v>1531</v>
      </c>
      <c r="B57" s="801" t="s">
        <v>1532</v>
      </c>
      <c r="C57" s="802" t="s">
        <v>1533</v>
      </c>
      <c r="D57" s="801" t="s">
        <v>1534</v>
      </c>
      <c r="E57" s="803">
        <v>1</v>
      </c>
      <c r="F57" s="804"/>
      <c r="G57" s="805"/>
      <c r="H57" s="782"/>
    </row>
    <row r="58" spans="1:8" ht="15" x14ac:dyDescent="0.25">
      <c r="A58" s="800" t="s">
        <v>1531</v>
      </c>
      <c r="B58" s="801" t="s">
        <v>1532</v>
      </c>
      <c r="C58" s="802" t="s">
        <v>1535</v>
      </c>
      <c r="D58" s="801" t="s">
        <v>1536</v>
      </c>
      <c r="E58" s="803">
        <v>1</v>
      </c>
      <c r="F58" s="804"/>
      <c r="G58" s="805"/>
      <c r="H58" s="782"/>
    </row>
    <row r="59" spans="1:8" ht="17.25" x14ac:dyDescent="0.2">
      <c r="A59" s="806" t="s">
        <v>1531</v>
      </c>
      <c r="B59" s="807" t="s">
        <v>1532</v>
      </c>
      <c r="C59" s="808" t="s">
        <v>1492</v>
      </c>
      <c r="D59" s="807" t="s">
        <v>1537</v>
      </c>
      <c r="E59" s="809">
        <v>0</v>
      </c>
      <c r="F59" s="810" t="s">
        <v>1578</v>
      </c>
      <c r="G59" s="811" t="s">
        <v>1538</v>
      </c>
      <c r="H59" s="782"/>
    </row>
    <row r="60" spans="1:8" ht="17.25" x14ac:dyDescent="0.2">
      <c r="A60" s="806" t="s">
        <v>1531</v>
      </c>
      <c r="B60" s="807" t="s">
        <v>1532</v>
      </c>
      <c r="C60" s="808"/>
      <c r="D60" s="807" t="s">
        <v>1539</v>
      </c>
      <c r="E60" s="809">
        <v>0</v>
      </c>
      <c r="F60" s="810" t="s">
        <v>1540</v>
      </c>
      <c r="G60" s="811" t="s">
        <v>1541</v>
      </c>
      <c r="H60" s="782"/>
    </row>
    <row r="61" spans="1:8" ht="17.25" x14ac:dyDescent="0.25">
      <c r="A61" s="800" t="s">
        <v>1531</v>
      </c>
      <c r="B61" s="801" t="s">
        <v>1532</v>
      </c>
      <c r="C61" s="802"/>
      <c r="D61" s="801" t="s">
        <v>1542</v>
      </c>
      <c r="E61" s="803">
        <v>0</v>
      </c>
      <c r="F61" s="804" t="s">
        <v>1579</v>
      </c>
      <c r="G61" s="805" t="s">
        <v>1543</v>
      </c>
      <c r="H61" s="782"/>
    </row>
    <row r="62" spans="1:8" ht="17.25" x14ac:dyDescent="0.25">
      <c r="A62" s="800" t="s">
        <v>1544</v>
      </c>
      <c r="B62" s="801" t="s">
        <v>1545</v>
      </c>
      <c r="C62" s="802" t="s">
        <v>1546</v>
      </c>
      <c r="D62" s="801" t="s">
        <v>1547</v>
      </c>
      <c r="E62" s="803">
        <v>0</v>
      </c>
      <c r="F62" s="804" t="s">
        <v>1580</v>
      </c>
      <c r="G62" s="805" t="s">
        <v>1548</v>
      </c>
      <c r="H62" s="782"/>
    </row>
    <row r="63" spans="1:8" ht="32.25" customHeight="1" x14ac:dyDescent="0.25">
      <c r="A63" s="800" t="s">
        <v>1549</v>
      </c>
      <c r="B63" s="801" t="s">
        <v>1550</v>
      </c>
      <c r="C63" s="802" t="s">
        <v>1551</v>
      </c>
      <c r="D63" s="801" t="s">
        <v>1552</v>
      </c>
      <c r="E63" s="803">
        <v>0</v>
      </c>
      <c r="F63" s="812" t="s">
        <v>1553</v>
      </c>
      <c r="G63" s="813" t="s">
        <v>1554</v>
      </c>
      <c r="H63" s="782"/>
    </row>
    <row r="64" spans="1:8" ht="18" thickBot="1" x14ac:dyDescent="0.3">
      <c r="A64" s="814" t="s">
        <v>1412</v>
      </c>
      <c r="B64" s="815"/>
      <c r="C64" s="816"/>
      <c r="D64" s="815" t="s">
        <v>1555</v>
      </c>
      <c r="E64" s="817">
        <v>0</v>
      </c>
      <c r="F64" s="818" t="s">
        <v>1556</v>
      </c>
      <c r="G64" s="819" t="s">
        <v>1557</v>
      </c>
    </row>
  </sheetData>
  <pageMargins left="0.7" right="0.7" top="0.78740157499999996" bottom="0.78740157499999996" header="0.3" footer="0.3"/>
  <pageSetup paperSize="9"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D57"/>
  <sheetViews>
    <sheetView workbookViewId="0">
      <selection activeCell="N36" sqref="N36"/>
    </sheetView>
  </sheetViews>
  <sheetFormatPr defaultRowHeight="12.75" x14ac:dyDescent="0.2"/>
  <cols>
    <col min="1" max="1" width="38.7109375" style="982" customWidth="1"/>
    <col min="2" max="2" width="65.7109375" style="914" customWidth="1"/>
    <col min="3" max="3" width="15.7109375" style="914" customWidth="1"/>
    <col min="4" max="4" width="8.85546875" style="914" bestFit="1" customWidth="1"/>
    <col min="5" max="5" width="11" style="782" customWidth="1"/>
    <col min="6" max="16384" width="9.140625" style="782"/>
  </cols>
  <sheetData>
    <row r="1" spans="1:4" s="60" customFormat="1" ht="15.75" customHeight="1" x14ac:dyDescent="0.2">
      <c r="A1" s="1565" t="s">
        <v>1192</v>
      </c>
      <c r="B1" s="1565"/>
      <c r="C1" s="1565"/>
      <c r="D1" s="1565"/>
    </row>
    <row r="2" spans="1:4" ht="15.75" x14ac:dyDescent="0.2">
      <c r="A2" s="939"/>
      <c r="C2" s="940"/>
    </row>
    <row r="3" spans="1:4" s="825" customFormat="1" ht="15.75" thickBot="1" x14ac:dyDescent="0.3">
      <c r="A3" s="941"/>
      <c r="B3" s="942"/>
      <c r="C3" s="824" t="s">
        <v>1188</v>
      </c>
      <c r="D3" s="460"/>
    </row>
    <row r="4" spans="1:4" s="792" customFormat="1" ht="13.5" thickBot="1" x14ac:dyDescent="0.25">
      <c r="A4" s="943" t="s">
        <v>1189</v>
      </c>
      <c r="B4" s="1136" t="s">
        <v>1190</v>
      </c>
      <c r="C4" s="826" t="s">
        <v>1191</v>
      </c>
      <c r="D4" s="944" t="s">
        <v>649</v>
      </c>
    </row>
    <row r="5" spans="1:4" s="799" customFormat="1" ht="13.5" thickBot="1" x14ac:dyDescent="0.25">
      <c r="A5" s="945" t="s">
        <v>1344</v>
      </c>
      <c r="B5" s="827" t="s">
        <v>1296</v>
      </c>
      <c r="C5" s="946">
        <v>702</v>
      </c>
      <c r="D5" s="947"/>
    </row>
    <row r="6" spans="1:4" s="799" customFormat="1" ht="13.5" thickBot="1" x14ac:dyDescent="0.25">
      <c r="A6" s="948" t="s">
        <v>1345</v>
      </c>
      <c r="B6" s="949" t="s">
        <v>1297</v>
      </c>
      <c r="C6" s="950">
        <v>2335</v>
      </c>
      <c r="D6" s="951"/>
    </row>
    <row r="7" spans="1:4" s="799" customFormat="1" x14ac:dyDescent="0.2">
      <c r="A7" s="952" t="s">
        <v>1346</v>
      </c>
      <c r="B7" s="832" t="s">
        <v>1298</v>
      </c>
      <c r="C7" s="953">
        <v>13289</v>
      </c>
      <c r="D7" s="954"/>
    </row>
    <row r="8" spans="1:4" s="831" customFormat="1" x14ac:dyDescent="0.25">
      <c r="A8" s="828"/>
      <c r="B8" s="829" t="s">
        <v>1299</v>
      </c>
      <c r="C8" s="955">
        <v>13262</v>
      </c>
      <c r="D8" s="956"/>
    </row>
    <row r="9" spans="1:4" s="799" customFormat="1" x14ac:dyDescent="0.2">
      <c r="A9" s="952"/>
      <c r="B9" s="829" t="s">
        <v>1300</v>
      </c>
      <c r="C9" s="955">
        <v>3545</v>
      </c>
      <c r="D9" s="956"/>
    </row>
    <row r="10" spans="1:4" s="799" customFormat="1" x14ac:dyDescent="0.2">
      <c r="A10" s="952"/>
      <c r="B10" s="829" t="s">
        <v>1301</v>
      </c>
      <c r="C10" s="955">
        <v>3543</v>
      </c>
      <c r="D10" s="956"/>
    </row>
    <row r="11" spans="1:4" s="799" customFormat="1" x14ac:dyDescent="0.2">
      <c r="A11" s="952"/>
      <c r="B11" s="829" t="s">
        <v>1302</v>
      </c>
      <c r="C11" s="955">
        <v>2912</v>
      </c>
      <c r="D11" s="956"/>
    </row>
    <row r="12" spans="1:4" s="799" customFormat="1" x14ac:dyDescent="0.2">
      <c r="A12" s="952"/>
      <c r="B12" s="829" t="s">
        <v>1303</v>
      </c>
      <c r="C12" s="955">
        <v>2861</v>
      </c>
      <c r="D12" s="956"/>
    </row>
    <row r="13" spans="1:4" s="799" customFormat="1" x14ac:dyDescent="0.2">
      <c r="A13" s="952"/>
      <c r="B13" s="829" t="s">
        <v>1574</v>
      </c>
      <c r="C13" s="955">
        <v>2386</v>
      </c>
      <c r="D13" s="956"/>
    </row>
    <row r="14" spans="1:4" s="799" customFormat="1" x14ac:dyDescent="0.2">
      <c r="A14" s="952"/>
      <c r="B14" s="829" t="s">
        <v>1304</v>
      </c>
      <c r="C14" s="955">
        <v>2200</v>
      </c>
      <c r="D14" s="956"/>
    </row>
    <row r="15" spans="1:4" s="799" customFormat="1" x14ac:dyDescent="0.2">
      <c r="A15" s="952"/>
      <c r="B15" s="829" t="s">
        <v>1305</v>
      </c>
      <c r="C15" s="955">
        <v>2042</v>
      </c>
      <c r="D15" s="956"/>
    </row>
    <row r="16" spans="1:4" s="799" customFormat="1" x14ac:dyDescent="0.2">
      <c r="A16" s="952"/>
      <c r="B16" s="829" t="s">
        <v>1306</v>
      </c>
      <c r="C16" s="955">
        <v>1829</v>
      </c>
      <c r="D16" s="956"/>
    </row>
    <row r="17" spans="1:4" s="799" customFormat="1" x14ac:dyDescent="0.2">
      <c r="A17" s="952"/>
      <c r="B17" s="829" t="s">
        <v>1307</v>
      </c>
      <c r="C17" s="955">
        <v>1800</v>
      </c>
      <c r="D17" s="956"/>
    </row>
    <row r="18" spans="1:4" s="799" customFormat="1" x14ac:dyDescent="0.2">
      <c r="A18" s="952"/>
      <c r="B18" s="829" t="s">
        <v>1308</v>
      </c>
      <c r="C18" s="955">
        <v>1571</v>
      </c>
      <c r="D18" s="956"/>
    </row>
    <row r="19" spans="1:4" s="799" customFormat="1" x14ac:dyDescent="0.2">
      <c r="A19" s="952"/>
      <c r="B19" s="829" t="s">
        <v>1309</v>
      </c>
      <c r="C19" s="955">
        <v>1370</v>
      </c>
      <c r="D19" s="956"/>
    </row>
    <row r="20" spans="1:4" s="799" customFormat="1" x14ac:dyDescent="0.2">
      <c r="A20" s="952"/>
      <c r="B20" s="829" t="s">
        <v>1310</v>
      </c>
      <c r="C20" s="955">
        <v>1198</v>
      </c>
      <c r="D20" s="956"/>
    </row>
    <row r="21" spans="1:4" s="799" customFormat="1" x14ac:dyDescent="0.2">
      <c r="A21" s="952"/>
      <c r="B21" s="829" t="s">
        <v>1311</v>
      </c>
      <c r="C21" s="955">
        <v>1195</v>
      </c>
      <c r="D21" s="956"/>
    </row>
    <row r="22" spans="1:4" s="799" customFormat="1" x14ac:dyDescent="0.2">
      <c r="A22" s="952"/>
      <c r="B22" s="829" t="s">
        <v>1312</v>
      </c>
      <c r="C22" s="955">
        <v>1178</v>
      </c>
      <c r="D22" s="956"/>
    </row>
    <row r="23" spans="1:4" s="799" customFormat="1" x14ac:dyDescent="0.2">
      <c r="A23" s="952"/>
      <c r="B23" s="829" t="s">
        <v>1313</v>
      </c>
      <c r="C23" s="955">
        <v>1150</v>
      </c>
      <c r="D23" s="956"/>
    </row>
    <row r="24" spans="1:4" s="799" customFormat="1" x14ac:dyDescent="0.2">
      <c r="A24" s="952"/>
      <c r="B24" s="829" t="s">
        <v>1314</v>
      </c>
      <c r="C24" s="955">
        <v>1105</v>
      </c>
      <c r="D24" s="956"/>
    </row>
    <row r="25" spans="1:4" s="799" customFormat="1" x14ac:dyDescent="0.2">
      <c r="A25" s="952"/>
      <c r="B25" s="829" t="s">
        <v>1575</v>
      </c>
      <c r="C25" s="955">
        <v>1028</v>
      </c>
      <c r="D25" s="956"/>
    </row>
    <row r="26" spans="1:4" s="799" customFormat="1" x14ac:dyDescent="0.2">
      <c r="A26" s="952"/>
      <c r="B26" s="829" t="s">
        <v>1315</v>
      </c>
      <c r="C26" s="955">
        <v>1024</v>
      </c>
      <c r="D26" s="956"/>
    </row>
    <row r="27" spans="1:4" s="831" customFormat="1" x14ac:dyDescent="0.25">
      <c r="A27" s="952"/>
      <c r="B27" s="829" t="s">
        <v>1316</v>
      </c>
      <c r="C27" s="955">
        <v>967</v>
      </c>
      <c r="D27" s="956"/>
    </row>
    <row r="28" spans="1:4" s="831" customFormat="1" x14ac:dyDescent="0.25">
      <c r="A28" s="952"/>
      <c r="B28" s="829" t="s">
        <v>1317</v>
      </c>
      <c r="C28" s="955">
        <v>918</v>
      </c>
      <c r="D28" s="956"/>
    </row>
    <row r="29" spans="1:4" s="799" customFormat="1" x14ac:dyDescent="0.2">
      <c r="A29" s="952"/>
      <c r="B29" s="829" t="s">
        <v>1318</v>
      </c>
      <c r="C29" s="955">
        <v>918</v>
      </c>
      <c r="D29" s="956"/>
    </row>
    <row r="30" spans="1:4" s="799" customFormat="1" x14ac:dyDescent="0.2">
      <c r="A30" s="952"/>
      <c r="B30" s="829" t="s">
        <v>1319</v>
      </c>
      <c r="C30" s="955">
        <v>848</v>
      </c>
      <c r="D30" s="956"/>
    </row>
    <row r="31" spans="1:4" s="799" customFormat="1" x14ac:dyDescent="0.2">
      <c r="A31" s="952"/>
      <c r="B31" s="829" t="s">
        <v>1576</v>
      </c>
      <c r="C31" s="955">
        <v>843</v>
      </c>
      <c r="D31" s="956"/>
    </row>
    <row r="32" spans="1:4" s="799" customFormat="1" x14ac:dyDescent="0.2">
      <c r="A32" s="952"/>
      <c r="B32" s="829" t="s">
        <v>1320</v>
      </c>
      <c r="C32" s="955">
        <v>839</v>
      </c>
      <c r="D32" s="956"/>
    </row>
    <row r="33" spans="1:4" s="825" customFormat="1" ht="15" x14ac:dyDescent="0.25">
      <c r="A33" s="952"/>
      <c r="B33" s="829" t="s">
        <v>1321</v>
      </c>
      <c r="C33" s="955">
        <v>835</v>
      </c>
      <c r="D33" s="956"/>
    </row>
    <row r="34" spans="1:4" x14ac:dyDescent="0.2">
      <c r="A34" s="952"/>
      <c r="B34" s="829" t="s">
        <v>1322</v>
      </c>
      <c r="C34" s="955">
        <v>835</v>
      </c>
      <c r="D34" s="956"/>
    </row>
    <row r="35" spans="1:4" x14ac:dyDescent="0.2">
      <c r="A35" s="952"/>
      <c r="B35" s="829" t="s">
        <v>1323</v>
      </c>
      <c r="C35" s="955">
        <v>810</v>
      </c>
      <c r="D35" s="956"/>
    </row>
    <row r="36" spans="1:4" x14ac:dyDescent="0.2">
      <c r="A36" s="952"/>
      <c r="B36" s="829" t="s">
        <v>1577</v>
      </c>
      <c r="C36" s="955">
        <v>804</v>
      </c>
      <c r="D36" s="956"/>
    </row>
    <row r="37" spans="1:4" x14ac:dyDescent="0.2">
      <c r="A37" s="952"/>
      <c r="B37" s="829" t="s">
        <v>1324</v>
      </c>
      <c r="C37" s="955">
        <v>763</v>
      </c>
      <c r="D37" s="956"/>
    </row>
    <row r="38" spans="1:4" ht="13.5" thickBot="1" x14ac:dyDescent="0.25">
      <c r="A38" s="952"/>
      <c r="B38" s="830" t="s">
        <v>1325</v>
      </c>
      <c r="C38" s="957">
        <v>713</v>
      </c>
      <c r="D38" s="958"/>
    </row>
    <row r="39" spans="1:4" ht="26.25" thickBot="1" x14ac:dyDescent="0.25">
      <c r="A39" s="948" t="s">
        <v>1347</v>
      </c>
      <c r="B39" s="949" t="s">
        <v>1326</v>
      </c>
      <c r="C39" s="950">
        <v>1695</v>
      </c>
      <c r="D39" s="959"/>
    </row>
    <row r="40" spans="1:4" ht="13.5" thickBot="1" x14ac:dyDescent="0.25">
      <c r="A40" s="960"/>
      <c r="B40" s="961"/>
      <c r="C40" s="962"/>
      <c r="D40" s="963"/>
    </row>
    <row r="41" spans="1:4" x14ac:dyDescent="0.2">
      <c r="A41" s="964" t="s">
        <v>1348</v>
      </c>
      <c r="B41" s="965" t="s">
        <v>1327</v>
      </c>
      <c r="C41" s="966">
        <v>8098</v>
      </c>
      <c r="D41" s="967"/>
    </row>
    <row r="42" spans="1:4" x14ac:dyDescent="0.2">
      <c r="A42" s="968"/>
      <c r="B42" s="969" t="s">
        <v>1328</v>
      </c>
      <c r="C42" s="970">
        <f>7736-39</f>
        <v>7697</v>
      </c>
      <c r="D42" s="971"/>
    </row>
    <row r="43" spans="1:4" x14ac:dyDescent="0.2">
      <c r="A43" s="968"/>
      <c r="B43" s="969" t="s">
        <v>1329</v>
      </c>
      <c r="C43" s="970">
        <v>7204</v>
      </c>
      <c r="D43" s="971"/>
    </row>
    <row r="44" spans="1:4" x14ac:dyDescent="0.2">
      <c r="A44" s="968"/>
      <c r="B44" s="969" t="s">
        <v>1330</v>
      </c>
      <c r="C44" s="970">
        <v>4887</v>
      </c>
      <c r="D44" s="971"/>
    </row>
    <row r="45" spans="1:4" x14ac:dyDescent="0.2">
      <c r="A45" s="968"/>
      <c r="B45" s="969" t="s">
        <v>1331</v>
      </c>
      <c r="C45" s="970">
        <v>4611</v>
      </c>
      <c r="D45" s="971"/>
    </row>
    <row r="46" spans="1:4" x14ac:dyDescent="0.2">
      <c r="A46" s="968"/>
      <c r="B46" s="969" t="s">
        <v>1332</v>
      </c>
      <c r="C46" s="970">
        <v>4305</v>
      </c>
      <c r="D46" s="971"/>
    </row>
    <row r="47" spans="1:4" x14ac:dyDescent="0.2">
      <c r="A47" s="968"/>
      <c r="B47" s="969" t="s">
        <v>1333</v>
      </c>
      <c r="C47" s="970">
        <v>2659</v>
      </c>
      <c r="D47" s="971"/>
    </row>
    <row r="48" spans="1:4" x14ac:dyDescent="0.2">
      <c r="A48" s="968"/>
      <c r="B48" s="969" t="s">
        <v>1334</v>
      </c>
      <c r="C48" s="970">
        <v>2285</v>
      </c>
      <c r="D48" s="971"/>
    </row>
    <row r="49" spans="1:4" x14ac:dyDescent="0.2">
      <c r="A49" s="968"/>
      <c r="B49" s="969" t="s">
        <v>1335</v>
      </c>
      <c r="C49" s="970">
        <v>1474</v>
      </c>
      <c r="D49" s="971"/>
    </row>
    <row r="50" spans="1:4" ht="13.5" thickBot="1" x14ac:dyDescent="0.25">
      <c r="A50" s="972"/>
      <c r="B50" s="973" t="s">
        <v>1336</v>
      </c>
      <c r="C50" s="974">
        <v>904</v>
      </c>
      <c r="D50" s="975"/>
    </row>
    <row r="51" spans="1:4" x14ac:dyDescent="0.2">
      <c r="A51" s="945" t="s">
        <v>1349</v>
      </c>
      <c r="B51" s="832" t="s">
        <v>1337</v>
      </c>
      <c r="C51" s="953">
        <f>74710-138</f>
        <v>74572</v>
      </c>
      <c r="D51" s="976"/>
    </row>
    <row r="52" spans="1:4" x14ac:dyDescent="0.2">
      <c r="A52" s="978" t="s">
        <v>1350</v>
      </c>
      <c r="B52" s="829" t="s">
        <v>1338</v>
      </c>
      <c r="C52" s="955">
        <f>72305-155</f>
        <v>72150</v>
      </c>
      <c r="D52" s="977"/>
    </row>
    <row r="53" spans="1:4" x14ac:dyDescent="0.2">
      <c r="A53" s="978"/>
      <c r="B53" s="829" t="s">
        <v>1339</v>
      </c>
      <c r="C53" s="955">
        <v>6073</v>
      </c>
      <c r="D53" s="977"/>
    </row>
    <row r="54" spans="1:4" x14ac:dyDescent="0.2">
      <c r="A54" s="952"/>
      <c r="B54" s="829" t="s">
        <v>1340</v>
      </c>
      <c r="C54" s="955">
        <v>1504</v>
      </c>
      <c r="D54" s="977"/>
    </row>
    <row r="55" spans="1:4" x14ac:dyDescent="0.2">
      <c r="A55" s="952"/>
      <c r="B55" s="829" t="s">
        <v>1341</v>
      </c>
      <c r="C55" s="955">
        <v>2832</v>
      </c>
      <c r="D55" s="977"/>
    </row>
    <row r="56" spans="1:4" x14ac:dyDescent="0.2">
      <c r="A56" s="952"/>
      <c r="B56" s="829" t="s">
        <v>1342</v>
      </c>
      <c r="C56" s="955">
        <v>3329</v>
      </c>
      <c r="D56" s="977"/>
    </row>
    <row r="57" spans="1:4" ht="13.5" thickBot="1" x14ac:dyDescent="0.25">
      <c r="A57" s="979"/>
      <c r="B57" s="833" t="s">
        <v>1343</v>
      </c>
      <c r="C57" s="980">
        <v>1267</v>
      </c>
      <c r="D57" s="981"/>
    </row>
  </sheetData>
  <mergeCells count="1">
    <mergeCell ref="A1:D1"/>
  </mergeCells>
  <pageMargins left="0.7" right="0.7" top="0.78740157499999996" bottom="0.78740157499999996" header="0.3" footer="0.3"/>
  <pageSetup paperSize="9" scale="67" fitToHeight="0"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G24"/>
  <sheetViews>
    <sheetView workbookViewId="0">
      <selection activeCell="B3" sqref="B3"/>
    </sheetView>
  </sheetViews>
  <sheetFormatPr defaultColWidth="9.140625" defaultRowHeight="15" x14ac:dyDescent="0.25"/>
  <cols>
    <col min="1" max="1" width="6.140625" style="129" customWidth="1"/>
    <col min="2" max="2" width="32.5703125" style="129" customWidth="1"/>
    <col min="3" max="3" width="13.28515625" style="129" customWidth="1"/>
    <col min="4" max="4" width="10.7109375" style="129" customWidth="1"/>
    <col min="5" max="5" width="9.28515625" style="129" bestFit="1" customWidth="1"/>
    <col min="6" max="6" width="10.5703125" style="129" customWidth="1"/>
    <col min="7" max="7" width="10.85546875" style="129" customWidth="1"/>
    <col min="8" max="16" width="9.140625" style="129"/>
    <col min="17" max="17" width="9.140625" style="129" customWidth="1"/>
    <col min="18" max="16384" width="9.140625" style="129"/>
  </cols>
  <sheetData>
    <row r="1" spans="1:7" ht="15.75" x14ac:dyDescent="0.25">
      <c r="A1" s="127" t="s">
        <v>1193</v>
      </c>
      <c r="B1" s="60"/>
      <c r="C1" s="481"/>
      <c r="D1" s="60"/>
      <c r="E1" s="60"/>
      <c r="F1" s="60"/>
      <c r="G1" s="60"/>
    </row>
    <row r="2" spans="1:7" ht="15.75" x14ac:dyDescent="0.25">
      <c r="A2" s="822"/>
      <c r="B2" s="782"/>
      <c r="C2" s="823"/>
      <c r="D2" s="782"/>
      <c r="E2" s="782"/>
      <c r="F2" s="782"/>
      <c r="G2" s="784"/>
    </row>
    <row r="3" spans="1:7" ht="15.75" thickBot="1" x14ac:dyDescent="0.3">
      <c r="A3" s="62"/>
      <c r="B3" s="62"/>
      <c r="C3" s="128"/>
      <c r="D3" s="60"/>
      <c r="E3" s="60"/>
      <c r="F3" s="60"/>
      <c r="G3" s="834" t="s">
        <v>1188</v>
      </c>
    </row>
    <row r="4" spans="1:7" ht="15" customHeight="1" x14ac:dyDescent="0.25">
      <c r="A4" s="1566" t="s">
        <v>1194</v>
      </c>
      <c r="B4" s="1566"/>
      <c r="C4" s="1568" t="s">
        <v>1257</v>
      </c>
      <c r="D4" s="1570" t="s">
        <v>1258</v>
      </c>
      <c r="E4" s="1570"/>
      <c r="F4" s="1571"/>
      <c r="G4" s="1572" t="s">
        <v>1259</v>
      </c>
    </row>
    <row r="5" spans="1:7" ht="39" thickBot="1" x14ac:dyDescent="0.3">
      <c r="A5" s="1567"/>
      <c r="B5" s="1567"/>
      <c r="C5" s="1569"/>
      <c r="D5" s="835" t="s">
        <v>1196</v>
      </c>
      <c r="E5" s="836" t="s">
        <v>1197</v>
      </c>
      <c r="F5" s="837" t="s">
        <v>1198</v>
      </c>
      <c r="G5" s="1573" t="s">
        <v>1199</v>
      </c>
    </row>
    <row r="6" spans="1:7" ht="15.75" thickBot="1" x14ac:dyDescent="0.3">
      <c r="A6" s="1574">
        <v>1</v>
      </c>
      <c r="B6" s="1575"/>
      <c r="C6" s="838">
        <v>2</v>
      </c>
      <c r="D6" s="839" t="s">
        <v>1200</v>
      </c>
      <c r="E6" s="839">
        <v>4</v>
      </c>
      <c r="F6" s="840">
        <v>5</v>
      </c>
      <c r="G6" s="841">
        <v>6</v>
      </c>
    </row>
    <row r="7" spans="1:7" ht="15.75" thickBot="1" x14ac:dyDescent="0.3">
      <c r="A7" s="842" t="s">
        <v>1201</v>
      </c>
      <c r="B7" s="843"/>
      <c r="C7" s="844">
        <f>SUM(C8:C12)</f>
        <v>119358.59</v>
      </c>
      <c r="D7" s="844">
        <f>SUM(D8:D12)</f>
        <v>123714</v>
      </c>
      <c r="E7" s="844">
        <f>SUM(E8:E12)</f>
        <v>89827</v>
      </c>
      <c r="F7" s="845">
        <f>SUM(F8:F12)</f>
        <v>33887</v>
      </c>
      <c r="G7" s="846">
        <f>D7-C7</f>
        <v>4355.4100000000035</v>
      </c>
    </row>
    <row r="8" spans="1:7" x14ac:dyDescent="0.25">
      <c r="A8" s="847" t="s">
        <v>477</v>
      </c>
      <c r="B8" s="848" t="s">
        <v>1202</v>
      </c>
      <c r="C8" s="849">
        <v>72151.78</v>
      </c>
      <c r="D8" s="849">
        <v>76728</v>
      </c>
      <c r="E8" s="850">
        <v>64352</v>
      </c>
      <c r="F8" s="849">
        <f>D8-E8</f>
        <v>12376</v>
      </c>
      <c r="G8" s="851">
        <f t="shared" ref="G8:G23" si="0">D8-C8</f>
        <v>4576.2200000000012</v>
      </c>
    </row>
    <row r="9" spans="1:7" x14ac:dyDescent="0.25">
      <c r="A9" s="847"/>
      <c r="B9" s="852" t="s">
        <v>1203</v>
      </c>
      <c r="C9" s="853">
        <v>4490.32</v>
      </c>
      <c r="D9" s="853">
        <v>4270</v>
      </c>
      <c r="E9" s="854">
        <v>4270</v>
      </c>
      <c r="F9" s="853">
        <f t="shared" ref="F9:F12" si="1">D9-E9</f>
        <v>0</v>
      </c>
      <c r="G9" s="855">
        <f t="shared" si="0"/>
        <v>-220.31999999999971</v>
      </c>
    </row>
    <row r="10" spans="1:7" x14ac:dyDescent="0.25">
      <c r="A10" s="847"/>
      <c r="B10" s="852" t="s">
        <v>1204</v>
      </c>
      <c r="C10" s="853">
        <v>41996.49</v>
      </c>
      <c r="D10" s="853">
        <v>41996</v>
      </c>
      <c r="E10" s="854">
        <v>20485</v>
      </c>
      <c r="F10" s="853">
        <f t="shared" si="1"/>
        <v>21511</v>
      </c>
      <c r="G10" s="855">
        <f t="shared" si="0"/>
        <v>-0.48999999999796273</v>
      </c>
    </row>
    <row r="11" spans="1:7" x14ac:dyDescent="0.25">
      <c r="A11" s="856"/>
      <c r="B11" s="857" t="s">
        <v>1205</v>
      </c>
      <c r="C11" s="853">
        <v>720</v>
      </c>
      <c r="D11" s="853">
        <v>720</v>
      </c>
      <c r="E11" s="854">
        <v>720</v>
      </c>
      <c r="F11" s="853">
        <f t="shared" si="1"/>
        <v>0</v>
      </c>
      <c r="G11" s="855">
        <f t="shared" si="0"/>
        <v>0</v>
      </c>
    </row>
    <row r="12" spans="1:7" ht="15.75" thickBot="1" x14ac:dyDescent="0.3">
      <c r="A12" s="856"/>
      <c r="B12" s="858" t="s">
        <v>1206</v>
      </c>
      <c r="C12" s="859">
        <v>0</v>
      </c>
      <c r="D12" s="859">
        <v>0</v>
      </c>
      <c r="E12" s="860">
        <v>0</v>
      </c>
      <c r="F12" s="859">
        <f t="shared" si="1"/>
        <v>0</v>
      </c>
      <c r="G12" s="861">
        <f t="shared" si="0"/>
        <v>0</v>
      </c>
    </row>
    <row r="13" spans="1:7" ht="15.75" thickBot="1" x14ac:dyDescent="0.3">
      <c r="A13" s="842" t="s">
        <v>1207</v>
      </c>
      <c r="B13" s="862"/>
      <c r="C13" s="863">
        <f>SUM(C14:C23)</f>
        <v>3610356.5899999994</v>
      </c>
      <c r="D13" s="863">
        <f>SUM(D14:D23)</f>
        <v>3875100</v>
      </c>
      <c r="E13" s="863">
        <f>SUM(E14:E23)</f>
        <v>1269801</v>
      </c>
      <c r="F13" s="845">
        <f>F14+F15+F16+F17+F18+F19+F20+F21+F22+F23</f>
        <v>2605299</v>
      </c>
      <c r="G13" s="846">
        <f t="shared" si="0"/>
        <v>264743.41000000061</v>
      </c>
    </row>
    <row r="14" spans="1:7" x14ac:dyDescent="0.25">
      <c r="A14" s="864" t="s">
        <v>462</v>
      </c>
      <c r="B14" s="865" t="s">
        <v>491</v>
      </c>
      <c r="C14" s="866">
        <v>61501.9</v>
      </c>
      <c r="D14" s="866">
        <v>63261</v>
      </c>
      <c r="E14" s="850">
        <v>0</v>
      </c>
      <c r="F14" s="849">
        <f>D14-E14</f>
        <v>63261</v>
      </c>
      <c r="G14" s="851">
        <f t="shared" si="0"/>
        <v>1759.0999999999985</v>
      </c>
    </row>
    <row r="15" spans="1:7" x14ac:dyDescent="0.25">
      <c r="A15" s="867"/>
      <c r="B15" s="868" t="s">
        <v>1208</v>
      </c>
      <c r="C15" s="854">
        <v>628.16999999999996</v>
      </c>
      <c r="D15" s="854">
        <v>1304</v>
      </c>
      <c r="E15" s="854">
        <v>0</v>
      </c>
      <c r="F15" s="853">
        <f t="shared" ref="F15:F23" si="2">D15-E15</f>
        <v>1304</v>
      </c>
      <c r="G15" s="855">
        <f t="shared" si="0"/>
        <v>675.83</v>
      </c>
    </row>
    <row r="16" spans="1:7" x14ac:dyDescent="0.25">
      <c r="A16" s="867"/>
      <c r="B16" s="868" t="s">
        <v>1209</v>
      </c>
      <c r="C16" s="854">
        <v>2396379.42</v>
      </c>
      <c r="D16" s="854">
        <v>2606197</v>
      </c>
      <c r="E16" s="854">
        <v>470371</v>
      </c>
      <c r="F16" s="853">
        <f t="shared" si="2"/>
        <v>2135826</v>
      </c>
      <c r="G16" s="855">
        <f t="shared" si="0"/>
        <v>209817.58000000007</v>
      </c>
    </row>
    <row r="17" spans="1:7" ht="25.5" x14ac:dyDescent="0.25">
      <c r="A17" s="867"/>
      <c r="B17" s="869" t="s">
        <v>1210</v>
      </c>
      <c r="C17" s="854">
        <v>1017338.87</v>
      </c>
      <c r="D17" s="854">
        <v>1088005</v>
      </c>
      <c r="E17" s="854">
        <v>720275</v>
      </c>
      <c r="F17" s="853">
        <f t="shared" si="2"/>
        <v>367730</v>
      </c>
      <c r="G17" s="855">
        <f t="shared" si="0"/>
        <v>70666.13</v>
      </c>
    </row>
    <row r="18" spans="1:7" x14ac:dyDescent="0.25">
      <c r="A18" s="867"/>
      <c r="B18" s="868" t="s">
        <v>1211</v>
      </c>
      <c r="C18" s="854">
        <v>0</v>
      </c>
      <c r="D18" s="854">
        <v>0</v>
      </c>
      <c r="E18" s="854">
        <v>0</v>
      </c>
      <c r="F18" s="853">
        <f t="shared" si="2"/>
        <v>0</v>
      </c>
      <c r="G18" s="855">
        <f t="shared" si="0"/>
        <v>0</v>
      </c>
    </row>
    <row r="19" spans="1:7" x14ac:dyDescent="0.25">
      <c r="A19" s="867"/>
      <c r="B19" s="868" t="s">
        <v>1212</v>
      </c>
      <c r="C19" s="854">
        <v>0</v>
      </c>
      <c r="D19" s="854">
        <v>0</v>
      </c>
      <c r="E19" s="854">
        <v>0</v>
      </c>
      <c r="F19" s="853">
        <f t="shared" si="2"/>
        <v>0</v>
      </c>
      <c r="G19" s="855">
        <f t="shared" si="0"/>
        <v>0</v>
      </c>
    </row>
    <row r="20" spans="1:7" x14ac:dyDescent="0.25">
      <c r="A20" s="867"/>
      <c r="B20" s="868" t="s">
        <v>1213</v>
      </c>
      <c r="C20" s="854">
        <v>85128.09</v>
      </c>
      <c r="D20" s="854">
        <v>77580</v>
      </c>
      <c r="E20" s="854">
        <v>77580</v>
      </c>
      <c r="F20" s="853">
        <f t="shared" si="2"/>
        <v>0</v>
      </c>
      <c r="G20" s="855">
        <f t="shared" si="0"/>
        <v>-7548.0899999999965</v>
      </c>
    </row>
    <row r="21" spans="1:7" x14ac:dyDescent="0.25">
      <c r="A21" s="867"/>
      <c r="B21" s="868" t="s">
        <v>1214</v>
      </c>
      <c r="C21" s="854">
        <v>1634.3</v>
      </c>
      <c r="D21" s="854">
        <v>1634</v>
      </c>
      <c r="E21" s="854">
        <v>1575</v>
      </c>
      <c r="F21" s="853">
        <f t="shared" si="2"/>
        <v>59</v>
      </c>
      <c r="G21" s="855">
        <f t="shared" si="0"/>
        <v>-0.29999999999995453</v>
      </c>
    </row>
    <row r="22" spans="1:7" ht="25.5" x14ac:dyDescent="0.25">
      <c r="A22" s="937"/>
      <c r="B22" s="870" t="s">
        <v>1215</v>
      </c>
      <c r="C22" s="854">
        <v>47745.84</v>
      </c>
      <c r="D22" s="854">
        <v>37119</v>
      </c>
      <c r="E22" s="854">
        <v>0</v>
      </c>
      <c r="F22" s="853">
        <f t="shared" si="2"/>
        <v>37119</v>
      </c>
      <c r="G22" s="855">
        <f t="shared" si="0"/>
        <v>-10626.839999999997</v>
      </c>
    </row>
    <row r="23" spans="1:7" ht="26.25" thickBot="1" x14ac:dyDescent="0.3">
      <c r="A23" s="938"/>
      <c r="B23" s="871" t="s">
        <v>1216</v>
      </c>
      <c r="C23" s="872">
        <v>0</v>
      </c>
      <c r="D23" s="872">
        <v>0</v>
      </c>
      <c r="E23" s="872">
        <v>0</v>
      </c>
      <c r="F23" s="873">
        <f t="shared" si="2"/>
        <v>0</v>
      </c>
      <c r="G23" s="874">
        <f t="shared" si="0"/>
        <v>0</v>
      </c>
    </row>
    <row r="24" spans="1:7" x14ac:dyDescent="0.25">
      <c r="A24" s="875"/>
      <c r="B24" s="876"/>
      <c r="C24" s="782"/>
      <c r="D24" s="782"/>
      <c r="E24" s="782"/>
      <c r="F24" s="782"/>
      <c r="G24" s="784"/>
    </row>
  </sheetData>
  <mergeCells count="5">
    <mergeCell ref="A4:B5"/>
    <mergeCell ref="C4:C5"/>
    <mergeCell ref="D4:F4"/>
    <mergeCell ref="G4:G5"/>
    <mergeCell ref="A6:B6"/>
  </mergeCells>
  <pageMargins left="0.7" right="0.7" top="0.78740157499999996" bottom="0.78740157499999996"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F16"/>
  <sheetViews>
    <sheetView workbookViewId="0">
      <selection activeCell="D21" sqref="D21"/>
    </sheetView>
  </sheetViews>
  <sheetFormatPr defaultColWidth="9.140625" defaultRowHeight="15" x14ac:dyDescent="0.25"/>
  <cols>
    <col min="1" max="1" width="5.5703125" style="129" customWidth="1"/>
    <col min="2" max="2" width="35.42578125" style="129" customWidth="1"/>
    <col min="3" max="3" width="14" style="129" customWidth="1"/>
    <col min="4" max="4" width="14.140625" style="129" customWidth="1"/>
    <col min="5" max="5" width="15.28515625" style="129" customWidth="1"/>
    <col min="6" max="16384" width="9.140625" style="129"/>
  </cols>
  <sheetData>
    <row r="1" spans="1:6" ht="15.75" x14ac:dyDescent="0.25">
      <c r="A1" s="127" t="s">
        <v>1217</v>
      </c>
      <c r="B1" s="60"/>
      <c r="C1" s="481"/>
      <c r="D1" s="60"/>
      <c r="E1" s="60"/>
      <c r="F1" s="60"/>
    </row>
    <row r="2" spans="1:6" x14ac:dyDescent="0.25">
      <c r="A2" s="782"/>
      <c r="B2" s="782"/>
      <c r="C2" s="877"/>
      <c r="D2" s="877"/>
      <c r="E2" s="782"/>
      <c r="F2" s="782"/>
    </row>
    <row r="3" spans="1:6" ht="15.75" thickBot="1" x14ac:dyDescent="0.3">
      <c r="A3" s="62"/>
      <c r="B3" s="62"/>
      <c r="C3" s="128"/>
      <c r="D3" s="60"/>
      <c r="E3" s="834" t="s">
        <v>1188</v>
      </c>
      <c r="F3" s="60"/>
    </row>
    <row r="4" spans="1:6" ht="26.25" thickBot="1" x14ac:dyDescent="0.3">
      <c r="A4" s="1576"/>
      <c r="B4" s="1577"/>
      <c r="C4" s="878" t="s">
        <v>1195</v>
      </c>
      <c r="D4" s="879" t="s">
        <v>1258</v>
      </c>
      <c r="E4" s="880" t="s">
        <v>1260</v>
      </c>
      <c r="F4" s="783"/>
    </row>
    <row r="5" spans="1:6" ht="15.75" customHeight="1" thickBot="1" x14ac:dyDescent="0.3">
      <c r="A5" s="1578" t="s">
        <v>1218</v>
      </c>
      <c r="B5" s="1579"/>
      <c r="C5" s="881">
        <f>C6</f>
        <v>340</v>
      </c>
      <c r="D5" s="881">
        <f>D6</f>
        <v>340</v>
      </c>
      <c r="E5" s="882">
        <f t="shared" ref="E5:E10" si="0">SUM(D5-C5)</f>
        <v>0</v>
      </c>
      <c r="F5" s="782"/>
    </row>
    <row r="6" spans="1:6" ht="26.25" thickBot="1" x14ac:dyDescent="0.3">
      <c r="A6" s="1009" t="s">
        <v>715</v>
      </c>
      <c r="B6" s="1010" t="s">
        <v>1219</v>
      </c>
      <c r="C6" s="1011">
        <v>340</v>
      </c>
      <c r="D6" s="1011">
        <v>340</v>
      </c>
      <c r="E6" s="1012">
        <f t="shared" si="0"/>
        <v>0</v>
      </c>
      <c r="F6" s="782"/>
    </row>
    <row r="7" spans="1:6" ht="15.75" customHeight="1" thickBot="1" x14ac:dyDescent="0.3">
      <c r="A7" s="1578" t="s">
        <v>1220</v>
      </c>
      <c r="B7" s="1579"/>
      <c r="C7" s="881">
        <f>SUM(C8:C10)</f>
        <v>591307.12</v>
      </c>
      <c r="D7" s="881">
        <f>SUM(D8:D10)</f>
        <v>502397</v>
      </c>
      <c r="E7" s="884">
        <f t="shared" si="0"/>
        <v>-88910.12</v>
      </c>
      <c r="F7" s="782"/>
    </row>
    <row r="8" spans="1:6" ht="15" customHeight="1" x14ac:dyDescent="0.25">
      <c r="A8" s="1580" t="s">
        <v>715</v>
      </c>
      <c r="B8" s="885" t="s">
        <v>1221</v>
      </c>
      <c r="C8" s="886">
        <v>666.75</v>
      </c>
      <c r="D8" s="886">
        <v>552</v>
      </c>
      <c r="E8" s="887">
        <f t="shared" si="0"/>
        <v>-114.75</v>
      </c>
      <c r="F8" s="782"/>
    </row>
    <row r="9" spans="1:6" x14ac:dyDescent="0.25">
      <c r="A9" s="1580"/>
      <c r="B9" s="888" t="s">
        <v>1222</v>
      </c>
      <c r="C9" s="889">
        <v>69.400000000000006</v>
      </c>
      <c r="D9" s="889">
        <v>37</v>
      </c>
      <c r="E9" s="890">
        <f t="shared" si="0"/>
        <v>-32.400000000000006</v>
      </c>
      <c r="F9" s="782"/>
    </row>
    <row r="10" spans="1:6" ht="15.75" thickBot="1" x14ac:dyDescent="0.3">
      <c r="A10" s="1581"/>
      <c r="B10" s="891" t="s">
        <v>1223</v>
      </c>
      <c r="C10" s="892">
        <v>590570.97</v>
      </c>
      <c r="D10" s="892">
        <v>501808</v>
      </c>
      <c r="E10" s="893">
        <f t="shared" si="0"/>
        <v>-88762.969999999972</v>
      </c>
      <c r="F10" s="782"/>
    </row>
    <row r="11" spans="1:6" x14ac:dyDescent="0.25">
      <c r="A11" s="894"/>
      <c r="B11" s="894"/>
      <c r="C11" s="894"/>
      <c r="D11" s="894"/>
      <c r="E11" s="782"/>
      <c r="F11" s="782"/>
    </row>
    <row r="12" spans="1:6" x14ac:dyDescent="0.25">
      <c r="A12" s="875"/>
      <c r="B12" s="894"/>
      <c r="C12" s="894"/>
      <c r="D12" s="894"/>
      <c r="E12" s="782"/>
      <c r="F12" s="782"/>
    </row>
    <row r="14" spans="1:6" ht="50.25" customHeight="1" x14ac:dyDescent="0.25"/>
    <row r="15" spans="1:6" ht="58.5" customHeight="1" x14ac:dyDescent="0.25"/>
    <row r="16" spans="1:6" ht="54" customHeight="1" x14ac:dyDescent="0.25"/>
  </sheetData>
  <mergeCells count="4">
    <mergeCell ref="A4:B4"/>
    <mergeCell ref="A5:B5"/>
    <mergeCell ref="A7:B7"/>
    <mergeCell ref="A8:A10"/>
  </mergeCells>
  <pageMargins left="0.7" right="0.7" top="0.78740157499999996" bottom="0.78740157499999996"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E14"/>
  <sheetViews>
    <sheetView workbookViewId="0">
      <selection activeCell="H7" sqref="H7"/>
    </sheetView>
  </sheetViews>
  <sheetFormatPr defaultColWidth="9.140625" defaultRowHeight="15" x14ac:dyDescent="0.25"/>
  <cols>
    <col min="1" max="1" width="9.140625" style="129"/>
    <col min="2" max="2" width="19.7109375" style="129" customWidth="1"/>
    <col min="3" max="3" width="11" style="129" customWidth="1"/>
    <col min="4" max="4" width="10.42578125" style="129" customWidth="1"/>
    <col min="5" max="5" width="16" style="129" customWidth="1"/>
    <col min="6" max="16384" width="9.140625" style="129"/>
  </cols>
  <sheetData>
    <row r="1" spans="1:5" ht="15.75" x14ac:dyDescent="0.25">
      <c r="A1" s="127" t="s">
        <v>1224</v>
      </c>
      <c r="B1" s="60"/>
      <c r="C1" s="481"/>
      <c r="D1" s="60"/>
      <c r="E1" s="60"/>
    </row>
    <row r="2" spans="1:5" x14ac:dyDescent="0.25">
      <c r="A2" s="782"/>
      <c r="B2" s="782"/>
      <c r="C2" s="895"/>
      <c r="D2" s="895"/>
      <c r="E2" s="782"/>
    </row>
    <row r="3" spans="1:5" ht="15.75" thickBot="1" x14ac:dyDescent="0.3">
      <c r="A3" s="62"/>
      <c r="B3" s="62"/>
      <c r="C3" s="128"/>
      <c r="D3" s="60"/>
      <c r="E3" s="834" t="s">
        <v>1188</v>
      </c>
    </row>
    <row r="4" spans="1:5" ht="26.25" thickBot="1" x14ac:dyDescent="0.3">
      <c r="A4" s="1578"/>
      <c r="B4" s="1582"/>
      <c r="C4" s="896" t="s">
        <v>1195</v>
      </c>
      <c r="D4" s="879" t="s">
        <v>1258</v>
      </c>
      <c r="E4" s="936" t="s">
        <v>1260</v>
      </c>
    </row>
    <row r="5" spans="1:5" ht="15.75" customHeight="1" thickBot="1" x14ac:dyDescent="0.3">
      <c r="A5" s="1578" t="s">
        <v>1225</v>
      </c>
      <c r="B5" s="1582"/>
      <c r="C5" s="897">
        <f>C6+C7+C8+C9+C10+C11</f>
        <v>7461.67</v>
      </c>
      <c r="D5" s="897">
        <f>D6+D7+D8+D9+D10+D11</f>
        <v>7639</v>
      </c>
      <c r="E5" s="898">
        <f t="shared" ref="E5:E11" si="0">SUM(D5-C5)</f>
        <v>177.32999999999993</v>
      </c>
    </row>
    <row r="6" spans="1:5" ht="15.75" customHeight="1" x14ac:dyDescent="0.25">
      <c r="A6" s="1583" t="s">
        <v>715</v>
      </c>
      <c r="B6" s="899" t="s">
        <v>1226</v>
      </c>
      <c r="C6" s="900">
        <v>3025.01</v>
      </c>
      <c r="D6" s="900">
        <v>3267</v>
      </c>
      <c r="E6" s="901">
        <f t="shared" si="0"/>
        <v>241.98999999999978</v>
      </c>
    </row>
    <row r="7" spans="1:5" x14ac:dyDescent="0.25">
      <c r="A7" s="1583"/>
      <c r="B7" s="902" t="s">
        <v>1227</v>
      </c>
      <c r="C7" s="903">
        <v>154.15</v>
      </c>
      <c r="D7" s="903">
        <v>233</v>
      </c>
      <c r="E7" s="901">
        <f t="shared" si="0"/>
        <v>78.849999999999994</v>
      </c>
    </row>
    <row r="8" spans="1:5" x14ac:dyDescent="0.25">
      <c r="A8" s="1583"/>
      <c r="B8" s="902" t="s">
        <v>1228</v>
      </c>
      <c r="C8" s="903">
        <v>13.65</v>
      </c>
      <c r="D8" s="903">
        <v>14</v>
      </c>
      <c r="E8" s="904">
        <f t="shared" si="0"/>
        <v>0.34999999999999964</v>
      </c>
    </row>
    <row r="9" spans="1:5" x14ac:dyDescent="0.25">
      <c r="A9" s="1583"/>
      <c r="B9" s="902" t="s">
        <v>1229</v>
      </c>
      <c r="C9" s="905">
        <v>0</v>
      </c>
      <c r="D9" s="905">
        <v>0</v>
      </c>
      <c r="E9" s="904">
        <f t="shared" si="0"/>
        <v>0</v>
      </c>
    </row>
    <row r="10" spans="1:5" x14ac:dyDescent="0.25">
      <c r="A10" s="1583"/>
      <c r="B10" s="902" t="s">
        <v>1230</v>
      </c>
      <c r="C10" s="906">
        <v>4268.8599999999997</v>
      </c>
      <c r="D10" s="906">
        <v>4125</v>
      </c>
      <c r="E10" s="904">
        <f t="shared" si="0"/>
        <v>-143.85999999999967</v>
      </c>
    </row>
    <row r="11" spans="1:5" ht="15.75" thickBot="1" x14ac:dyDescent="0.3">
      <c r="A11" s="1584"/>
      <c r="B11" s="907" t="s">
        <v>464</v>
      </c>
      <c r="C11" s="908">
        <v>0</v>
      </c>
      <c r="D11" s="908">
        <v>0</v>
      </c>
      <c r="E11" s="909">
        <f t="shared" si="0"/>
        <v>0</v>
      </c>
    </row>
    <row r="12" spans="1:5" x14ac:dyDescent="0.25">
      <c r="A12" s="910"/>
      <c r="B12" s="910"/>
      <c r="C12" s="911"/>
      <c r="D12" s="912"/>
      <c r="E12" s="912"/>
    </row>
    <row r="13" spans="1:5" x14ac:dyDescent="0.25">
      <c r="A13" s="894"/>
      <c r="B13" s="894"/>
      <c r="C13" s="894"/>
      <c r="D13" s="894"/>
      <c r="E13" s="877"/>
    </row>
    <row r="14" spans="1:5" ht="54" customHeight="1" x14ac:dyDescent="0.25"/>
  </sheetData>
  <mergeCells count="3">
    <mergeCell ref="A4:B4"/>
    <mergeCell ref="A5:B5"/>
    <mergeCell ref="A6:A11"/>
  </mergeCells>
  <pageMargins left="0.7" right="0.7" top="0.78740157499999996" bottom="0.78740157499999996"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E23"/>
  <sheetViews>
    <sheetView workbookViewId="0">
      <selection activeCell="F4" sqref="F4"/>
    </sheetView>
  </sheetViews>
  <sheetFormatPr defaultColWidth="9.140625" defaultRowHeight="15" x14ac:dyDescent="0.25"/>
  <cols>
    <col min="1" max="1" width="9.140625" style="129"/>
    <col min="2" max="2" width="23.85546875" style="129" customWidth="1"/>
    <col min="3" max="5" width="10.7109375" style="129" customWidth="1"/>
    <col min="6" max="6" width="46.7109375" style="129" customWidth="1"/>
    <col min="7" max="16384" width="9.140625" style="129"/>
  </cols>
  <sheetData>
    <row r="1" spans="1:5" ht="15.75" x14ac:dyDescent="0.25">
      <c r="A1" s="127" t="s">
        <v>1231</v>
      </c>
      <c r="B1" s="60"/>
      <c r="C1" s="481"/>
      <c r="D1" s="60"/>
      <c r="E1" s="60"/>
    </row>
    <row r="2" spans="1:5" ht="15.75" x14ac:dyDescent="0.25">
      <c r="A2" s="913"/>
      <c r="B2" s="914"/>
      <c r="C2" s="914"/>
      <c r="D2" s="914"/>
      <c r="E2" s="914"/>
    </row>
    <row r="3" spans="1:5" ht="15.75" thickBot="1" x14ac:dyDescent="0.3">
      <c r="A3" s="62"/>
      <c r="B3" s="62"/>
      <c r="C3" s="128"/>
      <c r="D3" s="60"/>
      <c r="E3" s="834" t="s">
        <v>1188</v>
      </c>
    </row>
    <row r="4" spans="1:5" ht="39" thickBot="1" x14ac:dyDescent="0.3">
      <c r="A4" s="1587"/>
      <c r="B4" s="1588"/>
      <c r="C4" s="915" t="s">
        <v>1195</v>
      </c>
      <c r="D4" s="916" t="s">
        <v>1258</v>
      </c>
      <c r="E4" s="936" t="s">
        <v>1260</v>
      </c>
    </row>
    <row r="5" spans="1:5" ht="15.75" customHeight="1" thickBot="1" x14ac:dyDescent="0.3">
      <c r="A5" s="1589" t="s">
        <v>1232</v>
      </c>
      <c r="B5" s="1590"/>
      <c r="C5" s="881">
        <f>SUM(C6:C10)</f>
        <v>19973.349999999999</v>
      </c>
      <c r="D5" s="881">
        <f>SUM(D6:D10)</f>
        <v>10932</v>
      </c>
      <c r="E5" s="917">
        <f t="shared" ref="E5:E20" si="0">SUM(D5-C5)</f>
        <v>-9041.3499999999985</v>
      </c>
    </row>
    <row r="6" spans="1:5" x14ac:dyDescent="0.25">
      <c r="A6" s="1591" t="s">
        <v>617</v>
      </c>
      <c r="B6" s="918" t="s">
        <v>1233</v>
      </c>
      <c r="C6" s="886">
        <v>9840.6299999999992</v>
      </c>
      <c r="D6" s="886">
        <v>4937</v>
      </c>
      <c r="E6" s="919">
        <f t="shared" si="0"/>
        <v>-4903.6299999999992</v>
      </c>
    </row>
    <row r="7" spans="1:5" x14ac:dyDescent="0.25">
      <c r="A7" s="1592"/>
      <c r="B7" s="920" t="s">
        <v>1234</v>
      </c>
      <c r="C7" s="886">
        <v>2874.94</v>
      </c>
      <c r="D7" s="886">
        <v>3050</v>
      </c>
      <c r="E7" s="919">
        <f t="shared" si="0"/>
        <v>175.05999999999995</v>
      </c>
    </row>
    <row r="8" spans="1:5" ht="38.25" x14ac:dyDescent="0.25">
      <c r="A8" s="1592"/>
      <c r="B8" s="920" t="s">
        <v>1235</v>
      </c>
      <c r="C8" s="1013">
        <v>0</v>
      </c>
      <c r="D8" s="1013">
        <v>0</v>
      </c>
      <c r="E8" s="1014">
        <f t="shared" si="0"/>
        <v>0</v>
      </c>
    </row>
    <row r="9" spans="1:5" x14ac:dyDescent="0.25">
      <c r="A9" s="1592"/>
      <c r="B9" s="920" t="s">
        <v>1236</v>
      </c>
      <c r="C9" s="886">
        <v>783.02</v>
      </c>
      <c r="D9" s="886">
        <v>64</v>
      </c>
      <c r="E9" s="919">
        <f t="shared" si="0"/>
        <v>-719.02</v>
      </c>
    </row>
    <row r="10" spans="1:5" ht="15.75" thickBot="1" x14ac:dyDescent="0.3">
      <c r="A10" s="1593"/>
      <c r="B10" s="921" t="s">
        <v>464</v>
      </c>
      <c r="C10" s="883">
        <f>993.55+16.51+266.18+5763.82-565.3</f>
        <v>6474.7599999999993</v>
      </c>
      <c r="D10" s="883">
        <f>922+863+15+1302+232+93-546</f>
        <v>2881</v>
      </c>
      <c r="E10" s="922">
        <f t="shared" si="0"/>
        <v>-3593.7599999999993</v>
      </c>
    </row>
    <row r="11" spans="1:5" ht="15.75" thickBot="1" x14ac:dyDescent="0.3">
      <c r="A11" s="1594" t="s">
        <v>1237</v>
      </c>
      <c r="B11" s="1595"/>
      <c r="C11" s="881">
        <f>SUM(C12:C18)</f>
        <v>99937.49</v>
      </c>
      <c r="D11" s="881">
        <f>SUM(D12:D18)</f>
        <v>80317</v>
      </c>
      <c r="E11" s="923">
        <f>SUM(D11-C11)</f>
        <v>-19620.490000000005</v>
      </c>
    </row>
    <row r="12" spans="1:5" x14ac:dyDescent="0.25">
      <c r="A12" s="924" t="s">
        <v>617</v>
      </c>
      <c r="B12" s="918" t="s">
        <v>1238</v>
      </c>
      <c r="C12" s="886">
        <v>28584.63</v>
      </c>
      <c r="D12" s="886">
        <v>17634</v>
      </c>
      <c r="E12" s="925">
        <f t="shared" si="0"/>
        <v>-10950.630000000001</v>
      </c>
    </row>
    <row r="13" spans="1:5" x14ac:dyDescent="0.25">
      <c r="A13" s="926"/>
      <c r="B13" s="920" t="s">
        <v>1239</v>
      </c>
      <c r="C13" s="886">
        <v>952.12</v>
      </c>
      <c r="D13" s="886">
        <v>17</v>
      </c>
      <c r="E13" s="925">
        <f t="shared" si="0"/>
        <v>-935.12</v>
      </c>
    </row>
    <row r="14" spans="1:5" x14ac:dyDescent="0.25">
      <c r="A14" s="926"/>
      <c r="B14" s="927" t="s">
        <v>1240</v>
      </c>
      <c r="C14" s="886">
        <v>32279.58</v>
      </c>
      <c r="D14" s="886">
        <v>27789</v>
      </c>
      <c r="E14" s="925">
        <f t="shared" si="0"/>
        <v>-4490.5800000000017</v>
      </c>
    </row>
    <row r="15" spans="1:5" ht="25.5" x14ac:dyDescent="0.25">
      <c r="A15" s="926"/>
      <c r="B15" s="927" t="s">
        <v>1241</v>
      </c>
      <c r="C15" s="1013">
        <v>17834.34</v>
      </c>
      <c r="D15" s="1013">
        <v>15390</v>
      </c>
      <c r="E15" s="1015">
        <f t="shared" si="0"/>
        <v>-2444.34</v>
      </c>
    </row>
    <row r="16" spans="1:5" x14ac:dyDescent="0.25">
      <c r="A16" s="926"/>
      <c r="B16" s="928" t="s">
        <v>1242</v>
      </c>
      <c r="C16" s="929">
        <f>1251.57+5430.95</f>
        <v>6682.5199999999995</v>
      </c>
      <c r="D16" s="929">
        <f>4405</f>
        <v>4405</v>
      </c>
      <c r="E16" s="919">
        <f t="shared" si="0"/>
        <v>-2277.5199999999995</v>
      </c>
    </row>
    <row r="17" spans="1:5" x14ac:dyDescent="0.25">
      <c r="A17" s="926"/>
      <c r="B17" s="928" t="s">
        <v>464</v>
      </c>
      <c r="C17" s="929">
        <f>10449.63+49.99+149.42+2528.48</f>
        <v>13177.519999999999</v>
      </c>
      <c r="D17" s="929">
        <f>2288+1773+1066+9955</f>
        <v>15082</v>
      </c>
      <c r="E17" s="919">
        <f t="shared" si="0"/>
        <v>1904.4800000000014</v>
      </c>
    </row>
    <row r="18" spans="1:5" ht="15.75" thickBot="1" x14ac:dyDescent="0.3">
      <c r="A18" s="926"/>
      <c r="B18" s="928" t="s">
        <v>1243</v>
      </c>
      <c r="C18" s="929">
        <v>426.78</v>
      </c>
      <c r="D18" s="929">
        <v>0</v>
      </c>
      <c r="E18" s="919">
        <f t="shared" si="0"/>
        <v>-426.78</v>
      </c>
    </row>
    <row r="19" spans="1:5" ht="15.75" customHeight="1" thickBot="1" x14ac:dyDescent="0.3">
      <c r="A19" s="1594" t="s">
        <v>1353</v>
      </c>
      <c r="B19" s="1595"/>
      <c r="C19" s="881">
        <v>0</v>
      </c>
      <c r="D19" s="881">
        <v>341</v>
      </c>
      <c r="E19" s="923">
        <f t="shared" si="0"/>
        <v>341</v>
      </c>
    </row>
    <row r="20" spans="1:5" ht="15.75" thickBot="1" x14ac:dyDescent="0.3">
      <c r="A20" s="1585" t="s">
        <v>1244</v>
      </c>
      <c r="B20" s="1586"/>
      <c r="C20" s="930">
        <v>3000</v>
      </c>
      <c r="D20" s="930">
        <v>2000</v>
      </c>
      <c r="E20" s="923">
        <f t="shared" si="0"/>
        <v>-1000</v>
      </c>
    </row>
    <row r="21" spans="1:5" x14ac:dyDescent="0.25">
      <c r="A21" s="914"/>
      <c r="B21" s="931"/>
      <c r="C21" s="914"/>
      <c r="D21" s="914"/>
      <c r="E21" s="914"/>
    </row>
    <row r="22" spans="1:5" x14ac:dyDescent="0.25">
      <c r="A22" s="914"/>
      <c r="B22" s="932"/>
      <c r="C22" s="914"/>
      <c r="D22" s="914"/>
      <c r="E22" s="914"/>
    </row>
    <row r="23" spans="1:5" x14ac:dyDescent="0.25">
      <c r="A23" s="914"/>
      <c r="B23" s="932"/>
      <c r="C23" s="914"/>
      <c r="D23" s="914"/>
      <c r="E23" s="914"/>
    </row>
  </sheetData>
  <mergeCells count="6">
    <mergeCell ref="A20:B20"/>
    <mergeCell ref="A4:B4"/>
    <mergeCell ref="A5:B5"/>
    <mergeCell ref="A6:A10"/>
    <mergeCell ref="A11:B11"/>
    <mergeCell ref="A19:B19"/>
  </mergeCells>
  <pageMargins left="0.7" right="0.7" top="0.78740157499999996" bottom="0.78740157499999996"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A31"/>
  <sheetViews>
    <sheetView workbookViewId="0">
      <selection activeCell="S30" sqref="S30"/>
    </sheetView>
  </sheetViews>
  <sheetFormatPr defaultRowHeight="15" x14ac:dyDescent="0.25"/>
  <cols>
    <col min="1" max="16384" width="9.140625" style="129"/>
  </cols>
  <sheetData>
    <row r="1" spans="1:1" x14ac:dyDescent="0.25">
      <c r="A1" s="778" t="s">
        <v>1245</v>
      </c>
    </row>
    <row r="31" spans="1:1" x14ac:dyDescent="0.25">
      <c r="A31" s="778" t="s">
        <v>1248</v>
      </c>
    </row>
  </sheetData>
  <pageMargins left="0.7" right="0.7" top="0.78740157499999996" bottom="0.78740157499999996" header="0.3" footer="0.3"/>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A28"/>
  <sheetViews>
    <sheetView workbookViewId="0">
      <selection activeCell="O50" sqref="O50"/>
    </sheetView>
  </sheetViews>
  <sheetFormatPr defaultRowHeight="15" x14ac:dyDescent="0.25"/>
  <cols>
    <col min="1" max="16384" width="9.140625" style="129"/>
  </cols>
  <sheetData>
    <row r="1" spans="1:1" x14ac:dyDescent="0.25">
      <c r="A1" s="778" t="s">
        <v>1246</v>
      </c>
    </row>
    <row r="28" spans="1:1" x14ac:dyDescent="0.25">
      <c r="A28" s="778" t="s">
        <v>1247</v>
      </c>
    </row>
  </sheetData>
  <pageMargins left="0.7" right="0.7" top="0.78740157499999996" bottom="0.78740157499999996" header="0.3" footer="0.3"/>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A28"/>
  <sheetViews>
    <sheetView workbookViewId="0">
      <selection activeCell="P47" sqref="P47"/>
    </sheetView>
  </sheetViews>
  <sheetFormatPr defaultRowHeight="15" x14ac:dyDescent="0.25"/>
  <cols>
    <col min="1" max="16384" width="9.140625" style="129"/>
  </cols>
  <sheetData>
    <row r="1" spans="1:1" x14ac:dyDescent="0.25">
      <c r="A1" s="778" t="s">
        <v>1249</v>
      </c>
    </row>
    <row r="24" spans="1:1" x14ac:dyDescent="0.25">
      <c r="A24" s="778" t="s">
        <v>1250</v>
      </c>
    </row>
    <row r="28" spans="1:1" x14ac:dyDescent="0.25">
      <c r="A28" s="778"/>
    </row>
  </sheetData>
  <pageMargins left="0.7" right="0.7" top="0.78740157499999996" bottom="0.78740157499999996"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4"/>
  <dimension ref="A1:G98"/>
  <sheetViews>
    <sheetView zoomScaleNormal="100" workbookViewId="0">
      <pane ySplit="5" topLeftCell="A62" activePane="bottomLeft" state="frozenSplit"/>
      <selection pane="bottomLeft" activeCell="A3" sqref="A3:E92"/>
    </sheetView>
  </sheetViews>
  <sheetFormatPr defaultRowHeight="12.75" x14ac:dyDescent="0.25"/>
  <cols>
    <col min="1" max="1" width="60.42578125" style="53" customWidth="1"/>
    <col min="2" max="2" width="13.85546875" style="134" customWidth="1"/>
    <col min="3" max="3" width="9.140625" style="134"/>
    <col min="4" max="4" width="12.5703125" style="187" customWidth="1"/>
    <col min="5" max="5" width="15.140625" style="187" customWidth="1"/>
    <col min="6" max="16384" width="9.140625" style="31"/>
  </cols>
  <sheetData>
    <row r="1" spans="1:7" ht="15.75" x14ac:dyDescent="0.25">
      <c r="A1" s="1243" t="s">
        <v>1262</v>
      </c>
      <c r="B1" s="1243"/>
      <c r="C1" s="1243"/>
      <c r="D1" s="1243"/>
      <c r="E1" s="1243"/>
    </row>
    <row r="2" spans="1:7" ht="12.75" customHeight="1" thickBot="1" x14ac:dyDescent="0.3">
      <c r="A2" s="1225"/>
      <c r="B2" s="1225"/>
      <c r="C2" s="1225"/>
      <c r="D2" s="1225"/>
      <c r="E2" s="1225"/>
    </row>
    <row r="3" spans="1:7" ht="27.95" customHeight="1" thickBot="1" x14ac:dyDescent="0.3">
      <c r="A3" s="1232" t="s">
        <v>639</v>
      </c>
      <c r="B3" s="1233"/>
      <c r="C3" s="1233"/>
      <c r="D3" s="1233"/>
      <c r="E3" s="1234"/>
      <c r="F3" s="130"/>
    </row>
    <row r="4" spans="1:7" ht="15" customHeight="1" thickBot="1" x14ac:dyDescent="0.3">
      <c r="A4" s="1212" t="s">
        <v>586</v>
      </c>
      <c r="B4" s="1213"/>
      <c r="C4" s="1213"/>
      <c r="D4" s="1213"/>
      <c r="E4" s="1214"/>
    </row>
    <row r="5" spans="1:7" s="133" customFormat="1" ht="40.5" customHeight="1" thickBot="1" x14ac:dyDescent="0.3">
      <c r="A5" s="57" t="s">
        <v>587</v>
      </c>
      <c r="B5" s="58" t="s">
        <v>634</v>
      </c>
      <c r="C5" s="59" t="s">
        <v>640</v>
      </c>
      <c r="D5" s="188" t="s">
        <v>790</v>
      </c>
      <c r="E5" s="189" t="s">
        <v>791</v>
      </c>
      <c r="F5" s="135"/>
    </row>
    <row r="6" spans="1:7" s="133" customFormat="1" ht="12.75" customHeight="1" x14ac:dyDescent="0.25">
      <c r="A6" s="162" t="s">
        <v>374</v>
      </c>
      <c r="B6" s="1226"/>
      <c r="C6" s="1227"/>
      <c r="D6" s="190" t="s">
        <v>565</v>
      </c>
      <c r="E6" s="191" t="s">
        <v>487</v>
      </c>
      <c r="F6" s="132"/>
    </row>
    <row r="7" spans="1:7" x14ac:dyDescent="0.25">
      <c r="A7" s="50" t="s">
        <v>375</v>
      </c>
      <c r="B7" s="136" t="s">
        <v>376</v>
      </c>
      <c r="C7" s="137" t="s">
        <v>2</v>
      </c>
      <c r="D7" s="192">
        <f>SUM(D8:D11)</f>
        <v>18494</v>
      </c>
      <c r="E7" s="193">
        <f>SUM(E8:E11)</f>
        <v>1515</v>
      </c>
      <c r="F7" s="138"/>
      <c r="G7" s="187"/>
    </row>
    <row r="8" spans="1:7" x14ac:dyDescent="0.25">
      <c r="A8" s="39" t="s">
        <v>377</v>
      </c>
      <c r="B8" s="139">
        <v>501</v>
      </c>
      <c r="C8" s="140" t="s">
        <v>5</v>
      </c>
      <c r="D8" s="985">
        <v>11601</v>
      </c>
      <c r="E8" s="195">
        <v>849</v>
      </c>
      <c r="F8" s="138"/>
      <c r="G8" s="187"/>
    </row>
    <row r="9" spans="1:7" x14ac:dyDescent="0.25">
      <c r="A9" s="39" t="s">
        <v>378</v>
      </c>
      <c r="B9" s="139">
        <v>502</v>
      </c>
      <c r="C9" s="140" t="s">
        <v>8</v>
      </c>
      <c r="D9" s="985">
        <v>6893</v>
      </c>
      <c r="E9" s="195">
        <v>666</v>
      </c>
      <c r="F9" s="138"/>
      <c r="G9" s="187"/>
    </row>
    <row r="10" spans="1:7" x14ac:dyDescent="0.25">
      <c r="A10" s="39" t="s">
        <v>379</v>
      </c>
      <c r="B10" s="139">
        <v>503</v>
      </c>
      <c r="C10" s="140" t="s">
        <v>11</v>
      </c>
      <c r="D10" s="194">
        <v>0</v>
      </c>
      <c r="E10" s="195">
        <v>0</v>
      </c>
      <c r="F10" s="138"/>
      <c r="G10" s="187"/>
    </row>
    <row r="11" spans="1:7" x14ac:dyDescent="0.25">
      <c r="A11" s="39" t="s">
        <v>380</v>
      </c>
      <c r="B11" s="139">
        <v>504</v>
      </c>
      <c r="C11" s="140" t="s">
        <v>14</v>
      </c>
      <c r="D11" s="194">
        <v>0</v>
      </c>
      <c r="E11" s="195">
        <v>0</v>
      </c>
      <c r="F11" s="138"/>
      <c r="G11" s="187"/>
    </row>
    <row r="12" spans="1:7" x14ac:dyDescent="0.25">
      <c r="A12" s="39" t="s">
        <v>1263</v>
      </c>
      <c r="B12" s="139" t="s">
        <v>381</v>
      </c>
      <c r="C12" s="140" t="s">
        <v>17</v>
      </c>
      <c r="D12" s="196">
        <f>SUM(D13:D16)</f>
        <v>10978</v>
      </c>
      <c r="E12" s="197">
        <f>SUM(E13:E16)</f>
        <v>452</v>
      </c>
      <c r="F12" s="138"/>
      <c r="G12" s="187"/>
    </row>
    <row r="13" spans="1:7" x14ac:dyDescent="0.25">
      <c r="A13" s="39" t="s">
        <v>382</v>
      </c>
      <c r="B13" s="139">
        <v>511</v>
      </c>
      <c r="C13" s="140" t="s">
        <v>20</v>
      </c>
      <c r="D13" s="985">
        <v>8721</v>
      </c>
      <c r="E13" s="195">
        <v>143</v>
      </c>
      <c r="F13" s="138"/>
      <c r="G13" s="187"/>
    </row>
    <row r="14" spans="1:7" x14ac:dyDescent="0.25">
      <c r="A14" s="39" t="s">
        <v>383</v>
      </c>
      <c r="B14" s="139">
        <v>512</v>
      </c>
      <c r="C14" s="140" t="s">
        <v>23</v>
      </c>
      <c r="D14" s="985">
        <v>8</v>
      </c>
      <c r="E14" s="195">
        <v>0</v>
      </c>
      <c r="F14" s="138"/>
      <c r="G14" s="187"/>
    </row>
    <row r="15" spans="1:7" x14ac:dyDescent="0.25">
      <c r="A15" s="39" t="s">
        <v>384</v>
      </c>
      <c r="B15" s="139">
        <v>513</v>
      </c>
      <c r="C15" s="140" t="s">
        <v>26</v>
      </c>
      <c r="D15" s="985">
        <v>13</v>
      </c>
      <c r="E15" s="195">
        <v>0</v>
      </c>
      <c r="F15" s="138"/>
      <c r="G15" s="187"/>
    </row>
    <row r="16" spans="1:7" x14ac:dyDescent="0.25">
      <c r="A16" s="39" t="s">
        <v>385</v>
      </c>
      <c r="B16" s="139">
        <v>518</v>
      </c>
      <c r="C16" s="140" t="s">
        <v>29</v>
      </c>
      <c r="D16" s="985">
        <v>2236</v>
      </c>
      <c r="E16" s="195">
        <v>309</v>
      </c>
      <c r="F16" s="138"/>
      <c r="G16" s="187"/>
    </row>
    <row r="17" spans="1:7" x14ac:dyDescent="0.25">
      <c r="A17" s="39" t="s">
        <v>1264</v>
      </c>
      <c r="B17" s="139" t="s">
        <v>386</v>
      </c>
      <c r="C17" s="140" t="s">
        <v>32</v>
      </c>
      <c r="D17" s="196">
        <f>SUM(D18:D22)</f>
        <v>19602</v>
      </c>
      <c r="E17" s="197">
        <f>SUM(E18:E22)</f>
        <v>1365</v>
      </c>
      <c r="F17" s="138"/>
      <c r="G17" s="187"/>
    </row>
    <row r="18" spans="1:7" x14ac:dyDescent="0.25">
      <c r="A18" s="39" t="s">
        <v>387</v>
      </c>
      <c r="B18" s="139">
        <v>521</v>
      </c>
      <c r="C18" s="140" t="s">
        <v>34</v>
      </c>
      <c r="D18" s="985">
        <v>14549</v>
      </c>
      <c r="E18" s="195">
        <v>1019</v>
      </c>
      <c r="F18" s="138"/>
      <c r="G18" s="187"/>
    </row>
    <row r="19" spans="1:7" x14ac:dyDescent="0.25">
      <c r="A19" s="39" t="s">
        <v>388</v>
      </c>
      <c r="B19" s="139">
        <v>524</v>
      </c>
      <c r="C19" s="140" t="s">
        <v>37</v>
      </c>
      <c r="D19" s="985">
        <v>4852</v>
      </c>
      <c r="E19" s="195">
        <v>346</v>
      </c>
      <c r="F19" s="138"/>
      <c r="G19" s="187"/>
    </row>
    <row r="20" spans="1:7" x14ac:dyDescent="0.25">
      <c r="A20" s="39" t="s">
        <v>389</v>
      </c>
      <c r="B20" s="139">
        <v>525</v>
      </c>
      <c r="C20" s="140" t="s">
        <v>40</v>
      </c>
      <c r="D20" s="985">
        <f t="shared" ref="D20:D22" si="0">F20-E20</f>
        <v>0</v>
      </c>
      <c r="E20" s="195">
        <v>0</v>
      </c>
      <c r="F20" s="138"/>
      <c r="G20" s="187"/>
    </row>
    <row r="21" spans="1:7" x14ac:dyDescent="0.25">
      <c r="A21" s="39" t="s">
        <v>390</v>
      </c>
      <c r="B21" s="139">
        <v>527</v>
      </c>
      <c r="C21" s="140" t="s">
        <v>43</v>
      </c>
      <c r="D21" s="985">
        <v>201</v>
      </c>
      <c r="E21" s="195">
        <v>0</v>
      </c>
      <c r="F21" s="138"/>
      <c r="G21" s="187"/>
    </row>
    <row r="22" spans="1:7" x14ac:dyDescent="0.25">
      <c r="A22" s="39" t="s">
        <v>391</v>
      </c>
      <c r="B22" s="139">
        <v>528</v>
      </c>
      <c r="C22" s="140" t="s">
        <v>46</v>
      </c>
      <c r="D22" s="985">
        <f t="shared" si="0"/>
        <v>0</v>
      </c>
      <c r="E22" s="195">
        <v>0</v>
      </c>
      <c r="F22" s="138"/>
      <c r="G22" s="187"/>
    </row>
    <row r="23" spans="1:7" x14ac:dyDescent="0.25">
      <c r="A23" s="39" t="s">
        <v>1265</v>
      </c>
      <c r="B23" s="139" t="s">
        <v>392</v>
      </c>
      <c r="C23" s="140" t="s">
        <v>49</v>
      </c>
      <c r="D23" s="196">
        <f>SUM(D24:D26)</f>
        <v>31</v>
      </c>
      <c r="E23" s="197">
        <f>SUM(E24:E26)</f>
        <v>0</v>
      </c>
      <c r="F23" s="138"/>
      <c r="G23" s="187"/>
    </row>
    <row r="24" spans="1:7" x14ac:dyDescent="0.25">
      <c r="A24" s="39" t="s">
        <v>393</v>
      </c>
      <c r="B24" s="139">
        <v>531</v>
      </c>
      <c r="C24" s="140" t="s">
        <v>52</v>
      </c>
      <c r="D24" s="194">
        <f t="shared" ref="D24:D25" si="1">F24-E24</f>
        <v>0</v>
      </c>
      <c r="E24" s="195">
        <v>0</v>
      </c>
      <c r="F24" s="138"/>
      <c r="G24" s="187"/>
    </row>
    <row r="25" spans="1:7" x14ac:dyDescent="0.25">
      <c r="A25" s="39" t="s">
        <v>394</v>
      </c>
      <c r="B25" s="139">
        <v>532</v>
      </c>
      <c r="C25" s="140" t="s">
        <v>55</v>
      </c>
      <c r="D25" s="194">
        <f t="shared" si="1"/>
        <v>0</v>
      </c>
      <c r="E25" s="195">
        <v>0</v>
      </c>
      <c r="F25" s="138"/>
      <c r="G25" s="187"/>
    </row>
    <row r="26" spans="1:7" x14ac:dyDescent="0.25">
      <c r="A26" s="39" t="s">
        <v>395</v>
      </c>
      <c r="B26" s="139">
        <v>538</v>
      </c>
      <c r="C26" s="140" t="s">
        <v>57</v>
      </c>
      <c r="D26" s="985">
        <v>31</v>
      </c>
      <c r="E26" s="195">
        <v>0</v>
      </c>
      <c r="F26" s="138"/>
      <c r="G26" s="187"/>
    </row>
    <row r="27" spans="1:7" x14ac:dyDescent="0.25">
      <c r="A27" s="39" t="s">
        <v>1266</v>
      </c>
      <c r="B27" s="139" t="s">
        <v>396</v>
      </c>
      <c r="C27" s="140" t="s">
        <v>60</v>
      </c>
      <c r="D27" s="196">
        <f>SUM(D28:D35)</f>
        <v>-663</v>
      </c>
      <c r="E27" s="197">
        <f>SUM(E28:E35)</f>
        <v>-171</v>
      </c>
      <c r="F27" s="138"/>
      <c r="G27" s="187"/>
    </row>
    <row r="28" spans="1:7" x14ac:dyDescent="0.25">
      <c r="A28" s="39" t="s">
        <v>397</v>
      </c>
      <c r="B28" s="139">
        <v>541</v>
      </c>
      <c r="C28" s="140" t="s">
        <v>63</v>
      </c>
      <c r="D28" s="194">
        <f t="shared" ref="D28:D30" si="2">F28-E28</f>
        <v>0</v>
      </c>
      <c r="E28" s="195">
        <v>0</v>
      </c>
      <c r="F28" s="138"/>
      <c r="G28" s="187"/>
    </row>
    <row r="29" spans="1:7" x14ac:dyDescent="0.25">
      <c r="A29" s="39" t="s">
        <v>398</v>
      </c>
      <c r="B29" s="139">
        <v>542</v>
      </c>
      <c r="C29" s="140" t="s">
        <v>66</v>
      </c>
      <c r="D29" s="194">
        <f t="shared" si="2"/>
        <v>0</v>
      </c>
      <c r="E29" s="195">
        <v>0</v>
      </c>
      <c r="F29" s="138"/>
      <c r="G29" s="187"/>
    </row>
    <row r="30" spans="1:7" x14ac:dyDescent="0.25">
      <c r="A30" s="39" t="s">
        <v>399</v>
      </c>
      <c r="B30" s="139">
        <v>543</v>
      </c>
      <c r="C30" s="140" t="s">
        <v>69</v>
      </c>
      <c r="D30" s="194">
        <f t="shared" si="2"/>
        <v>0</v>
      </c>
      <c r="E30" s="195">
        <v>0</v>
      </c>
      <c r="F30" s="138"/>
      <c r="G30" s="187"/>
    </row>
    <row r="31" spans="1:7" x14ac:dyDescent="0.25">
      <c r="A31" s="39" t="s">
        <v>400</v>
      </c>
      <c r="B31" s="139">
        <v>544</v>
      </c>
      <c r="C31" s="140" t="s">
        <v>72</v>
      </c>
      <c r="D31" s="985">
        <v>17</v>
      </c>
      <c r="E31" s="195">
        <v>0</v>
      </c>
      <c r="F31" s="138"/>
      <c r="G31" s="187"/>
    </row>
    <row r="32" spans="1:7" x14ac:dyDescent="0.25">
      <c r="A32" s="39" t="s">
        <v>401</v>
      </c>
      <c r="B32" s="139">
        <v>545</v>
      </c>
      <c r="C32" s="140" t="s">
        <v>75</v>
      </c>
      <c r="D32" s="194">
        <f t="shared" ref="D32:D34" si="3">F32-E32</f>
        <v>0</v>
      </c>
      <c r="E32" s="195">
        <v>0</v>
      </c>
      <c r="F32" s="138"/>
      <c r="G32" s="187"/>
    </row>
    <row r="33" spans="1:7" x14ac:dyDescent="0.25">
      <c r="A33" s="39" t="s">
        <v>402</v>
      </c>
      <c r="B33" s="139">
        <v>546</v>
      </c>
      <c r="C33" s="140" t="s">
        <v>78</v>
      </c>
      <c r="D33" s="194">
        <f t="shared" si="3"/>
        <v>0</v>
      </c>
      <c r="E33" s="195">
        <v>0</v>
      </c>
      <c r="F33" s="138"/>
      <c r="G33" s="187"/>
    </row>
    <row r="34" spans="1:7" x14ac:dyDescent="0.25">
      <c r="A34" s="39" t="s">
        <v>403</v>
      </c>
      <c r="B34" s="139">
        <v>548</v>
      </c>
      <c r="C34" s="140" t="s">
        <v>80</v>
      </c>
      <c r="D34" s="194">
        <f t="shared" si="3"/>
        <v>0</v>
      </c>
      <c r="E34" s="195">
        <v>0</v>
      </c>
      <c r="F34" s="138"/>
      <c r="G34" s="187"/>
    </row>
    <row r="35" spans="1:7" x14ac:dyDescent="0.25">
      <c r="A35" s="39" t="s">
        <v>404</v>
      </c>
      <c r="B35" s="139">
        <v>549</v>
      </c>
      <c r="C35" s="140" t="s">
        <v>83</v>
      </c>
      <c r="D35" s="985">
        <v>-680</v>
      </c>
      <c r="E35" s="195">
        <v>-171</v>
      </c>
      <c r="F35" s="138"/>
      <c r="G35" s="187"/>
    </row>
    <row r="36" spans="1:7" ht="12.75" customHeight="1" x14ac:dyDescent="0.25">
      <c r="A36" s="39" t="s">
        <v>1267</v>
      </c>
      <c r="B36" s="139" t="s">
        <v>405</v>
      </c>
      <c r="C36" s="140" t="s">
        <v>86</v>
      </c>
      <c r="D36" s="196">
        <f>SUM(D37:D42)</f>
        <v>4989</v>
      </c>
      <c r="E36" s="197">
        <f>SUM(E37:E42)</f>
        <v>0</v>
      </c>
      <c r="F36" s="138"/>
      <c r="G36" s="187"/>
    </row>
    <row r="37" spans="1:7" x14ac:dyDescent="0.25">
      <c r="A37" s="39" t="s">
        <v>672</v>
      </c>
      <c r="B37" s="139">
        <v>551</v>
      </c>
      <c r="C37" s="140" t="s">
        <v>89</v>
      </c>
      <c r="D37" s="194">
        <v>3989</v>
      </c>
      <c r="E37" s="195">
        <v>0</v>
      </c>
      <c r="F37" s="138"/>
      <c r="G37" s="187"/>
    </row>
    <row r="38" spans="1:7" ht="12.75" customHeight="1" x14ac:dyDescent="0.25">
      <c r="A38" s="39" t="s">
        <v>1277</v>
      </c>
      <c r="B38" s="139">
        <v>552</v>
      </c>
      <c r="C38" s="140" t="s">
        <v>92</v>
      </c>
      <c r="D38" s="194">
        <f t="shared" ref="D38:D42" si="4">F38-E38</f>
        <v>0</v>
      </c>
      <c r="E38" s="195">
        <v>0</v>
      </c>
      <c r="F38" s="138"/>
      <c r="G38" s="187"/>
    </row>
    <row r="39" spans="1:7" x14ac:dyDescent="0.25">
      <c r="A39" s="39" t="s">
        <v>406</v>
      </c>
      <c r="B39" s="139">
        <v>553</v>
      </c>
      <c r="C39" s="140" t="s">
        <v>94</v>
      </c>
      <c r="D39" s="194">
        <f t="shared" si="4"/>
        <v>0</v>
      </c>
      <c r="E39" s="195">
        <v>0</v>
      </c>
      <c r="F39" s="138"/>
      <c r="G39" s="187"/>
    </row>
    <row r="40" spans="1:7" x14ac:dyDescent="0.25">
      <c r="A40" s="39" t="s">
        <v>407</v>
      </c>
      <c r="B40" s="139">
        <v>554</v>
      </c>
      <c r="C40" s="140" t="s">
        <v>96</v>
      </c>
      <c r="D40" s="194">
        <f t="shared" si="4"/>
        <v>0</v>
      </c>
      <c r="E40" s="195">
        <v>0</v>
      </c>
      <c r="F40" s="138"/>
      <c r="G40" s="187"/>
    </row>
    <row r="41" spans="1:7" x14ac:dyDescent="0.25">
      <c r="A41" s="39" t="s">
        <v>408</v>
      </c>
      <c r="B41" s="139">
        <v>556</v>
      </c>
      <c r="C41" s="140" t="s">
        <v>99</v>
      </c>
      <c r="D41" s="194">
        <v>1000</v>
      </c>
      <c r="E41" s="195">
        <v>0</v>
      </c>
      <c r="F41" s="138"/>
      <c r="G41" s="187"/>
    </row>
    <row r="42" spans="1:7" x14ac:dyDescent="0.25">
      <c r="A42" s="39" t="s">
        <v>409</v>
      </c>
      <c r="B42" s="139">
        <v>559</v>
      </c>
      <c r="C42" s="140" t="s">
        <v>101</v>
      </c>
      <c r="D42" s="194">
        <f t="shared" si="4"/>
        <v>0</v>
      </c>
      <c r="E42" s="195">
        <v>0</v>
      </c>
      <c r="F42" s="138"/>
      <c r="G42" s="187"/>
    </row>
    <row r="43" spans="1:7" x14ac:dyDescent="0.25">
      <c r="A43" s="39" t="s">
        <v>1268</v>
      </c>
      <c r="B43" s="139" t="s">
        <v>410</v>
      </c>
      <c r="C43" s="140" t="s">
        <v>104</v>
      </c>
      <c r="D43" s="196">
        <f>SUM(D44:D45)</f>
        <v>0</v>
      </c>
      <c r="E43" s="197">
        <f>SUM(E44:E45)</f>
        <v>0</v>
      </c>
      <c r="F43" s="138"/>
      <c r="G43" s="187"/>
    </row>
    <row r="44" spans="1:7" x14ac:dyDescent="0.25">
      <c r="A44" s="39" t="s">
        <v>673</v>
      </c>
      <c r="B44" s="139">
        <v>581</v>
      </c>
      <c r="C44" s="140" t="s">
        <v>107</v>
      </c>
      <c r="D44" s="194">
        <v>0</v>
      </c>
      <c r="E44" s="195">
        <v>0</v>
      </c>
      <c r="F44" s="138"/>
      <c r="G44" s="187"/>
    </row>
    <row r="45" spans="1:7" x14ac:dyDescent="0.25">
      <c r="A45" s="39" t="s">
        <v>411</v>
      </c>
      <c r="B45" s="139">
        <v>582</v>
      </c>
      <c r="C45" s="140" t="s">
        <v>109</v>
      </c>
      <c r="D45" s="194">
        <v>0</v>
      </c>
      <c r="E45" s="195">
        <v>0</v>
      </c>
      <c r="F45" s="138"/>
      <c r="G45" s="187"/>
    </row>
    <row r="46" spans="1:7" x14ac:dyDescent="0.25">
      <c r="A46" s="39" t="s">
        <v>1269</v>
      </c>
      <c r="B46" s="139" t="s">
        <v>412</v>
      </c>
      <c r="C46" s="140" t="s">
        <v>111</v>
      </c>
      <c r="D46" s="196">
        <f>D47</f>
        <v>0</v>
      </c>
      <c r="E46" s="197">
        <f>E47</f>
        <v>0</v>
      </c>
      <c r="F46" s="138"/>
      <c r="G46" s="187"/>
    </row>
    <row r="47" spans="1:7" x14ac:dyDescent="0.25">
      <c r="A47" s="39" t="s">
        <v>413</v>
      </c>
      <c r="B47" s="139">
        <v>595</v>
      </c>
      <c r="C47" s="140" t="s">
        <v>114</v>
      </c>
      <c r="D47" s="194">
        <v>0</v>
      </c>
      <c r="E47" s="195">
        <v>0</v>
      </c>
      <c r="F47" s="138"/>
      <c r="G47" s="187"/>
    </row>
    <row r="48" spans="1:7" ht="23.25" customHeight="1" thickBot="1" x14ac:dyDescent="0.3">
      <c r="A48" s="43" t="s">
        <v>414</v>
      </c>
      <c r="B48" s="141" t="s">
        <v>415</v>
      </c>
      <c r="C48" s="142" t="s">
        <v>117</v>
      </c>
      <c r="D48" s="198">
        <f>D7+D12+D17+D23+D27+D36+D43+D46</f>
        <v>53431</v>
      </c>
      <c r="E48" s="199">
        <f>E7+E12+E17+E23+E27+E36+E43+E46</f>
        <v>3161</v>
      </c>
      <c r="F48" s="138"/>
      <c r="G48" s="187"/>
    </row>
    <row r="49" spans="1:7" ht="12.75" customHeight="1" thickBot="1" x14ac:dyDescent="0.3">
      <c r="A49" s="1235" t="s">
        <v>416</v>
      </c>
      <c r="B49" s="1236"/>
      <c r="C49" s="1236"/>
      <c r="D49" s="1236"/>
      <c r="E49" s="1237"/>
      <c r="F49" s="135"/>
      <c r="G49" s="187"/>
    </row>
    <row r="50" spans="1:7" x14ac:dyDescent="0.25">
      <c r="A50" s="50" t="s">
        <v>1270</v>
      </c>
      <c r="B50" s="143" t="s">
        <v>417</v>
      </c>
      <c r="C50" s="137" t="s">
        <v>120</v>
      </c>
      <c r="D50" s="192">
        <f>SUM(D51:D53)</f>
        <v>44678</v>
      </c>
      <c r="E50" s="193">
        <f>SUM(E51:E53)</f>
        <v>4718</v>
      </c>
      <c r="F50" s="138"/>
      <c r="G50" s="187"/>
    </row>
    <row r="51" spans="1:7" x14ac:dyDescent="0.25">
      <c r="A51" s="39" t="s">
        <v>418</v>
      </c>
      <c r="B51" s="144">
        <v>601</v>
      </c>
      <c r="C51" s="140" t="s">
        <v>123</v>
      </c>
      <c r="D51" s="194">
        <v>0</v>
      </c>
      <c r="E51" s="195">
        <v>0</v>
      </c>
      <c r="F51" s="138"/>
      <c r="G51" s="187"/>
    </row>
    <row r="52" spans="1:7" x14ac:dyDescent="0.25">
      <c r="A52" s="39" t="s">
        <v>419</v>
      </c>
      <c r="B52" s="144">
        <v>602</v>
      </c>
      <c r="C52" s="140" t="s">
        <v>126</v>
      </c>
      <c r="D52" s="194">
        <v>44678</v>
      </c>
      <c r="E52" s="195">
        <v>4718</v>
      </c>
      <c r="F52" s="138"/>
      <c r="G52" s="187"/>
    </row>
    <row r="53" spans="1:7" x14ac:dyDescent="0.25">
      <c r="A53" s="39" t="s">
        <v>420</v>
      </c>
      <c r="B53" s="144">
        <v>604</v>
      </c>
      <c r="C53" s="140" t="s">
        <v>129</v>
      </c>
      <c r="D53" s="194">
        <v>0</v>
      </c>
      <c r="E53" s="195">
        <v>0</v>
      </c>
      <c r="F53" s="138"/>
      <c r="G53" s="187"/>
    </row>
    <row r="54" spans="1:7" x14ac:dyDescent="0.25">
      <c r="A54" s="39" t="s">
        <v>1271</v>
      </c>
      <c r="B54" s="144" t="s">
        <v>421</v>
      </c>
      <c r="C54" s="140" t="s">
        <v>132</v>
      </c>
      <c r="D54" s="196">
        <f>SUM(D55:D58)</f>
        <v>0</v>
      </c>
      <c r="E54" s="197">
        <f>SUM(E55:E58)</f>
        <v>0</v>
      </c>
      <c r="F54" s="138"/>
      <c r="G54" s="187"/>
    </row>
    <row r="55" spans="1:7" x14ac:dyDescent="0.25">
      <c r="A55" s="39" t="s">
        <v>422</v>
      </c>
      <c r="B55" s="144">
        <v>611</v>
      </c>
      <c r="C55" s="140" t="s">
        <v>135</v>
      </c>
      <c r="D55" s="194">
        <v>0</v>
      </c>
      <c r="E55" s="195">
        <v>0</v>
      </c>
      <c r="F55" s="138"/>
      <c r="G55" s="187"/>
    </row>
    <row r="56" spans="1:7" x14ac:dyDescent="0.25">
      <c r="A56" s="39" t="s">
        <v>423</v>
      </c>
      <c r="B56" s="144">
        <v>612</v>
      </c>
      <c r="C56" s="140" t="s">
        <v>138</v>
      </c>
      <c r="D56" s="194">
        <v>0</v>
      </c>
      <c r="E56" s="195">
        <v>0</v>
      </c>
      <c r="F56" s="138"/>
      <c r="G56" s="187"/>
    </row>
    <row r="57" spans="1:7" x14ac:dyDescent="0.25">
      <c r="A57" s="39" t="s">
        <v>424</v>
      </c>
      <c r="B57" s="144">
        <v>613</v>
      </c>
      <c r="C57" s="140" t="s">
        <v>141</v>
      </c>
      <c r="D57" s="194">
        <v>0</v>
      </c>
      <c r="E57" s="195">
        <v>0</v>
      </c>
      <c r="F57" s="138"/>
      <c r="G57" s="187"/>
    </row>
    <row r="58" spans="1:7" x14ac:dyDescent="0.25">
      <c r="A58" s="39" t="s">
        <v>425</v>
      </c>
      <c r="B58" s="144">
        <v>614</v>
      </c>
      <c r="C58" s="140" t="s">
        <v>144</v>
      </c>
      <c r="D58" s="194">
        <v>0</v>
      </c>
      <c r="E58" s="195">
        <v>0</v>
      </c>
      <c r="F58" s="138"/>
      <c r="G58" s="187"/>
    </row>
    <row r="59" spans="1:7" x14ac:dyDescent="0.25">
      <c r="A59" s="39" t="s">
        <v>1272</v>
      </c>
      <c r="B59" s="144" t="s">
        <v>426</v>
      </c>
      <c r="C59" s="140" t="s">
        <v>147</v>
      </c>
      <c r="D59" s="196">
        <f>SUM(D60:D63)</f>
        <v>0</v>
      </c>
      <c r="E59" s="197">
        <f>SUM(E60:E63)</f>
        <v>0</v>
      </c>
      <c r="F59" s="138"/>
      <c r="G59" s="187"/>
    </row>
    <row r="60" spans="1:7" x14ac:dyDescent="0.25">
      <c r="A60" s="39" t="s">
        <v>427</v>
      </c>
      <c r="B60" s="144">
        <v>621</v>
      </c>
      <c r="C60" s="140" t="s">
        <v>150</v>
      </c>
      <c r="D60" s="194">
        <v>0</v>
      </c>
      <c r="E60" s="195">
        <v>0</v>
      </c>
      <c r="F60" s="138"/>
      <c r="G60" s="187"/>
    </row>
    <row r="61" spans="1:7" x14ac:dyDescent="0.25">
      <c r="A61" s="39" t="s">
        <v>428</v>
      </c>
      <c r="B61" s="144">
        <v>622</v>
      </c>
      <c r="C61" s="140" t="s">
        <v>153</v>
      </c>
      <c r="D61" s="194">
        <v>0</v>
      </c>
      <c r="E61" s="195">
        <v>0</v>
      </c>
      <c r="F61" s="138"/>
      <c r="G61" s="187"/>
    </row>
    <row r="62" spans="1:7" x14ac:dyDescent="0.25">
      <c r="A62" s="39" t="s">
        <v>429</v>
      </c>
      <c r="B62" s="144">
        <v>623</v>
      </c>
      <c r="C62" s="140" t="s">
        <v>156</v>
      </c>
      <c r="D62" s="194">
        <v>0</v>
      </c>
      <c r="E62" s="195">
        <v>0</v>
      </c>
      <c r="F62" s="138"/>
      <c r="G62" s="187"/>
    </row>
    <row r="63" spans="1:7" x14ac:dyDescent="0.25">
      <c r="A63" s="39" t="s">
        <v>430</v>
      </c>
      <c r="B63" s="144">
        <v>624</v>
      </c>
      <c r="C63" s="140" t="s">
        <v>158</v>
      </c>
      <c r="D63" s="194">
        <v>0</v>
      </c>
      <c r="E63" s="195">
        <v>0</v>
      </c>
      <c r="F63" s="138"/>
      <c r="G63" s="187"/>
    </row>
    <row r="64" spans="1:7" x14ac:dyDescent="0.25">
      <c r="A64" s="39" t="s">
        <v>1273</v>
      </c>
      <c r="B64" s="144" t="s">
        <v>431</v>
      </c>
      <c r="C64" s="140" t="s">
        <v>161</v>
      </c>
      <c r="D64" s="196">
        <f>SUM(D65:D71)</f>
        <v>3486</v>
      </c>
      <c r="E64" s="197">
        <f>SUM(E65:E71)</f>
        <v>699</v>
      </c>
      <c r="F64" s="138"/>
      <c r="G64" s="187"/>
    </row>
    <row r="65" spans="1:7" x14ac:dyDescent="0.25">
      <c r="A65" s="39" t="s">
        <v>432</v>
      </c>
      <c r="B65" s="144">
        <v>641</v>
      </c>
      <c r="C65" s="140" t="s">
        <v>164</v>
      </c>
      <c r="D65" s="194">
        <v>0</v>
      </c>
      <c r="E65" s="195">
        <v>0</v>
      </c>
      <c r="F65" s="138"/>
      <c r="G65" s="187"/>
    </row>
    <row r="66" spans="1:7" x14ac:dyDescent="0.25">
      <c r="A66" s="39" t="s">
        <v>433</v>
      </c>
      <c r="B66" s="144">
        <v>642</v>
      </c>
      <c r="C66" s="140" t="s">
        <v>166</v>
      </c>
      <c r="D66" s="194">
        <v>0</v>
      </c>
      <c r="E66" s="195">
        <v>0</v>
      </c>
      <c r="F66" s="138"/>
      <c r="G66" s="187"/>
    </row>
    <row r="67" spans="1:7" x14ac:dyDescent="0.25">
      <c r="A67" s="39" t="s">
        <v>434</v>
      </c>
      <c r="B67" s="144">
        <v>643</v>
      </c>
      <c r="C67" s="140" t="s">
        <v>169</v>
      </c>
      <c r="D67" s="194">
        <v>0</v>
      </c>
      <c r="E67" s="195">
        <v>0</v>
      </c>
      <c r="F67" s="138"/>
      <c r="G67" s="187"/>
    </row>
    <row r="68" spans="1:7" x14ac:dyDescent="0.25">
      <c r="A68" s="39" t="s">
        <v>435</v>
      </c>
      <c r="B68" s="144">
        <v>644</v>
      </c>
      <c r="C68" s="140" t="s">
        <v>172</v>
      </c>
      <c r="D68" s="194">
        <v>7</v>
      </c>
      <c r="E68" s="195">
        <v>0</v>
      </c>
      <c r="F68" s="138"/>
      <c r="G68" s="187"/>
    </row>
    <row r="69" spans="1:7" x14ac:dyDescent="0.25">
      <c r="A69" s="39" t="s">
        <v>436</v>
      </c>
      <c r="B69" s="144">
        <v>645</v>
      </c>
      <c r="C69" s="140" t="s">
        <v>175</v>
      </c>
      <c r="D69" s="194">
        <v>0</v>
      </c>
      <c r="E69" s="195">
        <v>0</v>
      </c>
      <c r="F69" s="138"/>
      <c r="G69" s="187"/>
    </row>
    <row r="70" spans="1:7" x14ac:dyDescent="0.25">
      <c r="A70" s="39" t="s">
        <v>437</v>
      </c>
      <c r="B70" s="144">
        <v>648</v>
      </c>
      <c r="C70" s="140" t="s">
        <v>178</v>
      </c>
      <c r="D70" s="194">
        <v>0</v>
      </c>
      <c r="E70" s="195">
        <v>0</v>
      </c>
      <c r="F70" s="138"/>
      <c r="G70" s="187"/>
    </row>
    <row r="71" spans="1:7" x14ac:dyDescent="0.25">
      <c r="A71" s="39" t="s">
        <v>438</v>
      </c>
      <c r="B71" s="144">
        <v>649</v>
      </c>
      <c r="C71" s="140" t="s">
        <v>180</v>
      </c>
      <c r="D71" s="194">
        <v>3479</v>
      </c>
      <c r="E71" s="195">
        <v>699</v>
      </c>
      <c r="F71" s="138"/>
      <c r="G71" s="187"/>
    </row>
    <row r="72" spans="1:7" ht="12.75" customHeight="1" x14ac:dyDescent="0.25">
      <c r="A72" s="39" t="s">
        <v>1274</v>
      </c>
      <c r="B72" s="144" t="s">
        <v>439</v>
      </c>
      <c r="C72" s="140" t="s">
        <v>182</v>
      </c>
      <c r="D72" s="196">
        <f>SUM(D73:D79)</f>
        <v>2029</v>
      </c>
      <c r="E72" s="197">
        <f>SUM(E73:E79)</f>
        <v>0</v>
      </c>
      <c r="F72" s="138"/>
      <c r="G72" s="187"/>
    </row>
    <row r="73" spans="1:7" ht="25.5" x14ac:dyDescent="0.25">
      <c r="A73" s="39" t="s">
        <v>1278</v>
      </c>
      <c r="B73" s="144">
        <v>652</v>
      </c>
      <c r="C73" s="140" t="s">
        <v>185</v>
      </c>
      <c r="D73" s="194">
        <v>29</v>
      </c>
      <c r="E73" s="195">
        <v>0</v>
      </c>
      <c r="F73" s="138"/>
      <c r="G73" s="187"/>
    </row>
    <row r="74" spans="1:7" x14ac:dyDescent="0.25">
      <c r="A74" s="39" t="s">
        <v>440</v>
      </c>
      <c r="B74" s="144">
        <v>653</v>
      </c>
      <c r="C74" s="140" t="s">
        <v>187</v>
      </c>
      <c r="D74" s="194">
        <v>0</v>
      </c>
      <c r="E74" s="195">
        <v>0</v>
      </c>
      <c r="F74" s="138"/>
      <c r="G74" s="187"/>
    </row>
    <row r="75" spans="1:7" x14ac:dyDescent="0.25">
      <c r="A75" s="39" t="s">
        <v>441</v>
      </c>
      <c r="B75" s="144">
        <v>654</v>
      </c>
      <c r="C75" s="140" t="s">
        <v>189</v>
      </c>
      <c r="D75" s="194">
        <v>0</v>
      </c>
      <c r="E75" s="195">
        <v>0</v>
      </c>
      <c r="F75" s="138"/>
      <c r="G75" s="187"/>
    </row>
    <row r="76" spans="1:7" x14ac:dyDescent="0.25">
      <c r="A76" s="39" t="s">
        <v>442</v>
      </c>
      <c r="B76" s="144">
        <v>655</v>
      </c>
      <c r="C76" s="140" t="s">
        <v>192</v>
      </c>
      <c r="D76" s="194">
        <v>0</v>
      </c>
      <c r="E76" s="195">
        <v>0</v>
      </c>
      <c r="F76" s="138"/>
      <c r="G76" s="187"/>
    </row>
    <row r="77" spans="1:7" x14ac:dyDescent="0.25">
      <c r="A77" s="39" t="s">
        <v>443</v>
      </c>
      <c r="B77" s="144">
        <v>656</v>
      </c>
      <c r="C77" s="140" t="s">
        <v>195</v>
      </c>
      <c r="D77" s="194">
        <v>2000</v>
      </c>
      <c r="E77" s="195">
        <v>0</v>
      </c>
      <c r="F77" s="138"/>
      <c r="G77" s="187"/>
    </row>
    <row r="78" spans="1:7" x14ac:dyDescent="0.25">
      <c r="A78" s="39" t="s">
        <v>444</v>
      </c>
      <c r="B78" s="144">
        <v>657</v>
      </c>
      <c r="C78" s="140" t="s">
        <v>198</v>
      </c>
      <c r="D78" s="194">
        <v>0</v>
      </c>
      <c r="E78" s="195">
        <v>0</v>
      </c>
      <c r="F78" s="138"/>
      <c r="G78" s="187"/>
    </row>
    <row r="79" spans="1:7" x14ac:dyDescent="0.25">
      <c r="A79" s="39" t="s">
        <v>445</v>
      </c>
      <c r="B79" s="144">
        <v>659</v>
      </c>
      <c r="C79" s="140" t="s">
        <v>201</v>
      </c>
      <c r="D79" s="194">
        <v>0</v>
      </c>
      <c r="E79" s="195">
        <v>0</v>
      </c>
      <c r="F79" s="138"/>
      <c r="G79" s="187"/>
    </row>
    <row r="80" spans="1:7" x14ac:dyDescent="0.25">
      <c r="A80" s="39" t="s">
        <v>1275</v>
      </c>
      <c r="B80" s="144" t="s">
        <v>446</v>
      </c>
      <c r="C80" s="140" t="s">
        <v>204</v>
      </c>
      <c r="D80" s="196">
        <f>SUM(D81:D83)</f>
        <v>0</v>
      </c>
      <c r="E80" s="197">
        <f>SUM(E81:E83)</f>
        <v>0</v>
      </c>
      <c r="F80" s="138"/>
      <c r="G80" s="187"/>
    </row>
    <row r="81" spans="1:7" x14ac:dyDescent="0.25">
      <c r="A81" s="39" t="s">
        <v>447</v>
      </c>
      <c r="B81" s="144">
        <v>681</v>
      </c>
      <c r="C81" s="140" t="s">
        <v>207</v>
      </c>
      <c r="D81" s="194">
        <v>0</v>
      </c>
      <c r="E81" s="195">
        <v>0</v>
      </c>
      <c r="F81" s="138"/>
      <c r="G81" s="187"/>
    </row>
    <row r="82" spans="1:7" x14ac:dyDescent="0.25">
      <c r="A82" s="39" t="s">
        <v>448</v>
      </c>
      <c r="B82" s="144">
        <v>682</v>
      </c>
      <c r="C82" s="140" t="s">
        <v>210</v>
      </c>
      <c r="D82" s="194">
        <v>0</v>
      </c>
      <c r="E82" s="195">
        <v>0</v>
      </c>
      <c r="F82" s="138"/>
      <c r="G82" s="187"/>
    </row>
    <row r="83" spans="1:7" x14ac:dyDescent="0.25">
      <c r="A83" s="39" t="s">
        <v>449</v>
      </c>
      <c r="B83" s="144">
        <v>684</v>
      </c>
      <c r="C83" s="140" t="s">
        <v>213</v>
      </c>
      <c r="D83" s="194">
        <v>0</v>
      </c>
      <c r="E83" s="195">
        <v>0</v>
      </c>
      <c r="F83" s="138"/>
      <c r="G83" s="187"/>
    </row>
    <row r="84" spans="1:7" x14ac:dyDescent="0.25">
      <c r="A84" s="39" t="s">
        <v>1276</v>
      </c>
      <c r="B84" s="144" t="s">
        <v>450</v>
      </c>
      <c r="C84" s="140" t="s">
        <v>216</v>
      </c>
      <c r="D84" s="196">
        <f>D85</f>
        <v>4746</v>
      </c>
      <c r="E84" s="197">
        <f>E85</f>
        <v>0</v>
      </c>
      <c r="F84" s="138"/>
      <c r="G84" s="187"/>
    </row>
    <row r="85" spans="1:7" x14ac:dyDescent="0.25">
      <c r="A85" s="39" t="s">
        <v>451</v>
      </c>
      <c r="B85" s="144">
        <v>691</v>
      </c>
      <c r="C85" s="140" t="s">
        <v>219</v>
      </c>
      <c r="D85" s="194">
        <v>4746</v>
      </c>
      <c r="E85" s="195">
        <v>0</v>
      </c>
      <c r="F85" s="138"/>
      <c r="G85" s="187"/>
    </row>
    <row r="86" spans="1:7" ht="25.5" x14ac:dyDescent="0.25">
      <c r="A86" s="39" t="s">
        <v>452</v>
      </c>
      <c r="B86" s="145" t="s">
        <v>638</v>
      </c>
      <c r="C86" s="140" t="s">
        <v>222</v>
      </c>
      <c r="D86" s="196">
        <f>D50+D54+D59+D64+D72+D80+D84</f>
        <v>54939</v>
      </c>
      <c r="E86" s="197">
        <f>E50+E54+E59+E64+E72+E80+E84</f>
        <v>5417</v>
      </c>
      <c r="F86" s="138"/>
      <c r="G86" s="187"/>
    </row>
    <row r="87" spans="1:7" x14ac:dyDescent="0.25">
      <c r="A87" s="146" t="s">
        <v>453</v>
      </c>
      <c r="B87" s="144" t="s">
        <v>454</v>
      </c>
      <c r="C87" s="140" t="s">
        <v>225</v>
      </c>
      <c r="D87" s="196">
        <f>D86-D48</f>
        <v>1508</v>
      </c>
      <c r="E87" s="197">
        <f>E86-E48</f>
        <v>2256</v>
      </c>
      <c r="F87" s="138"/>
      <c r="G87" s="187"/>
    </row>
    <row r="88" spans="1:7" x14ac:dyDescent="0.25">
      <c r="A88" s="39" t="s">
        <v>455</v>
      </c>
      <c r="B88" s="144">
        <v>591</v>
      </c>
      <c r="C88" s="140" t="s">
        <v>228</v>
      </c>
      <c r="D88" s="194"/>
      <c r="E88" s="195">
        <v>161</v>
      </c>
      <c r="F88" s="138"/>
      <c r="G88" s="187"/>
    </row>
    <row r="89" spans="1:7" x14ac:dyDescent="0.25">
      <c r="A89" s="146" t="s">
        <v>456</v>
      </c>
      <c r="B89" s="144" t="s">
        <v>457</v>
      </c>
      <c r="C89" s="140" t="s">
        <v>231</v>
      </c>
      <c r="D89" s="194">
        <f>D87-D88</f>
        <v>1508</v>
      </c>
      <c r="E89" s="195">
        <f>E87-E88</f>
        <v>2095</v>
      </c>
      <c r="F89" s="138"/>
      <c r="G89" s="187"/>
    </row>
    <row r="90" spans="1:7" ht="24" customHeight="1" x14ac:dyDescent="0.25">
      <c r="A90" s="1240"/>
      <c r="B90" s="1241"/>
      <c r="C90" s="1242"/>
      <c r="D90" s="1238" t="s">
        <v>684</v>
      </c>
      <c r="E90" s="1239"/>
      <c r="F90" s="130"/>
    </row>
    <row r="91" spans="1:7" ht="12.75" customHeight="1" x14ac:dyDescent="0.25">
      <c r="A91" s="316" t="s">
        <v>458</v>
      </c>
      <c r="B91" s="317" t="s">
        <v>566</v>
      </c>
      <c r="C91" s="38" t="s">
        <v>234</v>
      </c>
      <c r="D91" s="1228">
        <f>+D87+E87</f>
        <v>3764</v>
      </c>
      <c r="E91" s="1229"/>
    </row>
    <row r="92" spans="1:7" ht="12.75" customHeight="1" thickBot="1" x14ac:dyDescent="0.3">
      <c r="A92" s="315" t="s">
        <v>459</v>
      </c>
      <c r="B92" s="52" t="s">
        <v>567</v>
      </c>
      <c r="C92" s="45" t="s">
        <v>237</v>
      </c>
      <c r="D92" s="1230">
        <f>+D89+E89</f>
        <v>3603</v>
      </c>
      <c r="E92" s="1231"/>
    </row>
    <row r="93" spans="1:7" ht="12.75" customHeight="1" x14ac:dyDescent="0.25">
      <c r="A93" s="147"/>
      <c r="B93" s="56"/>
      <c r="C93" s="56"/>
    </row>
    <row r="94" spans="1:7" ht="12.75" customHeight="1" x14ac:dyDescent="0.25">
      <c r="A94" s="53" t="s">
        <v>616</v>
      </c>
      <c r="B94" s="56"/>
      <c r="C94" s="56"/>
    </row>
    <row r="95" spans="1:7" ht="12.75" customHeight="1" x14ac:dyDescent="0.25">
      <c r="A95" s="163" t="s">
        <v>1108</v>
      </c>
      <c r="B95" s="56"/>
      <c r="C95" s="56"/>
    </row>
    <row r="96" spans="1:7" x14ac:dyDescent="0.25">
      <c r="A96" s="31" t="s">
        <v>641</v>
      </c>
      <c r="B96" s="32"/>
      <c r="C96" s="32"/>
    </row>
    <row r="97" spans="1:3" x14ac:dyDescent="0.25">
      <c r="A97" s="163" t="s">
        <v>636</v>
      </c>
      <c r="B97" s="32"/>
      <c r="C97" s="32"/>
    </row>
    <row r="98" spans="1:3" x14ac:dyDescent="0.25">
      <c r="A98" s="163" t="s">
        <v>1060</v>
      </c>
    </row>
  </sheetData>
  <mergeCells count="10">
    <mergeCell ref="A90:C90"/>
    <mergeCell ref="D90:E90"/>
    <mergeCell ref="D91:E91"/>
    <mergeCell ref="D92:E92"/>
    <mergeCell ref="A1:E1"/>
    <mergeCell ref="A2:E2"/>
    <mergeCell ref="A3:E3"/>
    <mergeCell ref="A4:E4"/>
    <mergeCell ref="B6:C6"/>
    <mergeCell ref="A49:E49"/>
  </mergeCells>
  <pageMargins left="0.70866141732283472" right="0" top="0.39370078740157483" bottom="0.39370078740157483" header="0.51181102362204722" footer="0.51181102362204722"/>
  <pageSetup paperSize="9" scale="80" orientation="portrait" r:id="rId1"/>
  <headerFooter alignWithMargins="0"/>
  <rowBreaks count="1" manualBreakCount="1">
    <brk id="48" max="16383"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
  <sheetViews>
    <sheetView workbookViewId="0">
      <selection activeCell="F27" sqref="F27"/>
    </sheetView>
  </sheetViews>
  <sheetFormatPr defaultRowHeight="15" x14ac:dyDescent="0.25"/>
  <cols>
    <col min="1" max="16384" width="9.140625" style="129"/>
  </cols>
  <sheetData>
    <row r="1" spans="1:1" x14ac:dyDescent="0.25">
      <c r="A1" s="778" t="s">
        <v>1251</v>
      </c>
    </row>
  </sheetData>
  <pageMargins left="0.7" right="0.7" top="0.78740157499999996" bottom="0.78740157499999996" header="0.3" footer="0.3"/>
  <drawing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
  <sheetViews>
    <sheetView workbookViewId="0">
      <selection activeCell="R32" sqref="R32"/>
    </sheetView>
  </sheetViews>
  <sheetFormatPr defaultRowHeight="15" x14ac:dyDescent="0.25"/>
  <cols>
    <col min="1" max="16384" width="9.140625" style="129"/>
  </cols>
  <sheetData>
    <row r="1" spans="1:1" x14ac:dyDescent="0.25">
      <c r="A1" s="778" t="s">
        <v>1252</v>
      </c>
    </row>
  </sheetData>
  <pageMargins left="0.7" right="0.7" top="0.78740157499999996" bottom="0.78740157499999996" header="0.3" footer="0.3"/>
  <drawing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
  <sheetViews>
    <sheetView workbookViewId="0">
      <selection activeCell="L29" sqref="L29"/>
    </sheetView>
  </sheetViews>
  <sheetFormatPr defaultRowHeight="15" x14ac:dyDescent="0.25"/>
  <cols>
    <col min="1" max="16384" width="9.140625" style="129"/>
  </cols>
  <sheetData>
    <row r="1" spans="1:1" x14ac:dyDescent="0.25">
      <c r="A1" s="778" t="s">
        <v>1253</v>
      </c>
    </row>
  </sheetData>
  <pageMargins left="0.7" right="0.7" top="0.78740157499999996" bottom="0.78740157499999996" header="0.3" footer="0.3"/>
  <drawing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
  <sheetViews>
    <sheetView workbookViewId="0">
      <selection activeCell="L10" sqref="L10"/>
    </sheetView>
  </sheetViews>
  <sheetFormatPr defaultRowHeight="15" x14ac:dyDescent="0.25"/>
  <cols>
    <col min="1" max="16384" width="9.140625" style="129"/>
  </cols>
  <sheetData>
    <row r="1" spans="1:1" x14ac:dyDescent="0.25">
      <c r="A1" s="778" t="s">
        <v>1254</v>
      </c>
    </row>
  </sheetData>
  <pageMargins left="0.7" right="0.7" top="0.78740157499999996" bottom="0.78740157499999996" header="0.3" footer="0.3"/>
  <drawing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A25"/>
  <sheetViews>
    <sheetView workbookViewId="0">
      <selection activeCell="L35" sqref="L35"/>
    </sheetView>
  </sheetViews>
  <sheetFormatPr defaultRowHeight="15" x14ac:dyDescent="0.25"/>
  <cols>
    <col min="1" max="16384" width="9.140625" style="129"/>
  </cols>
  <sheetData>
    <row r="1" spans="1:1" x14ac:dyDescent="0.25">
      <c r="A1" s="778" t="s">
        <v>1255</v>
      </c>
    </row>
    <row r="25" spans="1:1" x14ac:dyDescent="0.25">
      <c r="A25" s="933" t="s">
        <v>1256</v>
      </c>
    </row>
  </sheetData>
  <pageMargins left="0.7" right="0.7" top="0.78740157499999996" bottom="0.78740157499999996"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dimension ref="A1:G28"/>
  <sheetViews>
    <sheetView workbookViewId="0">
      <selection activeCell="C23" sqref="C23"/>
    </sheetView>
  </sheetViews>
  <sheetFormatPr defaultRowHeight="12.75" x14ac:dyDescent="0.25"/>
  <cols>
    <col min="1" max="1" width="46.85546875" style="16" customWidth="1"/>
    <col min="2" max="2" width="14.5703125" style="16" customWidth="1"/>
    <col min="3" max="3" width="15" style="16" customWidth="1"/>
    <col min="4" max="4" width="17.42578125" style="16" customWidth="1"/>
    <col min="5" max="16384" width="9.140625" style="16"/>
  </cols>
  <sheetData>
    <row r="1" spans="1:7" ht="15.75" x14ac:dyDescent="0.25">
      <c r="A1" s="11" t="s">
        <v>1081</v>
      </c>
      <c r="B1" s="12"/>
      <c r="C1" s="12"/>
      <c r="E1" s="131"/>
      <c r="F1" s="12"/>
      <c r="G1" s="12"/>
    </row>
    <row r="2" spans="1:7" ht="13.5" thickBot="1" x14ac:dyDescent="0.25">
      <c r="A2" s="62"/>
      <c r="B2" s="62"/>
      <c r="C2" s="62"/>
      <c r="D2" s="13" t="s">
        <v>480</v>
      </c>
      <c r="E2" s="62"/>
      <c r="F2" s="12"/>
      <c r="G2" s="12"/>
    </row>
    <row r="3" spans="1:7" s="28" customFormat="1" ht="26.25" thickBot="1" x14ac:dyDescent="0.3">
      <c r="A3" s="63" t="s">
        <v>681</v>
      </c>
      <c r="B3" s="64" t="s">
        <v>481</v>
      </c>
      <c r="C3" s="65" t="s">
        <v>482</v>
      </c>
      <c r="D3" s="66" t="s">
        <v>483</v>
      </c>
      <c r="E3" s="27"/>
      <c r="F3" s="27"/>
      <c r="G3" s="27"/>
    </row>
    <row r="4" spans="1:7" x14ac:dyDescent="0.25">
      <c r="A4" s="67" t="s">
        <v>1388</v>
      </c>
      <c r="B4" s="344">
        <v>260</v>
      </c>
      <c r="C4" s="345">
        <v>0</v>
      </c>
      <c r="D4" s="346">
        <f>SUM(B4:C4)</f>
        <v>260</v>
      </c>
      <c r="E4" s="12"/>
      <c r="F4" s="12"/>
      <c r="G4" s="12"/>
    </row>
    <row r="5" spans="1:7" x14ac:dyDescent="0.25">
      <c r="A5" s="68" t="s">
        <v>1389</v>
      </c>
      <c r="B5" s="347">
        <v>0</v>
      </c>
      <c r="C5" s="226">
        <v>0</v>
      </c>
      <c r="D5" s="346">
        <f t="shared" ref="D5:D10" si="0">SUM(B5:C5)</f>
        <v>0</v>
      </c>
      <c r="E5" s="12"/>
      <c r="F5" s="69"/>
      <c r="G5" s="12"/>
    </row>
    <row r="6" spans="1:7" x14ac:dyDescent="0.25">
      <c r="A6" s="68" t="s">
        <v>1390</v>
      </c>
      <c r="B6" s="347">
        <v>1275</v>
      </c>
      <c r="C6" s="226">
        <v>0</v>
      </c>
      <c r="D6" s="346">
        <f t="shared" si="0"/>
        <v>1275</v>
      </c>
      <c r="E6" s="12"/>
      <c r="F6" s="70"/>
      <c r="G6" s="12"/>
    </row>
    <row r="7" spans="1:7" x14ac:dyDescent="0.25">
      <c r="A7" s="68" t="s">
        <v>1391</v>
      </c>
      <c r="B7" s="347">
        <v>0</v>
      </c>
      <c r="C7" s="226">
        <v>0</v>
      </c>
      <c r="D7" s="346">
        <f t="shared" si="0"/>
        <v>0</v>
      </c>
      <c r="E7" s="12"/>
      <c r="F7" s="70"/>
      <c r="G7" s="12"/>
    </row>
    <row r="8" spans="1:7" x14ac:dyDescent="0.25">
      <c r="A8" s="68" t="s">
        <v>1392</v>
      </c>
      <c r="B8" s="347">
        <v>1622</v>
      </c>
      <c r="C8" s="226">
        <v>0</v>
      </c>
      <c r="D8" s="346">
        <f t="shared" si="0"/>
        <v>1622</v>
      </c>
      <c r="E8" s="12"/>
      <c r="F8" s="70"/>
      <c r="G8" s="12"/>
    </row>
    <row r="9" spans="1:7" x14ac:dyDescent="0.25">
      <c r="A9" s="68" t="s">
        <v>1393</v>
      </c>
      <c r="B9" s="347">
        <v>171</v>
      </c>
      <c r="C9" s="226">
        <v>0</v>
      </c>
      <c r="D9" s="346">
        <f t="shared" si="0"/>
        <v>171</v>
      </c>
      <c r="E9" s="12"/>
      <c r="F9" s="70"/>
      <c r="G9" s="12"/>
    </row>
    <row r="10" spans="1:7" x14ac:dyDescent="0.25">
      <c r="A10" s="1097" t="s">
        <v>1394</v>
      </c>
      <c r="B10" s="347">
        <v>339</v>
      </c>
      <c r="C10" s="226">
        <v>0</v>
      </c>
      <c r="D10" s="346">
        <f t="shared" si="0"/>
        <v>339</v>
      </c>
      <c r="E10" s="12"/>
      <c r="F10" s="70"/>
      <c r="G10" s="12"/>
    </row>
    <row r="11" spans="1:7" x14ac:dyDescent="0.25">
      <c r="A11" s="1097" t="s">
        <v>683</v>
      </c>
      <c r="B11" s="347">
        <v>1508</v>
      </c>
      <c r="C11" s="226">
        <v>2095</v>
      </c>
      <c r="D11" s="346">
        <f t="shared" ref="D11:D12" si="1">SUM(B11:C11)</f>
        <v>3603</v>
      </c>
      <c r="E11" s="12"/>
      <c r="F11" s="12"/>
      <c r="G11" s="12"/>
    </row>
    <row r="12" spans="1:7" ht="12.75" customHeight="1" thickBot="1" x14ac:dyDescent="0.3">
      <c r="A12" s="1098" t="s">
        <v>685</v>
      </c>
      <c r="B12" s="348">
        <v>1603</v>
      </c>
      <c r="C12" s="231">
        <v>0</v>
      </c>
      <c r="D12" s="346">
        <f t="shared" si="1"/>
        <v>1603</v>
      </c>
      <c r="E12" s="12"/>
      <c r="F12" s="12"/>
      <c r="G12" s="12"/>
    </row>
    <row r="13" spans="1:7" ht="18.75" customHeight="1" thickBot="1" x14ac:dyDescent="0.3">
      <c r="A13" s="724" t="s">
        <v>484</v>
      </c>
      <c r="B13" s="349">
        <f>SUM(B4:B12)</f>
        <v>6778</v>
      </c>
      <c r="C13" s="349">
        <f>SUM(C4:C12)</f>
        <v>2095</v>
      </c>
      <c r="D13" s="350">
        <f>SUM(D4:D12)</f>
        <v>8873</v>
      </c>
      <c r="E13" s="69"/>
      <c r="F13" s="12"/>
      <c r="G13" s="12"/>
    </row>
    <row r="14" spans="1:7" x14ac:dyDescent="0.25">
      <c r="A14" s="71"/>
      <c r="B14" s="12"/>
      <c r="C14" s="12"/>
      <c r="D14" s="12"/>
      <c r="E14" s="12"/>
      <c r="F14" s="12"/>
      <c r="G14" s="12"/>
    </row>
    <row r="15" spans="1:7" x14ac:dyDescent="0.25">
      <c r="A15" s="12" t="s">
        <v>616</v>
      </c>
      <c r="B15" s="25"/>
      <c r="C15" s="25"/>
      <c r="D15" s="25"/>
      <c r="E15" s="12"/>
      <c r="F15" s="12"/>
      <c r="G15" s="12"/>
    </row>
    <row r="16" spans="1:7" x14ac:dyDescent="0.25">
      <c r="A16" s="1244" t="s">
        <v>682</v>
      </c>
      <c r="B16" s="1244"/>
      <c r="C16" s="1244"/>
      <c r="D16" s="1244"/>
      <c r="E16" s="12"/>
      <c r="F16" s="12"/>
      <c r="G16" s="12"/>
    </row>
    <row r="17" spans="1:7" x14ac:dyDescent="0.25">
      <c r="A17" s="12"/>
      <c r="B17" s="12"/>
      <c r="C17" s="12"/>
      <c r="D17" s="12"/>
      <c r="E17" s="12"/>
      <c r="F17" s="12"/>
      <c r="G17" s="12"/>
    </row>
    <row r="18" spans="1:7" x14ac:dyDescent="0.25">
      <c r="A18" s="12"/>
      <c r="B18" s="12"/>
      <c r="C18" s="12"/>
      <c r="D18" s="12"/>
      <c r="E18" s="69"/>
      <c r="F18" s="12"/>
      <c r="G18" s="12"/>
    </row>
    <row r="19" spans="1:7" x14ac:dyDescent="0.25">
      <c r="A19" s="12"/>
      <c r="B19" s="12"/>
      <c r="C19" s="12"/>
      <c r="D19" s="12"/>
      <c r="E19" s="12"/>
      <c r="F19" s="12"/>
      <c r="G19" s="12"/>
    </row>
    <row r="20" spans="1:7" x14ac:dyDescent="0.25">
      <c r="A20" s="12"/>
      <c r="B20" s="12"/>
      <c r="C20" s="12"/>
      <c r="D20" s="12"/>
      <c r="E20" s="12"/>
      <c r="F20" s="12"/>
      <c r="G20" s="12"/>
    </row>
    <row r="21" spans="1:7" x14ac:dyDescent="0.25">
      <c r="A21" s="12"/>
      <c r="B21" s="12"/>
      <c r="C21" s="12"/>
      <c r="D21" s="12"/>
      <c r="E21" s="12"/>
      <c r="F21" s="12"/>
      <c r="G21" s="12"/>
    </row>
    <row r="22" spans="1:7" x14ac:dyDescent="0.25">
      <c r="A22" s="12"/>
      <c r="B22" s="12"/>
      <c r="C22" s="12"/>
      <c r="D22" s="12"/>
      <c r="E22" s="12"/>
      <c r="F22" s="12"/>
      <c r="G22" s="12"/>
    </row>
    <row r="23" spans="1:7" x14ac:dyDescent="0.25">
      <c r="A23" s="12"/>
      <c r="B23" s="12"/>
      <c r="C23" s="12"/>
      <c r="D23" s="12"/>
      <c r="E23" s="12"/>
      <c r="F23" s="12"/>
      <c r="G23" s="12"/>
    </row>
    <row r="24" spans="1:7" x14ac:dyDescent="0.25">
      <c r="A24" s="12"/>
      <c r="B24" s="12"/>
      <c r="C24" s="12"/>
      <c r="D24" s="12"/>
      <c r="E24" s="12"/>
      <c r="F24" s="12"/>
      <c r="G24" s="12"/>
    </row>
    <row r="25" spans="1:7" x14ac:dyDescent="0.25">
      <c r="A25" s="12"/>
      <c r="B25" s="12"/>
      <c r="C25" s="12"/>
      <c r="D25" s="12"/>
      <c r="E25" s="12"/>
      <c r="F25" s="12"/>
      <c r="G25" s="12"/>
    </row>
    <row r="26" spans="1:7" x14ac:dyDescent="0.25">
      <c r="A26" s="12"/>
      <c r="B26" s="12"/>
      <c r="C26" s="12"/>
      <c r="D26" s="12"/>
      <c r="E26" s="12"/>
      <c r="F26" s="12"/>
      <c r="G26" s="12"/>
    </row>
    <row r="27" spans="1:7" x14ac:dyDescent="0.25">
      <c r="A27" s="12"/>
      <c r="B27" s="12"/>
      <c r="C27" s="12"/>
      <c r="D27" s="12"/>
      <c r="E27" s="12"/>
      <c r="F27" s="12"/>
      <c r="G27" s="12"/>
    </row>
    <row r="28" spans="1:7" x14ac:dyDescent="0.25">
      <c r="A28" s="12"/>
      <c r="B28" s="12"/>
      <c r="C28" s="12"/>
      <c r="D28" s="12"/>
      <c r="E28" s="12"/>
      <c r="F28" s="12"/>
      <c r="G28" s="12"/>
    </row>
  </sheetData>
  <sheetProtection formatRows="0" insertRows="0" deleteRows="0"/>
  <customSheetViews>
    <customSheetView guid="{2AF6EA2A-E5C5-45EB-B6C4-875AD1E4E056}">
      <pageMargins left="0.78740157480314965" right="0.78740157480314965" top="0.98425196850393704" bottom="0.98425196850393704" header="0.51181102362204722" footer="0.51181102362204722"/>
      <printOptions horizontalCentered="1"/>
      <pageSetup paperSize="9" orientation="landscape" cellComments="asDisplayed" horizontalDpi="300" verticalDpi="300" r:id="rId1"/>
      <headerFooter alignWithMargins="0"/>
    </customSheetView>
  </customSheetViews>
  <mergeCells count="1">
    <mergeCell ref="A16:D16"/>
  </mergeCells>
  <printOptions horizontalCentered="1"/>
  <pageMargins left="0.78740157480314965" right="0.78740157480314965" top="0.98425196850393704" bottom="0.98425196850393704" header="0.51181102362204722" footer="0.51181102362204722"/>
  <pageSetup paperSize="9" orientation="landscape" cellComments="asDisplayed" horizontalDpi="300" verticalDpi="300" r:id="rId2"/>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F118"/>
  <sheetViews>
    <sheetView workbookViewId="0">
      <selection activeCell="A33" sqref="A33"/>
    </sheetView>
  </sheetViews>
  <sheetFormatPr defaultRowHeight="15" x14ac:dyDescent="0.25"/>
  <cols>
    <col min="1" max="1" width="46.5703125" style="149" customWidth="1"/>
    <col min="2" max="2" width="4.42578125" style="149" customWidth="1"/>
    <col min="3" max="3" width="14.140625" style="149" customWidth="1"/>
    <col min="4" max="4" width="13.42578125" style="149" customWidth="1"/>
    <col min="5" max="5" width="12.85546875" style="149" customWidth="1"/>
    <col min="6" max="6" width="13.5703125" style="149" customWidth="1"/>
    <col min="7" max="16384" width="9.140625" style="149"/>
  </cols>
  <sheetData>
    <row r="1" spans="1:6" ht="15.75" x14ac:dyDescent="0.25">
      <c r="A1" s="74" t="s">
        <v>777</v>
      </c>
    </row>
    <row r="2" spans="1:6" ht="15.75" thickBot="1" x14ac:dyDescent="0.3">
      <c r="F2" s="459" t="s">
        <v>480</v>
      </c>
    </row>
    <row r="3" spans="1:6" s="460" customFormat="1" ht="24" customHeight="1" thickBot="1" x14ac:dyDescent="0.3">
      <c r="A3" s="989" t="s">
        <v>878</v>
      </c>
      <c r="B3" s="991" t="s">
        <v>460</v>
      </c>
      <c r="C3" s="992" t="s">
        <v>879</v>
      </c>
      <c r="D3" s="992" t="s">
        <v>880</v>
      </c>
      <c r="E3" s="992" t="s">
        <v>881</v>
      </c>
      <c r="F3" s="992" t="s">
        <v>882</v>
      </c>
    </row>
    <row r="4" spans="1:6" ht="12.75" customHeight="1" thickBot="1" x14ac:dyDescent="0.3">
      <c r="A4" s="660" t="s">
        <v>1558</v>
      </c>
      <c r="B4" s="661" t="s">
        <v>883</v>
      </c>
      <c r="C4" s="986">
        <v>0</v>
      </c>
      <c r="D4" s="986">
        <v>8872.73</v>
      </c>
      <c r="E4" s="986">
        <v>8872.73</v>
      </c>
      <c r="F4" s="986">
        <v>8872.73</v>
      </c>
    </row>
    <row r="5" spans="1:6" ht="12.75" customHeight="1" thickBot="1" x14ac:dyDescent="0.3">
      <c r="A5" s="993" t="s">
        <v>1559</v>
      </c>
      <c r="B5" s="994" t="s">
        <v>884</v>
      </c>
      <c r="C5" s="995">
        <v>0</v>
      </c>
      <c r="D5" s="995">
        <v>0</v>
      </c>
      <c r="E5" s="995">
        <f t="shared" ref="E5:E68" si="0">SUM(D5-C5)</f>
        <v>0</v>
      </c>
      <c r="F5" s="995">
        <v>177189.64</v>
      </c>
    </row>
    <row r="6" spans="1:6" ht="12.75" customHeight="1" thickBot="1" x14ac:dyDescent="0.3">
      <c r="A6" s="989" t="s">
        <v>885</v>
      </c>
      <c r="B6" s="990" t="s">
        <v>886</v>
      </c>
      <c r="C6" s="987">
        <v>3000</v>
      </c>
      <c r="D6" s="987">
        <v>2000</v>
      </c>
      <c r="E6" s="987">
        <f t="shared" si="0"/>
        <v>-1000</v>
      </c>
      <c r="F6" s="987">
        <v>-1000</v>
      </c>
    </row>
    <row r="7" spans="1:6" ht="12.75" customHeight="1" thickBot="1" x14ac:dyDescent="0.3">
      <c r="A7" s="989" t="s">
        <v>887</v>
      </c>
      <c r="B7" s="990" t="s">
        <v>888</v>
      </c>
      <c r="C7" s="987">
        <f>C8+C9+C10+C11</f>
        <v>58784.3</v>
      </c>
      <c r="D7" s="987">
        <f t="shared" ref="D7:E7" si="1">D8+D9+D10+D11</f>
        <v>16851.84</v>
      </c>
      <c r="E7" s="987">
        <f t="shared" si="1"/>
        <v>-41932.459999999992</v>
      </c>
      <c r="F7" s="987">
        <v>-41932</v>
      </c>
    </row>
    <row r="8" spans="1:6" ht="12.75" customHeight="1" x14ac:dyDescent="0.25">
      <c r="A8" s="996" t="s">
        <v>889</v>
      </c>
      <c r="B8" s="997" t="s">
        <v>890</v>
      </c>
      <c r="C8" s="998">
        <v>1466.03</v>
      </c>
      <c r="D8" s="998">
        <v>917.83</v>
      </c>
      <c r="E8" s="998">
        <f t="shared" si="0"/>
        <v>-548.19999999999993</v>
      </c>
      <c r="F8" s="998">
        <v>-548.20000000000005</v>
      </c>
    </row>
    <row r="9" spans="1:6" ht="12.75" customHeight="1" x14ac:dyDescent="0.25">
      <c r="A9" s="996" t="s">
        <v>891</v>
      </c>
      <c r="B9" s="997" t="s">
        <v>892</v>
      </c>
      <c r="C9" s="998">
        <v>54784.99</v>
      </c>
      <c r="D9" s="998">
        <v>14158.51</v>
      </c>
      <c r="E9" s="998">
        <f t="shared" si="0"/>
        <v>-40626.479999999996</v>
      </c>
      <c r="F9" s="998">
        <v>-40626.480000000003</v>
      </c>
    </row>
    <row r="10" spans="1:6" ht="12.75" customHeight="1" x14ac:dyDescent="0.25">
      <c r="A10" s="996" t="s">
        <v>893</v>
      </c>
      <c r="B10" s="997" t="s">
        <v>894</v>
      </c>
      <c r="C10" s="998">
        <v>4.8</v>
      </c>
      <c r="D10" s="998">
        <v>2.74</v>
      </c>
      <c r="E10" s="998">
        <f t="shared" si="0"/>
        <v>-2.0599999999999996</v>
      </c>
      <c r="F10" s="998">
        <v>-2.06</v>
      </c>
    </row>
    <row r="11" spans="1:6" ht="12.75" customHeight="1" thickBot="1" x14ac:dyDescent="0.3">
      <c r="A11" s="996" t="s">
        <v>895</v>
      </c>
      <c r="B11" s="997" t="s">
        <v>896</v>
      </c>
      <c r="C11" s="998">
        <v>2528.48</v>
      </c>
      <c r="D11" s="998">
        <v>1772.76</v>
      </c>
      <c r="E11" s="998">
        <f t="shared" si="0"/>
        <v>-755.72</v>
      </c>
      <c r="F11" s="998">
        <v>-755.72</v>
      </c>
    </row>
    <row r="12" spans="1:6" ht="12.75" customHeight="1" thickBot="1" x14ac:dyDescent="0.3">
      <c r="A12" s="989" t="s">
        <v>897</v>
      </c>
      <c r="B12" s="990" t="s">
        <v>898</v>
      </c>
      <c r="C12" s="987">
        <f>C13+C14+C15+C16</f>
        <v>12363.14</v>
      </c>
      <c r="D12" s="987">
        <f t="shared" ref="D12:E12" si="2">D13+D14+D15+D16</f>
        <v>10244.17</v>
      </c>
      <c r="E12" s="987">
        <f t="shared" si="2"/>
        <v>-2118.9700000000007</v>
      </c>
      <c r="F12" s="987">
        <v>2118.9699999999998</v>
      </c>
    </row>
    <row r="13" spans="1:6" ht="12.75" customHeight="1" x14ac:dyDescent="0.25">
      <c r="A13" s="996" t="s">
        <v>899</v>
      </c>
      <c r="B13" s="997" t="s">
        <v>900</v>
      </c>
      <c r="C13" s="998">
        <v>6598.7</v>
      </c>
      <c r="D13" s="998">
        <v>9990.7099999999991</v>
      </c>
      <c r="E13" s="998">
        <f t="shared" si="0"/>
        <v>3392.0099999999993</v>
      </c>
      <c r="F13" s="998">
        <v>-3392.01</v>
      </c>
    </row>
    <row r="14" spans="1:6" ht="12.75" customHeight="1" x14ac:dyDescent="0.25">
      <c r="A14" s="996" t="s">
        <v>901</v>
      </c>
      <c r="B14" s="997" t="s">
        <v>902</v>
      </c>
      <c r="C14" s="998">
        <v>0.31</v>
      </c>
      <c r="D14" s="998">
        <v>160.08000000000001</v>
      </c>
      <c r="E14" s="998">
        <f t="shared" si="0"/>
        <v>159.77000000000001</v>
      </c>
      <c r="F14" s="998">
        <v>-159.77000000000001</v>
      </c>
    </row>
    <row r="15" spans="1:6" ht="12.75" customHeight="1" x14ac:dyDescent="0.25">
      <c r="A15" s="996" t="s">
        <v>903</v>
      </c>
      <c r="B15" s="997" t="s">
        <v>7</v>
      </c>
      <c r="C15" s="998">
        <v>0.31</v>
      </c>
      <c r="D15" s="998">
        <v>0.19</v>
      </c>
      <c r="E15" s="998">
        <f t="shared" si="0"/>
        <v>-0.12</v>
      </c>
      <c r="F15" s="998">
        <v>0.12</v>
      </c>
    </row>
    <row r="16" spans="1:6" ht="12.75" customHeight="1" thickBot="1" x14ac:dyDescent="0.3">
      <c r="A16" s="996" t="s">
        <v>904</v>
      </c>
      <c r="B16" s="997" t="s">
        <v>10</v>
      </c>
      <c r="C16" s="998">
        <v>5763.82</v>
      </c>
      <c r="D16" s="998">
        <v>93.19</v>
      </c>
      <c r="E16" s="998">
        <f t="shared" si="0"/>
        <v>-5670.63</v>
      </c>
      <c r="F16" s="998">
        <v>5670.63</v>
      </c>
    </row>
    <row r="17" spans="1:6" ht="12.75" customHeight="1" thickBot="1" x14ac:dyDescent="0.3">
      <c r="A17" s="989" t="s">
        <v>905</v>
      </c>
      <c r="B17" s="990" t="s">
        <v>13</v>
      </c>
      <c r="C17" s="987">
        <f>C18+C19+C20+C21+C22+C23+C24+C25+C26+C27+C28+C29</f>
        <v>14209.53</v>
      </c>
      <c r="D17" s="987">
        <f t="shared" ref="D17:E17" si="3">D18+D19+D20+D21+D22+D23+D24+D25+D26+D27+D28+D29</f>
        <v>10839.150000000001</v>
      </c>
      <c r="E17" s="987">
        <f t="shared" si="3"/>
        <v>-3370.3799999999997</v>
      </c>
      <c r="F17" s="987">
        <v>3370.38</v>
      </c>
    </row>
    <row r="18" spans="1:6" ht="12.75" customHeight="1" x14ac:dyDescent="0.25">
      <c r="A18" s="996" t="s">
        <v>906</v>
      </c>
      <c r="B18" s="997" t="s">
        <v>907</v>
      </c>
      <c r="C18" s="998">
        <v>12715.57</v>
      </c>
      <c r="D18" s="998">
        <v>7986.83</v>
      </c>
      <c r="E18" s="998">
        <f t="shared" si="0"/>
        <v>-4728.74</v>
      </c>
      <c r="F18" s="998">
        <v>4728.74</v>
      </c>
    </row>
    <row r="19" spans="1:6" ht="12.75" customHeight="1" x14ac:dyDescent="0.25">
      <c r="A19" s="996" t="s">
        <v>908</v>
      </c>
      <c r="B19" s="997" t="s">
        <v>909</v>
      </c>
      <c r="C19" s="998">
        <v>0</v>
      </c>
      <c r="D19" s="998">
        <v>1302.5999999999999</v>
      </c>
      <c r="E19" s="998">
        <f t="shared" si="0"/>
        <v>1302.5999999999999</v>
      </c>
      <c r="F19" s="998">
        <v>-1302.5999999999999</v>
      </c>
    </row>
    <row r="20" spans="1:6" ht="12.75" customHeight="1" x14ac:dyDescent="0.25">
      <c r="A20" s="996" t="s">
        <v>910</v>
      </c>
      <c r="B20" s="997" t="s">
        <v>911</v>
      </c>
      <c r="C20" s="998">
        <v>0</v>
      </c>
      <c r="D20" s="998">
        <v>0</v>
      </c>
      <c r="E20" s="998">
        <f t="shared" si="0"/>
        <v>0</v>
      </c>
      <c r="F20" s="998">
        <v>0</v>
      </c>
    </row>
    <row r="21" spans="1:6" ht="12.75" customHeight="1" x14ac:dyDescent="0.25">
      <c r="A21" s="996" t="s">
        <v>912</v>
      </c>
      <c r="B21" s="997" t="s">
        <v>16</v>
      </c>
      <c r="C21" s="998">
        <v>0</v>
      </c>
      <c r="D21" s="998">
        <v>921.73</v>
      </c>
      <c r="E21" s="998">
        <f t="shared" si="0"/>
        <v>921.73</v>
      </c>
      <c r="F21" s="998">
        <v>-921.73</v>
      </c>
    </row>
    <row r="22" spans="1:6" ht="12.75" customHeight="1" x14ac:dyDescent="0.25">
      <c r="A22" s="996" t="s">
        <v>913</v>
      </c>
      <c r="B22" s="997" t="s">
        <v>19</v>
      </c>
      <c r="C22" s="998">
        <v>0</v>
      </c>
      <c r="D22" s="998">
        <v>0</v>
      </c>
      <c r="E22" s="998">
        <f t="shared" si="0"/>
        <v>0</v>
      </c>
      <c r="F22" s="998">
        <v>0</v>
      </c>
    </row>
    <row r="23" spans="1:6" ht="12.75" customHeight="1" x14ac:dyDescent="0.25">
      <c r="A23" s="996" t="s">
        <v>914</v>
      </c>
      <c r="B23" s="997" t="s">
        <v>915</v>
      </c>
      <c r="C23" s="998">
        <v>993.55</v>
      </c>
      <c r="D23" s="998">
        <v>863.62</v>
      </c>
      <c r="E23" s="998">
        <f t="shared" si="0"/>
        <v>-129.92999999999995</v>
      </c>
      <c r="F23" s="998">
        <v>129.93</v>
      </c>
    </row>
    <row r="24" spans="1:6" ht="12.75" customHeight="1" x14ac:dyDescent="0.25">
      <c r="A24" s="996" t="s">
        <v>916</v>
      </c>
      <c r="B24" s="997" t="s">
        <v>36</v>
      </c>
      <c r="C24" s="998">
        <v>16.510000000000002</v>
      </c>
      <c r="D24" s="998">
        <v>14.78</v>
      </c>
      <c r="E24" s="998">
        <f t="shared" si="0"/>
        <v>-1.7300000000000022</v>
      </c>
      <c r="F24" s="998">
        <v>1.73</v>
      </c>
    </row>
    <row r="25" spans="1:6" ht="12.75" customHeight="1" x14ac:dyDescent="0.25">
      <c r="A25" s="996" t="s">
        <v>957</v>
      </c>
      <c r="B25" s="997" t="s">
        <v>39</v>
      </c>
      <c r="C25" s="998">
        <v>0</v>
      </c>
      <c r="D25" s="998">
        <v>0</v>
      </c>
      <c r="E25" s="998">
        <v>0</v>
      </c>
      <c r="F25" s="998">
        <v>0</v>
      </c>
    </row>
    <row r="26" spans="1:6" ht="12.75" customHeight="1" x14ac:dyDescent="0.25">
      <c r="A26" s="996" t="s">
        <v>1560</v>
      </c>
      <c r="B26" s="997" t="s">
        <v>917</v>
      </c>
      <c r="C26" s="998">
        <v>0</v>
      </c>
      <c r="D26" s="998">
        <v>0</v>
      </c>
      <c r="E26" s="998">
        <v>0</v>
      </c>
      <c r="F26" s="998">
        <v>0</v>
      </c>
    </row>
    <row r="27" spans="1:6" ht="12.75" customHeight="1" x14ac:dyDescent="0.25">
      <c r="A27" s="996" t="s">
        <v>918</v>
      </c>
      <c r="B27" s="997" t="s">
        <v>919</v>
      </c>
      <c r="C27" s="998">
        <v>783.02</v>
      </c>
      <c r="D27" s="998">
        <v>64</v>
      </c>
      <c r="E27" s="998">
        <f t="shared" si="0"/>
        <v>-719.02</v>
      </c>
      <c r="F27" s="998">
        <v>719.02</v>
      </c>
    </row>
    <row r="28" spans="1:6" ht="12.75" customHeight="1" x14ac:dyDescent="0.25">
      <c r="A28" s="996" t="s">
        <v>920</v>
      </c>
      <c r="B28" s="997" t="s">
        <v>42</v>
      </c>
      <c r="C28" s="998">
        <v>266.18</v>
      </c>
      <c r="D28" s="998">
        <v>232.18</v>
      </c>
      <c r="E28" s="998">
        <f t="shared" si="0"/>
        <v>-34</v>
      </c>
      <c r="F28" s="998">
        <v>34</v>
      </c>
    </row>
    <row r="29" spans="1:6" ht="12.75" customHeight="1" thickBot="1" x14ac:dyDescent="0.3">
      <c r="A29" s="996" t="s">
        <v>921</v>
      </c>
      <c r="B29" s="997" t="s">
        <v>45</v>
      </c>
      <c r="C29" s="998">
        <v>-565.29999999999995</v>
      </c>
      <c r="D29" s="998">
        <v>-546.59</v>
      </c>
      <c r="E29" s="998">
        <f t="shared" si="0"/>
        <v>18.709999999999923</v>
      </c>
      <c r="F29" s="998">
        <v>-18.71</v>
      </c>
    </row>
    <row r="30" spans="1:6" ht="12.75" customHeight="1" thickBot="1" x14ac:dyDescent="0.3">
      <c r="A30" s="993" t="s">
        <v>922</v>
      </c>
      <c r="B30" s="994" t="s">
        <v>923</v>
      </c>
      <c r="C30" s="995">
        <v>69.400000000000006</v>
      </c>
      <c r="D30" s="995">
        <v>37.15</v>
      </c>
      <c r="E30" s="995">
        <v>-32.25</v>
      </c>
      <c r="F30" s="995">
        <v>32.25</v>
      </c>
    </row>
    <row r="31" spans="1:6" ht="12.75" customHeight="1" thickBot="1" x14ac:dyDescent="0.3">
      <c r="A31" s="993" t="s">
        <v>924</v>
      </c>
      <c r="B31" s="994" t="s">
        <v>48</v>
      </c>
      <c r="C31" s="995">
        <v>0</v>
      </c>
      <c r="D31" s="995">
        <v>0</v>
      </c>
      <c r="E31" s="995">
        <f t="shared" si="0"/>
        <v>0</v>
      </c>
      <c r="F31" s="995">
        <v>0</v>
      </c>
    </row>
    <row r="32" spans="1:6" ht="12.75" customHeight="1" thickBot="1" x14ac:dyDescent="0.3">
      <c r="A32" s="993" t="s">
        <v>1564</v>
      </c>
      <c r="B32" s="994" t="s">
        <v>51</v>
      </c>
      <c r="C32" s="995">
        <v>0</v>
      </c>
      <c r="D32" s="995">
        <v>0</v>
      </c>
      <c r="E32" s="995">
        <f t="shared" si="0"/>
        <v>0</v>
      </c>
      <c r="F32" s="995">
        <v>0</v>
      </c>
    </row>
    <row r="33" spans="1:6" ht="12.75" customHeight="1" thickBot="1" x14ac:dyDescent="0.3">
      <c r="A33" s="993" t="s">
        <v>925</v>
      </c>
      <c r="B33" s="994" t="s">
        <v>926</v>
      </c>
      <c r="C33" s="995">
        <v>0</v>
      </c>
      <c r="D33" s="995">
        <v>0</v>
      </c>
      <c r="E33" s="995">
        <f t="shared" si="0"/>
        <v>0</v>
      </c>
      <c r="F33" s="995">
        <v>0</v>
      </c>
    </row>
    <row r="34" spans="1:6" ht="12.75" customHeight="1" thickBot="1" x14ac:dyDescent="0.3">
      <c r="A34" s="989" t="s">
        <v>927</v>
      </c>
      <c r="B34" s="990" t="s">
        <v>31</v>
      </c>
      <c r="C34" s="987">
        <f>C35+C36+C37+C38+C39+C40</f>
        <v>7461.67</v>
      </c>
      <c r="D34" s="987">
        <f t="shared" ref="D34:E34" si="4">D35+D36+D37+D38+D39+D40</f>
        <v>7638.52</v>
      </c>
      <c r="E34" s="987">
        <f t="shared" si="4"/>
        <v>176.85000000000036</v>
      </c>
      <c r="F34" s="987">
        <v>-176.85</v>
      </c>
    </row>
    <row r="35" spans="1:6" ht="12.75" customHeight="1" x14ac:dyDescent="0.25">
      <c r="A35" s="996" t="s">
        <v>928</v>
      </c>
      <c r="B35" s="997" t="s">
        <v>33</v>
      </c>
      <c r="C35" s="998">
        <v>3025.01</v>
      </c>
      <c r="D35" s="998">
        <v>3267.01</v>
      </c>
      <c r="E35" s="998">
        <f t="shared" si="0"/>
        <v>242</v>
      </c>
      <c r="F35" s="998">
        <v>-242</v>
      </c>
    </row>
    <row r="36" spans="1:6" ht="12.75" customHeight="1" x14ac:dyDescent="0.25">
      <c r="A36" s="996" t="s">
        <v>929</v>
      </c>
      <c r="B36" s="997" t="s">
        <v>930</v>
      </c>
      <c r="C36" s="998">
        <v>154.15</v>
      </c>
      <c r="D36" s="998">
        <v>232.9</v>
      </c>
      <c r="E36" s="998">
        <f t="shared" si="0"/>
        <v>78.75</v>
      </c>
      <c r="F36" s="998">
        <v>-78.75</v>
      </c>
    </row>
    <row r="37" spans="1:6" ht="12.75" customHeight="1" x14ac:dyDescent="0.25">
      <c r="A37" s="996" t="s">
        <v>931</v>
      </c>
      <c r="B37" s="997" t="s">
        <v>932</v>
      </c>
      <c r="C37" s="998">
        <v>13.65</v>
      </c>
      <c r="D37" s="998">
        <v>13.65</v>
      </c>
      <c r="E37" s="998">
        <f t="shared" si="0"/>
        <v>0</v>
      </c>
      <c r="F37" s="998">
        <v>0</v>
      </c>
    </row>
    <row r="38" spans="1:6" ht="12.75" customHeight="1" x14ac:dyDescent="0.25">
      <c r="A38" s="996" t="s">
        <v>933</v>
      </c>
      <c r="B38" s="997" t="s">
        <v>934</v>
      </c>
      <c r="C38" s="998">
        <v>0</v>
      </c>
      <c r="D38" s="998">
        <v>0</v>
      </c>
      <c r="E38" s="998">
        <v>0</v>
      </c>
      <c r="F38" s="998">
        <v>0</v>
      </c>
    </row>
    <row r="39" spans="1:6" ht="12.75" customHeight="1" x14ac:dyDescent="0.25">
      <c r="A39" s="996" t="s">
        <v>935</v>
      </c>
      <c r="B39" s="997" t="s">
        <v>936</v>
      </c>
      <c r="C39" s="998">
        <v>4268.8599999999997</v>
      </c>
      <c r="D39" s="998">
        <v>4124.96</v>
      </c>
      <c r="E39" s="998">
        <f t="shared" si="0"/>
        <v>-143.89999999999964</v>
      </c>
      <c r="F39" s="998">
        <v>143.9</v>
      </c>
    </row>
    <row r="40" spans="1:6" ht="12.75" customHeight="1" thickBot="1" x14ac:dyDescent="0.3">
      <c r="A40" s="996" t="s">
        <v>937</v>
      </c>
      <c r="B40" s="997" t="s">
        <v>938</v>
      </c>
      <c r="C40" s="998">
        <v>0</v>
      </c>
      <c r="D40" s="998">
        <v>0</v>
      </c>
      <c r="E40" s="998">
        <v>0</v>
      </c>
      <c r="F40" s="998">
        <v>0</v>
      </c>
    </row>
    <row r="41" spans="1:6" ht="12.75" customHeight="1" thickBot="1" x14ac:dyDescent="0.3">
      <c r="A41" s="989" t="s">
        <v>939</v>
      </c>
      <c r="B41" s="990" t="s">
        <v>940</v>
      </c>
      <c r="C41" s="987">
        <f>C42+C43+C44+C45+C46+C47+C48+C49+C50+C51+C52+C53+C54+C55+C56</f>
        <v>96982.23</v>
      </c>
      <c r="D41" s="987">
        <f t="shared" ref="D41:F41" si="5">D42+D43+D44+D45+D46+D47+D48+D49+D50+D51+D52+D53+D54+D55+D56</f>
        <v>78544.62999999999</v>
      </c>
      <c r="E41" s="987">
        <f t="shared" si="5"/>
        <v>-18437.600000000002</v>
      </c>
      <c r="F41" s="987">
        <f t="shared" si="5"/>
        <v>-18437.600000000002</v>
      </c>
    </row>
    <row r="42" spans="1:6" ht="12.75" customHeight="1" x14ac:dyDescent="0.25">
      <c r="A42" s="996" t="s">
        <v>941</v>
      </c>
      <c r="B42" s="997" t="s">
        <v>942</v>
      </c>
      <c r="C42" s="998">
        <v>28584.63</v>
      </c>
      <c r="D42" s="998">
        <v>17634.07</v>
      </c>
      <c r="E42" s="998">
        <f t="shared" si="0"/>
        <v>-10950.560000000001</v>
      </c>
      <c r="F42" s="998">
        <v>-10950.56</v>
      </c>
    </row>
    <row r="43" spans="1:6" ht="12.75" customHeight="1" x14ac:dyDescent="0.25">
      <c r="A43" s="996" t="s">
        <v>943</v>
      </c>
      <c r="B43" s="997" t="s">
        <v>944</v>
      </c>
      <c r="C43" s="998">
        <v>0</v>
      </c>
      <c r="D43" s="998">
        <v>0</v>
      </c>
      <c r="E43" s="998">
        <v>0</v>
      </c>
      <c r="F43" s="998">
        <v>0</v>
      </c>
    </row>
    <row r="44" spans="1:6" ht="12.75" customHeight="1" x14ac:dyDescent="0.25">
      <c r="A44" s="996" t="s">
        <v>945</v>
      </c>
      <c r="B44" s="997" t="s">
        <v>22</v>
      </c>
      <c r="C44" s="998">
        <v>952.12</v>
      </c>
      <c r="D44" s="998">
        <v>17.32</v>
      </c>
      <c r="E44" s="998">
        <f t="shared" si="0"/>
        <v>-934.8</v>
      </c>
      <c r="F44" s="998">
        <v>-934.8</v>
      </c>
    </row>
    <row r="45" spans="1:6" ht="12.75" customHeight="1" x14ac:dyDescent="0.25">
      <c r="A45" s="996" t="s">
        <v>946</v>
      </c>
      <c r="B45" s="997" t="s">
        <v>54</v>
      </c>
      <c r="C45" s="998">
        <v>10449.629999999999</v>
      </c>
      <c r="D45" s="998">
        <v>9955.19</v>
      </c>
      <c r="E45" s="998">
        <f t="shared" si="0"/>
        <v>-494.43999999999869</v>
      </c>
      <c r="F45" s="998">
        <v>-494.44</v>
      </c>
    </row>
    <row r="46" spans="1:6" ht="12.75" customHeight="1" x14ac:dyDescent="0.25">
      <c r="A46" s="996" t="s">
        <v>947</v>
      </c>
      <c r="B46" s="997" t="s">
        <v>79</v>
      </c>
      <c r="C46" s="998">
        <v>32279.58</v>
      </c>
      <c r="D46" s="998">
        <v>27788.73</v>
      </c>
      <c r="E46" s="998">
        <f t="shared" si="0"/>
        <v>-4490.8500000000022</v>
      </c>
      <c r="F46" s="998">
        <v>-4490.8500000000004</v>
      </c>
    </row>
    <row r="47" spans="1:6" ht="12.75" customHeight="1" x14ac:dyDescent="0.25">
      <c r="A47" s="996" t="s">
        <v>948</v>
      </c>
      <c r="B47" s="997" t="s">
        <v>949</v>
      </c>
      <c r="C47" s="998">
        <v>0</v>
      </c>
      <c r="D47" s="998">
        <v>0</v>
      </c>
      <c r="E47" s="998">
        <v>0</v>
      </c>
      <c r="F47" s="998">
        <v>0</v>
      </c>
    </row>
    <row r="48" spans="1:6" ht="12.75" customHeight="1" x14ac:dyDescent="0.25">
      <c r="A48" s="996" t="s">
        <v>950</v>
      </c>
      <c r="B48" s="997" t="s">
        <v>951</v>
      </c>
      <c r="C48" s="998">
        <v>17834.34</v>
      </c>
      <c r="D48" s="998">
        <v>15390.2</v>
      </c>
      <c r="E48" s="998">
        <f t="shared" si="0"/>
        <v>-2444.1399999999994</v>
      </c>
      <c r="F48" s="998">
        <v>-2444.14</v>
      </c>
    </row>
    <row r="49" spans="1:6" ht="12.75" customHeight="1" x14ac:dyDescent="0.25">
      <c r="A49" s="996" t="s">
        <v>912</v>
      </c>
      <c r="B49" s="997" t="s">
        <v>952</v>
      </c>
      <c r="C49" s="998">
        <v>1251.57</v>
      </c>
      <c r="D49" s="998">
        <v>0</v>
      </c>
      <c r="E49" s="998">
        <f t="shared" si="0"/>
        <v>-1251.57</v>
      </c>
      <c r="F49" s="998">
        <v>-1251.57</v>
      </c>
    </row>
    <row r="50" spans="1:6" ht="12.75" customHeight="1" x14ac:dyDescent="0.25">
      <c r="A50" s="996" t="s">
        <v>953</v>
      </c>
      <c r="B50" s="997" t="s">
        <v>954</v>
      </c>
      <c r="C50" s="998">
        <v>5430.95</v>
      </c>
      <c r="D50" s="998">
        <v>4405.2</v>
      </c>
      <c r="E50" s="998">
        <f t="shared" si="0"/>
        <v>-1025.75</v>
      </c>
      <c r="F50" s="998">
        <v>-1025.75</v>
      </c>
    </row>
    <row r="51" spans="1:6" ht="12.75" customHeight="1" x14ac:dyDescent="0.25">
      <c r="A51" s="996" t="s">
        <v>914</v>
      </c>
      <c r="B51" s="997" t="s">
        <v>955</v>
      </c>
      <c r="C51" s="998">
        <v>0</v>
      </c>
      <c r="D51" s="998">
        <v>0</v>
      </c>
      <c r="E51" s="998">
        <f t="shared" si="0"/>
        <v>0</v>
      </c>
      <c r="F51" s="998">
        <v>0</v>
      </c>
    </row>
    <row r="52" spans="1:6" ht="12.75" customHeight="1" x14ac:dyDescent="0.25">
      <c r="A52" s="996" t="s">
        <v>916</v>
      </c>
      <c r="B52" s="997" t="s">
        <v>956</v>
      </c>
      <c r="C52" s="998">
        <v>0</v>
      </c>
      <c r="D52" s="998">
        <v>0</v>
      </c>
      <c r="E52" s="998">
        <f t="shared" si="0"/>
        <v>0</v>
      </c>
      <c r="F52" s="998">
        <v>0</v>
      </c>
    </row>
    <row r="53" spans="1:6" ht="12.75" customHeight="1" x14ac:dyDescent="0.25">
      <c r="A53" s="996" t="s">
        <v>957</v>
      </c>
      <c r="B53" s="997" t="s">
        <v>958</v>
      </c>
      <c r="C53" s="998">
        <v>49.99</v>
      </c>
      <c r="D53" s="998">
        <v>2288.27</v>
      </c>
      <c r="E53" s="998">
        <f t="shared" si="0"/>
        <v>2238.2800000000002</v>
      </c>
      <c r="F53" s="998">
        <v>2238.2800000000002</v>
      </c>
    </row>
    <row r="54" spans="1:6" ht="12.75" customHeight="1" x14ac:dyDescent="0.25">
      <c r="A54" s="996" t="s">
        <v>959</v>
      </c>
      <c r="B54" s="997" t="s">
        <v>25</v>
      </c>
      <c r="C54" s="998">
        <v>0</v>
      </c>
      <c r="D54" s="998">
        <v>0</v>
      </c>
      <c r="E54" s="998">
        <f t="shared" si="0"/>
        <v>0</v>
      </c>
      <c r="F54" s="998">
        <v>0</v>
      </c>
    </row>
    <row r="55" spans="1:6" ht="12.75" customHeight="1" x14ac:dyDescent="0.25">
      <c r="A55" s="996" t="s">
        <v>908</v>
      </c>
      <c r="B55" s="997" t="s">
        <v>56</v>
      </c>
      <c r="C55" s="998">
        <v>0</v>
      </c>
      <c r="D55" s="998">
        <v>0</v>
      </c>
      <c r="E55" s="998">
        <f t="shared" si="0"/>
        <v>0</v>
      </c>
      <c r="F55" s="998">
        <v>0</v>
      </c>
    </row>
    <row r="56" spans="1:6" ht="12.75" customHeight="1" x14ac:dyDescent="0.25">
      <c r="A56" s="996" t="s">
        <v>960</v>
      </c>
      <c r="B56" s="997" t="s">
        <v>961</v>
      </c>
      <c r="C56" s="998">
        <v>149.41999999999999</v>
      </c>
      <c r="D56" s="998">
        <v>1065.6500000000001</v>
      </c>
      <c r="E56" s="998">
        <f t="shared" si="0"/>
        <v>916.23000000000013</v>
      </c>
      <c r="F56" s="998">
        <v>916.23</v>
      </c>
    </row>
    <row r="57" spans="1:6" ht="12.75" customHeight="1" x14ac:dyDescent="0.25">
      <c r="A57" s="996" t="s">
        <v>962</v>
      </c>
      <c r="B57" s="997" t="s">
        <v>963</v>
      </c>
      <c r="C57" s="998">
        <v>426.78</v>
      </c>
      <c r="D57" s="998">
        <v>0</v>
      </c>
      <c r="E57" s="998">
        <f t="shared" si="0"/>
        <v>-426.78</v>
      </c>
      <c r="F57" s="998">
        <v>-426.78</v>
      </c>
    </row>
    <row r="58" spans="1:6" ht="12.75" customHeight="1" thickBot="1" x14ac:dyDescent="0.3">
      <c r="A58" s="662" t="s">
        <v>964</v>
      </c>
      <c r="B58" s="663" t="s">
        <v>965</v>
      </c>
      <c r="C58" s="988">
        <v>0</v>
      </c>
      <c r="D58" s="988">
        <v>0</v>
      </c>
      <c r="E58" s="988">
        <f t="shared" si="0"/>
        <v>0</v>
      </c>
      <c r="F58" s="988">
        <v>0</v>
      </c>
    </row>
    <row r="59" spans="1:6" ht="12.75" customHeight="1" thickBot="1" x14ac:dyDescent="0.3">
      <c r="A59" s="660" t="s">
        <v>966</v>
      </c>
      <c r="B59" s="661" t="s">
        <v>967</v>
      </c>
      <c r="C59" s="986">
        <f>C57+C54+C41+C34+C33+C32+C31+C30+C17+C12+C7+C6+C5+C4</f>
        <v>193297.05</v>
      </c>
      <c r="D59" s="986">
        <f t="shared" ref="D59:E59" si="6">D57+D54+D41+D34+D33+D32+D31+D30+D17+D12+D7+D6+D5+D4</f>
        <v>135028.18999999997</v>
      </c>
      <c r="E59" s="986">
        <f t="shared" si="6"/>
        <v>-58268.86</v>
      </c>
      <c r="F59" s="986">
        <f>F57+F54+F41+F34+F33+F32+F31+F30+F17+F12+F7+F6+F5+F4-1</f>
        <v>129609.74</v>
      </c>
    </row>
    <row r="60" spans="1:6" ht="12.75" customHeight="1" thickBot="1" x14ac:dyDescent="0.3">
      <c r="A60" s="1245"/>
      <c r="B60" s="1246"/>
      <c r="C60" s="1246"/>
      <c r="D60" s="1246"/>
      <c r="E60" s="1246"/>
      <c r="F60" s="1247"/>
    </row>
    <row r="61" spans="1:6" ht="12.75" customHeight="1" thickBot="1" x14ac:dyDescent="0.3">
      <c r="A61" s="989" t="s">
        <v>968</v>
      </c>
      <c r="B61" s="990" t="s">
        <v>969</v>
      </c>
      <c r="C61" s="987">
        <f>C62+C63+C64+C65+C66+C67+C68</f>
        <v>119358.59</v>
      </c>
      <c r="D61" s="987">
        <f t="shared" ref="D61:F61" si="7">D62+D63+D64+D65+D66+D67+D68</f>
        <v>123713.81000000001</v>
      </c>
      <c r="E61" s="987">
        <f t="shared" si="7"/>
        <v>4355.2200000000057</v>
      </c>
      <c r="F61" s="987">
        <f t="shared" si="7"/>
        <v>-4355.2199999999993</v>
      </c>
    </row>
    <row r="62" spans="1:6" ht="12.75" customHeight="1" x14ac:dyDescent="0.25">
      <c r="A62" s="996" t="s">
        <v>970</v>
      </c>
      <c r="B62" s="997" t="s">
        <v>971</v>
      </c>
      <c r="C62" s="998">
        <v>0</v>
      </c>
      <c r="D62" s="998">
        <v>0</v>
      </c>
      <c r="E62" s="998">
        <f t="shared" si="0"/>
        <v>0</v>
      </c>
      <c r="F62" s="998">
        <v>0</v>
      </c>
    </row>
    <row r="63" spans="1:6" ht="12.75" customHeight="1" x14ac:dyDescent="0.25">
      <c r="A63" s="996" t="s">
        <v>972</v>
      </c>
      <c r="B63" s="997" t="s">
        <v>973</v>
      </c>
      <c r="C63" s="998">
        <v>72151.78</v>
      </c>
      <c r="D63" s="998">
        <v>76727.520000000004</v>
      </c>
      <c r="E63" s="998">
        <f t="shared" si="0"/>
        <v>4575.7400000000052</v>
      </c>
      <c r="F63" s="998">
        <v>-4575.74</v>
      </c>
    </row>
    <row r="64" spans="1:6" ht="12.75" customHeight="1" x14ac:dyDescent="0.25">
      <c r="A64" s="996" t="s">
        <v>974</v>
      </c>
      <c r="B64" s="997" t="s">
        <v>975</v>
      </c>
      <c r="C64" s="998">
        <v>41996.49</v>
      </c>
      <c r="D64" s="998">
        <v>41996.49</v>
      </c>
      <c r="E64" s="998">
        <f t="shared" si="0"/>
        <v>0</v>
      </c>
      <c r="F64" s="998">
        <v>0</v>
      </c>
    </row>
    <row r="65" spans="1:6" ht="12.75" customHeight="1" x14ac:dyDescent="0.25">
      <c r="A65" s="996" t="s">
        <v>976</v>
      </c>
      <c r="B65" s="997" t="s">
        <v>62</v>
      </c>
      <c r="C65" s="998">
        <v>4490.32</v>
      </c>
      <c r="D65" s="998">
        <v>4269.8</v>
      </c>
      <c r="E65" s="998">
        <f t="shared" si="0"/>
        <v>-220.51999999999953</v>
      </c>
      <c r="F65" s="998">
        <v>220.52</v>
      </c>
    </row>
    <row r="66" spans="1:6" ht="12.75" customHeight="1" x14ac:dyDescent="0.25">
      <c r="A66" s="996" t="s">
        <v>977</v>
      </c>
      <c r="B66" s="997" t="s">
        <v>65</v>
      </c>
      <c r="C66" s="998">
        <v>720</v>
      </c>
      <c r="D66" s="998">
        <v>720</v>
      </c>
      <c r="E66" s="998">
        <f t="shared" si="0"/>
        <v>0</v>
      </c>
      <c r="F66" s="998">
        <v>0</v>
      </c>
    </row>
    <row r="67" spans="1:6" ht="12.75" customHeight="1" x14ac:dyDescent="0.25">
      <c r="A67" s="996" t="s">
        <v>978</v>
      </c>
      <c r="B67" s="997" t="s">
        <v>68</v>
      </c>
      <c r="C67" s="998">
        <v>0</v>
      </c>
      <c r="D67" s="998">
        <v>0</v>
      </c>
      <c r="E67" s="998">
        <f t="shared" si="0"/>
        <v>0</v>
      </c>
      <c r="F67" s="998">
        <v>0</v>
      </c>
    </row>
    <row r="68" spans="1:6" ht="12.75" customHeight="1" thickBot="1" x14ac:dyDescent="0.3">
      <c r="A68" s="996" t="s">
        <v>979</v>
      </c>
      <c r="B68" s="997" t="s">
        <v>980</v>
      </c>
      <c r="C68" s="998">
        <v>0</v>
      </c>
      <c r="D68" s="998">
        <v>0</v>
      </c>
      <c r="E68" s="998">
        <f t="shared" si="0"/>
        <v>0</v>
      </c>
      <c r="F68" s="998">
        <v>0</v>
      </c>
    </row>
    <row r="69" spans="1:6" ht="12.75" customHeight="1" thickBot="1" x14ac:dyDescent="0.3">
      <c r="A69" s="989" t="s">
        <v>981</v>
      </c>
      <c r="B69" s="990" t="s">
        <v>982</v>
      </c>
      <c r="C69" s="987">
        <f>C70+C71+C72+C73+C74</f>
        <v>-75317.22</v>
      </c>
      <c r="D69" s="987">
        <f t="shared" ref="D69:F69" si="8">D70+D71+D72+D73+D74</f>
        <v>-89826.98</v>
      </c>
      <c r="E69" s="987">
        <f t="shared" si="8"/>
        <v>-14509.759999999998</v>
      </c>
      <c r="F69" s="987">
        <f t="shared" si="8"/>
        <v>14509.669999999998</v>
      </c>
    </row>
    <row r="70" spans="1:6" ht="12.75" customHeight="1" x14ac:dyDescent="0.25">
      <c r="A70" s="996" t="s">
        <v>983</v>
      </c>
      <c r="B70" s="997" t="s">
        <v>71</v>
      </c>
      <c r="C70" s="998">
        <v>0</v>
      </c>
      <c r="D70" s="998">
        <v>0</v>
      </c>
      <c r="E70" s="998">
        <f t="shared" ref="E70:E118" si="9">SUM(D70-C70)</f>
        <v>0</v>
      </c>
      <c r="F70" s="998">
        <v>0</v>
      </c>
    </row>
    <row r="71" spans="1:6" ht="12.75" customHeight="1" x14ac:dyDescent="0.25">
      <c r="A71" s="996" t="s">
        <v>984</v>
      </c>
      <c r="B71" s="997" t="s">
        <v>74</v>
      </c>
      <c r="C71" s="998">
        <v>-56560.37</v>
      </c>
      <c r="D71" s="998">
        <v>-64352.46</v>
      </c>
      <c r="E71" s="998">
        <f t="shared" si="9"/>
        <v>-7792.0899999999965</v>
      </c>
      <c r="F71" s="998">
        <v>7792</v>
      </c>
    </row>
    <row r="72" spans="1:6" ht="12.75" customHeight="1" x14ac:dyDescent="0.25">
      <c r="A72" s="996" t="s">
        <v>985</v>
      </c>
      <c r="B72" s="997" t="s">
        <v>986</v>
      </c>
      <c r="C72" s="998">
        <v>-13558.53</v>
      </c>
      <c r="D72" s="998">
        <v>-20484.72</v>
      </c>
      <c r="E72" s="998">
        <f t="shared" si="9"/>
        <v>-6926.1900000000005</v>
      </c>
      <c r="F72" s="998">
        <v>6926.19</v>
      </c>
    </row>
    <row r="73" spans="1:6" ht="12.75" customHeight="1" x14ac:dyDescent="0.25">
      <c r="A73" s="996" t="s">
        <v>987</v>
      </c>
      <c r="B73" s="997" t="s">
        <v>77</v>
      </c>
      <c r="C73" s="998">
        <v>-4490.32</v>
      </c>
      <c r="D73" s="998">
        <v>-4269.8</v>
      </c>
      <c r="E73" s="998">
        <f t="shared" si="9"/>
        <v>220.51999999999953</v>
      </c>
      <c r="F73" s="998">
        <v>-220.52</v>
      </c>
    </row>
    <row r="74" spans="1:6" ht="12.75" customHeight="1" thickBot="1" x14ac:dyDescent="0.3">
      <c r="A74" s="996" t="s">
        <v>988</v>
      </c>
      <c r="B74" s="997" t="s">
        <v>989</v>
      </c>
      <c r="C74" s="998">
        <v>-708</v>
      </c>
      <c r="D74" s="998">
        <v>-720</v>
      </c>
      <c r="E74" s="998">
        <f t="shared" si="9"/>
        <v>-12</v>
      </c>
      <c r="F74" s="998">
        <v>12</v>
      </c>
    </row>
    <row r="75" spans="1:6" ht="12.75" customHeight="1" thickBot="1" x14ac:dyDescent="0.3">
      <c r="A75" s="989" t="s">
        <v>990</v>
      </c>
      <c r="B75" s="990" t="s">
        <v>991</v>
      </c>
      <c r="C75" s="987">
        <f>C76+C77+C78+C79+C80+C81+C82+C83+C84+C85</f>
        <v>3610356.5899999994</v>
      </c>
      <c r="D75" s="987">
        <f t="shared" ref="D75:F75" si="10">D76+D77+D78+D79+D80+D81+D82+D83+D84+D85</f>
        <v>3875100.24</v>
      </c>
      <c r="E75" s="987">
        <f t="shared" si="10"/>
        <v>264743.65000000037</v>
      </c>
      <c r="F75" s="987">
        <f t="shared" si="10"/>
        <v>-264743.65000000002</v>
      </c>
    </row>
    <row r="76" spans="1:6" ht="12.75" customHeight="1" x14ac:dyDescent="0.25">
      <c r="A76" s="996" t="s">
        <v>992</v>
      </c>
      <c r="B76" s="997" t="s">
        <v>85</v>
      </c>
      <c r="C76" s="998">
        <v>61501.9</v>
      </c>
      <c r="D76" s="998">
        <v>63261.02</v>
      </c>
      <c r="E76" s="998">
        <f t="shared" si="9"/>
        <v>1759.1199999999953</v>
      </c>
      <c r="F76" s="998">
        <v>-1759.12</v>
      </c>
    </row>
    <row r="77" spans="1:6" ht="12.75" customHeight="1" x14ac:dyDescent="0.25">
      <c r="A77" s="996" t="s">
        <v>993</v>
      </c>
      <c r="B77" s="997" t="s">
        <v>88</v>
      </c>
      <c r="C77" s="998">
        <v>628.16999999999996</v>
      </c>
      <c r="D77" s="998">
        <v>1303.9000000000001</v>
      </c>
      <c r="E77" s="998">
        <f t="shared" si="9"/>
        <v>675.73000000000013</v>
      </c>
      <c r="F77" s="998">
        <v>-675.73</v>
      </c>
    </row>
    <row r="78" spans="1:6" ht="12.75" customHeight="1" x14ac:dyDescent="0.25">
      <c r="A78" s="996" t="s">
        <v>994</v>
      </c>
      <c r="B78" s="997" t="s">
        <v>91</v>
      </c>
      <c r="C78" s="998">
        <v>2396379.42</v>
      </c>
      <c r="D78" s="998">
        <v>2606196.91</v>
      </c>
      <c r="E78" s="998">
        <f t="shared" si="9"/>
        <v>209817.49000000022</v>
      </c>
      <c r="F78" s="998">
        <v>-209817.49</v>
      </c>
    </row>
    <row r="79" spans="1:6" ht="12.75" customHeight="1" x14ac:dyDescent="0.25">
      <c r="A79" s="996" t="s">
        <v>995</v>
      </c>
      <c r="B79" s="997" t="s">
        <v>996</v>
      </c>
      <c r="C79" s="998">
        <v>1017338.87</v>
      </c>
      <c r="D79" s="998">
        <v>1088005.3600000001</v>
      </c>
      <c r="E79" s="998">
        <f t="shared" si="9"/>
        <v>70666.490000000107</v>
      </c>
      <c r="F79" s="998">
        <v>-70666.490000000005</v>
      </c>
    </row>
    <row r="80" spans="1:6" ht="12.75" customHeight="1" x14ac:dyDescent="0.25">
      <c r="A80" s="996" t="s">
        <v>997</v>
      </c>
      <c r="B80" s="997" t="s">
        <v>998</v>
      </c>
      <c r="C80" s="998">
        <v>0</v>
      </c>
      <c r="D80" s="998">
        <v>0</v>
      </c>
      <c r="E80" s="998">
        <f t="shared" si="9"/>
        <v>0</v>
      </c>
      <c r="F80" s="998">
        <v>0</v>
      </c>
    </row>
    <row r="81" spans="1:6" ht="12.75" customHeight="1" x14ac:dyDescent="0.25">
      <c r="A81" s="996" t="s">
        <v>999</v>
      </c>
      <c r="B81" s="997" t="s">
        <v>1000</v>
      </c>
      <c r="C81" s="998">
        <v>0</v>
      </c>
      <c r="D81" s="998">
        <v>0</v>
      </c>
      <c r="E81" s="998">
        <f t="shared" si="9"/>
        <v>0</v>
      </c>
      <c r="F81" s="998">
        <v>0</v>
      </c>
    </row>
    <row r="82" spans="1:6" ht="12.75" customHeight="1" x14ac:dyDescent="0.25">
      <c r="A82" s="996" t="s">
        <v>1001</v>
      </c>
      <c r="B82" s="997" t="s">
        <v>93</v>
      </c>
      <c r="C82" s="998">
        <v>85128.09</v>
      </c>
      <c r="D82" s="998">
        <v>77579.63</v>
      </c>
      <c r="E82" s="998">
        <f t="shared" si="9"/>
        <v>-7548.4599999999919</v>
      </c>
      <c r="F82" s="998">
        <v>7548.46</v>
      </c>
    </row>
    <row r="83" spans="1:6" ht="12.75" customHeight="1" x14ac:dyDescent="0.25">
      <c r="A83" s="996" t="s">
        <v>1002</v>
      </c>
      <c r="B83" s="997" t="s">
        <v>95</v>
      </c>
      <c r="C83" s="998">
        <v>1634.3</v>
      </c>
      <c r="D83" s="998">
        <v>1634.3</v>
      </c>
      <c r="E83" s="998">
        <f t="shared" si="9"/>
        <v>0</v>
      </c>
      <c r="F83" s="998">
        <v>0</v>
      </c>
    </row>
    <row r="84" spans="1:6" ht="12.75" customHeight="1" x14ac:dyDescent="0.25">
      <c r="A84" s="996" t="s">
        <v>1003</v>
      </c>
      <c r="B84" s="997" t="s">
        <v>1004</v>
      </c>
      <c r="C84" s="998">
        <v>47745.84</v>
      </c>
      <c r="D84" s="998">
        <v>37119.120000000003</v>
      </c>
      <c r="E84" s="998">
        <f t="shared" si="9"/>
        <v>-10626.719999999994</v>
      </c>
      <c r="F84" s="998">
        <v>10626.72</v>
      </c>
    </row>
    <row r="85" spans="1:6" ht="12.75" customHeight="1" thickBot="1" x14ac:dyDescent="0.3">
      <c r="A85" s="996" t="s">
        <v>1005</v>
      </c>
      <c r="B85" s="997" t="s">
        <v>98</v>
      </c>
      <c r="C85" s="998">
        <v>0</v>
      </c>
      <c r="D85" s="998">
        <v>0</v>
      </c>
      <c r="E85" s="998">
        <f t="shared" si="9"/>
        <v>0</v>
      </c>
      <c r="F85" s="998">
        <v>0</v>
      </c>
    </row>
    <row r="86" spans="1:6" ht="12.75" customHeight="1" thickBot="1" x14ac:dyDescent="0.3">
      <c r="A86" s="989" t="s">
        <v>981</v>
      </c>
      <c r="B86" s="990" t="s">
        <v>100</v>
      </c>
      <c r="C86" s="987">
        <f>C87+C88+C89+C90+C91+C92</f>
        <v>-1137966.2200000002</v>
      </c>
      <c r="D86" s="987">
        <f t="shared" ref="D86:F86" si="11">D87+D88+D89+D90+D91+D92</f>
        <v>-1269800.9399999997</v>
      </c>
      <c r="E86" s="987">
        <f t="shared" si="11"/>
        <v>-131834.71999999997</v>
      </c>
      <c r="F86" s="987">
        <f t="shared" si="11"/>
        <v>131834.72</v>
      </c>
    </row>
    <row r="87" spans="1:6" ht="12.75" customHeight="1" x14ac:dyDescent="0.25">
      <c r="A87" s="996" t="s">
        <v>1006</v>
      </c>
      <c r="B87" s="997" t="s">
        <v>1007</v>
      </c>
      <c r="C87" s="998">
        <v>-420768.43</v>
      </c>
      <c r="D87" s="998">
        <v>-470371.4</v>
      </c>
      <c r="E87" s="998">
        <f t="shared" si="9"/>
        <v>-49602.97000000003</v>
      </c>
      <c r="F87" s="998">
        <v>49602.97</v>
      </c>
    </row>
    <row r="88" spans="1:6" ht="12.75" customHeight="1" x14ac:dyDescent="0.25">
      <c r="A88" s="996" t="s">
        <v>1008</v>
      </c>
      <c r="B88" s="997" t="s">
        <v>1009</v>
      </c>
      <c r="C88" s="998">
        <v>-630516.4</v>
      </c>
      <c r="D88" s="998">
        <v>-720274.46</v>
      </c>
      <c r="E88" s="998">
        <f t="shared" si="9"/>
        <v>-89758.059999999939</v>
      </c>
      <c r="F88" s="998">
        <v>89758.06</v>
      </c>
    </row>
    <row r="89" spans="1:6" ht="12.75" customHeight="1" x14ac:dyDescent="0.25">
      <c r="A89" s="996" t="s">
        <v>1010</v>
      </c>
      <c r="B89" s="997" t="s">
        <v>103</v>
      </c>
      <c r="C89" s="998">
        <v>0</v>
      </c>
      <c r="D89" s="998">
        <v>0</v>
      </c>
      <c r="E89" s="998">
        <f t="shared" si="9"/>
        <v>0</v>
      </c>
      <c r="F89" s="998">
        <v>0</v>
      </c>
    </row>
    <row r="90" spans="1:6" ht="12.75" customHeight="1" x14ac:dyDescent="0.25">
      <c r="A90" s="996" t="s">
        <v>1561</v>
      </c>
      <c r="B90" s="997" t="s">
        <v>106</v>
      </c>
      <c r="C90" s="998">
        <v>0</v>
      </c>
      <c r="D90" s="998">
        <v>0</v>
      </c>
      <c r="E90" s="998">
        <f t="shared" si="9"/>
        <v>0</v>
      </c>
      <c r="F90" s="998">
        <v>0</v>
      </c>
    </row>
    <row r="91" spans="1:6" ht="12.75" customHeight="1" x14ac:dyDescent="0.25">
      <c r="A91" s="996" t="s">
        <v>1011</v>
      </c>
      <c r="B91" s="997" t="s">
        <v>1012</v>
      </c>
      <c r="C91" s="998">
        <v>-85128.09</v>
      </c>
      <c r="D91" s="998">
        <v>-77579.63</v>
      </c>
      <c r="E91" s="998">
        <f t="shared" si="9"/>
        <v>7548.4599999999919</v>
      </c>
      <c r="F91" s="998">
        <v>-7548.46</v>
      </c>
    </row>
    <row r="92" spans="1:6" ht="12.75" customHeight="1" thickBot="1" x14ac:dyDescent="0.3">
      <c r="A92" s="996" t="s">
        <v>1013</v>
      </c>
      <c r="B92" s="997" t="s">
        <v>108</v>
      </c>
      <c r="C92" s="998">
        <v>-1553.3</v>
      </c>
      <c r="D92" s="998">
        <v>-1575.45</v>
      </c>
      <c r="E92" s="998">
        <f t="shared" si="9"/>
        <v>-22.150000000000091</v>
      </c>
      <c r="F92" s="998">
        <v>22.15</v>
      </c>
    </row>
    <row r="93" spans="1:6" ht="12.75" customHeight="1" thickBot="1" x14ac:dyDescent="0.3">
      <c r="A93" s="993" t="s">
        <v>1014</v>
      </c>
      <c r="B93" s="994" t="s">
        <v>110</v>
      </c>
      <c r="C93" s="995">
        <v>0</v>
      </c>
      <c r="D93" s="995">
        <v>0</v>
      </c>
      <c r="E93" s="995">
        <f t="shared" si="9"/>
        <v>0</v>
      </c>
      <c r="F93" s="995">
        <v>-177189.64</v>
      </c>
    </row>
    <row r="94" spans="1:6" ht="12.75" customHeight="1" thickBot="1" x14ac:dyDescent="0.3">
      <c r="A94" s="993" t="s">
        <v>1015</v>
      </c>
      <c r="B94" s="994" t="s">
        <v>1016</v>
      </c>
      <c r="C94" s="995">
        <v>340</v>
      </c>
      <c r="D94" s="995">
        <v>340</v>
      </c>
      <c r="E94" s="995">
        <f t="shared" si="9"/>
        <v>0</v>
      </c>
      <c r="F94" s="995">
        <v>0</v>
      </c>
    </row>
    <row r="95" spans="1:6" ht="12.75" customHeight="1" x14ac:dyDescent="0.25">
      <c r="A95" s="996" t="s">
        <v>1562</v>
      </c>
      <c r="B95" s="997" t="s">
        <v>1017</v>
      </c>
      <c r="C95" s="998">
        <v>0</v>
      </c>
      <c r="D95" s="998">
        <v>0</v>
      </c>
      <c r="E95" s="998">
        <f t="shared" si="9"/>
        <v>0</v>
      </c>
      <c r="F95" s="998">
        <v>0</v>
      </c>
    </row>
    <row r="96" spans="1:6" ht="12.75" customHeight="1" x14ac:dyDescent="0.25">
      <c r="A96" s="996" t="s">
        <v>1018</v>
      </c>
      <c r="B96" s="997" t="s">
        <v>1019</v>
      </c>
      <c r="C96" s="998">
        <v>0</v>
      </c>
      <c r="D96" s="998">
        <v>0</v>
      </c>
      <c r="E96" s="998">
        <f t="shared" si="9"/>
        <v>0</v>
      </c>
      <c r="F96" s="998">
        <v>0</v>
      </c>
    </row>
    <row r="97" spans="1:6" ht="12.75" customHeight="1" x14ac:dyDescent="0.25">
      <c r="A97" s="996" t="s">
        <v>1020</v>
      </c>
      <c r="B97" s="997" t="s">
        <v>1021</v>
      </c>
      <c r="C97" s="998">
        <v>0</v>
      </c>
      <c r="D97" s="998">
        <v>0</v>
      </c>
      <c r="E97" s="998">
        <f t="shared" si="9"/>
        <v>0</v>
      </c>
      <c r="F97" s="998">
        <v>0</v>
      </c>
    </row>
    <row r="98" spans="1:6" ht="12.75" customHeight="1" x14ac:dyDescent="0.25">
      <c r="A98" s="996" t="s">
        <v>1022</v>
      </c>
      <c r="B98" s="997" t="s">
        <v>1023</v>
      </c>
      <c r="C98" s="998">
        <v>0</v>
      </c>
      <c r="D98" s="998">
        <v>0</v>
      </c>
      <c r="E98" s="998">
        <f t="shared" si="9"/>
        <v>0</v>
      </c>
      <c r="F98" s="998">
        <v>0</v>
      </c>
    </row>
    <row r="99" spans="1:6" ht="12.75" customHeight="1" thickBot="1" x14ac:dyDescent="0.3">
      <c r="A99" s="999" t="s">
        <v>1024</v>
      </c>
      <c r="B99" s="1000" t="s">
        <v>1025</v>
      </c>
      <c r="C99" s="1001">
        <v>340</v>
      </c>
      <c r="D99" s="1001">
        <v>340</v>
      </c>
      <c r="E99" s="1001">
        <f t="shared" si="9"/>
        <v>0</v>
      </c>
      <c r="F99" s="1001">
        <v>0</v>
      </c>
    </row>
    <row r="100" spans="1:6" ht="12.75" customHeight="1" thickBot="1" x14ac:dyDescent="0.3">
      <c r="A100" s="660" t="s">
        <v>1026</v>
      </c>
      <c r="B100" s="661" t="s">
        <v>1027</v>
      </c>
      <c r="C100" s="986">
        <f>C94+C93+C86+C75+C69+C61</f>
        <v>2516771.7399999988</v>
      </c>
      <c r="D100" s="986">
        <f t="shared" ref="D100:F100" si="12">D94+D93+D86+D75+D69+D61</f>
        <v>2639526.1300000008</v>
      </c>
      <c r="E100" s="986">
        <f t="shared" si="12"/>
        <v>122754.39000000041</v>
      </c>
      <c r="F100" s="986">
        <f t="shared" si="12"/>
        <v>-299944.12000000005</v>
      </c>
    </row>
    <row r="101" spans="1:6" ht="12.75" customHeight="1" thickBot="1" x14ac:dyDescent="0.3">
      <c r="A101" s="1248"/>
      <c r="B101" s="1249"/>
      <c r="C101" s="1249"/>
      <c r="D101" s="1249"/>
      <c r="E101" s="1249"/>
      <c r="F101" s="1250"/>
    </row>
    <row r="102" spans="1:6" ht="12.75" customHeight="1" thickBot="1" x14ac:dyDescent="0.3">
      <c r="A102" s="989" t="s">
        <v>1028</v>
      </c>
      <c r="B102" s="990" t="s">
        <v>1029</v>
      </c>
      <c r="C102" s="987">
        <f>C103+C104+C105+C106+C107</f>
        <v>0</v>
      </c>
      <c r="D102" s="987">
        <f t="shared" ref="D102:F102" si="13">D103+D104+D105+D106+D107</f>
        <v>0</v>
      </c>
      <c r="E102" s="987">
        <f t="shared" si="13"/>
        <v>0</v>
      </c>
      <c r="F102" s="987">
        <f t="shared" si="13"/>
        <v>0</v>
      </c>
    </row>
    <row r="103" spans="1:6" ht="12.75" customHeight="1" x14ac:dyDescent="0.25">
      <c r="A103" s="996" t="s">
        <v>1030</v>
      </c>
      <c r="B103" s="997" t="s">
        <v>1031</v>
      </c>
      <c r="C103" s="998">
        <v>0</v>
      </c>
      <c r="D103" s="998">
        <v>0</v>
      </c>
      <c r="E103" s="998">
        <v>0</v>
      </c>
      <c r="F103" s="998">
        <v>0</v>
      </c>
    </row>
    <row r="104" spans="1:6" ht="12.75" customHeight="1" x14ac:dyDescent="0.25">
      <c r="A104" s="996" t="s">
        <v>1032</v>
      </c>
      <c r="B104" s="997" t="s">
        <v>1033</v>
      </c>
      <c r="C104" s="998">
        <v>0</v>
      </c>
      <c r="D104" s="998">
        <v>0</v>
      </c>
      <c r="E104" s="998">
        <f t="shared" si="9"/>
        <v>0</v>
      </c>
      <c r="F104" s="998">
        <v>0</v>
      </c>
    </row>
    <row r="105" spans="1:6" ht="12.75" customHeight="1" x14ac:dyDescent="0.25">
      <c r="A105" s="996" t="s">
        <v>1034</v>
      </c>
      <c r="B105" s="997">
        <v>100</v>
      </c>
      <c r="C105" s="998">
        <v>0</v>
      </c>
      <c r="D105" s="998">
        <v>0</v>
      </c>
      <c r="E105" s="998">
        <f t="shared" si="9"/>
        <v>0</v>
      </c>
      <c r="F105" s="998">
        <v>0</v>
      </c>
    </row>
    <row r="106" spans="1:6" ht="12.75" customHeight="1" x14ac:dyDescent="0.25">
      <c r="A106" s="996" t="s">
        <v>1035</v>
      </c>
      <c r="B106" s="997">
        <v>101</v>
      </c>
      <c r="C106" s="998">
        <v>0</v>
      </c>
      <c r="D106" s="998">
        <v>0</v>
      </c>
      <c r="E106" s="998">
        <f t="shared" si="9"/>
        <v>0</v>
      </c>
      <c r="F106" s="998">
        <v>0</v>
      </c>
    </row>
    <row r="107" spans="1:6" ht="12.75" customHeight="1" thickBot="1" x14ac:dyDescent="0.3">
      <c r="A107" s="1002" t="s">
        <v>1036</v>
      </c>
      <c r="B107" s="1003">
        <v>102</v>
      </c>
      <c r="C107" s="1004">
        <v>0</v>
      </c>
      <c r="D107" s="1004">
        <v>0</v>
      </c>
      <c r="E107" s="1004">
        <f t="shared" si="9"/>
        <v>0</v>
      </c>
      <c r="F107" s="1004">
        <v>0</v>
      </c>
    </row>
    <row r="108" spans="1:6" ht="12.75" customHeight="1" thickBot="1" x14ac:dyDescent="0.3">
      <c r="A108" s="993" t="s">
        <v>1037</v>
      </c>
      <c r="B108" s="994">
        <v>103</v>
      </c>
      <c r="C108" s="995">
        <v>0</v>
      </c>
      <c r="D108" s="995">
        <v>340.85</v>
      </c>
      <c r="E108" s="995">
        <f t="shared" si="9"/>
        <v>340.85</v>
      </c>
      <c r="F108" s="995">
        <v>340.85</v>
      </c>
    </row>
    <row r="109" spans="1:6" ht="12.75" customHeight="1" thickBot="1" x14ac:dyDescent="0.3">
      <c r="A109" s="993" t="s">
        <v>1038</v>
      </c>
      <c r="B109" s="994">
        <v>104</v>
      </c>
      <c r="C109" s="995">
        <v>2531673.13</v>
      </c>
      <c r="D109" s="995">
        <v>2631739.85</v>
      </c>
      <c r="E109" s="995">
        <f t="shared" si="9"/>
        <v>100066.7200000002</v>
      </c>
      <c r="F109" s="995">
        <v>100066.72</v>
      </c>
    </row>
    <row r="110" spans="1:6" ht="12.75" customHeight="1" thickBot="1" x14ac:dyDescent="0.3">
      <c r="A110" s="993" t="s">
        <v>1039</v>
      </c>
      <c r="B110" s="994">
        <v>105</v>
      </c>
      <c r="C110" s="995">
        <v>439265.94</v>
      </c>
      <c r="D110" s="995">
        <v>432295.27</v>
      </c>
      <c r="E110" s="995">
        <f t="shared" si="9"/>
        <v>-6970.6699999999837</v>
      </c>
      <c r="F110" s="995">
        <v>-6970.67</v>
      </c>
    </row>
    <row r="111" spans="1:6" ht="12.75" customHeight="1" thickBot="1" x14ac:dyDescent="0.3">
      <c r="A111" s="993" t="s">
        <v>1040</v>
      </c>
      <c r="B111" s="994">
        <v>106</v>
      </c>
      <c r="C111" s="995">
        <v>0</v>
      </c>
      <c r="D111" s="995">
        <v>0</v>
      </c>
      <c r="E111" s="995">
        <f t="shared" si="9"/>
        <v>0</v>
      </c>
      <c r="F111" s="995">
        <v>0</v>
      </c>
    </row>
    <row r="112" spans="1:6" ht="12.75" customHeight="1" thickBot="1" x14ac:dyDescent="0.3">
      <c r="A112" s="993" t="s">
        <v>1563</v>
      </c>
      <c r="B112" s="994">
        <v>107</v>
      </c>
      <c r="C112" s="995">
        <v>0</v>
      </c>
      <c r="D112" s="995">
        <v>0</v>
      </c>
      <c r="E112" s="995">
        <f t="shared" si="9"/>
        <v>0</v>
      </c>
      <c r="F112" s="995">
        <v>0</v>
      </c>
    </row>
    <row r="113" spans="1:6" ht="12.75" customHeight="1" thickBot="1" x14ac:dyDescent="0.3">
      <c r="A113" s="993" t="s">
        <v>1041</v>
      </c>
      <c r="B113" s="994">
        <v>108</v>
      </c>
      <c r="C113" s="995">
        <v>11980.82</v>
      </c>
      <c r="D113" s="995">
        <v>8872.73</v>
      </c>
      <c r="E113" s="995">
        <f t="shared" si="9"/>
        <v>-3108.09</v>
      </c>
      <c r="F113" s="995">
        <v>-3108.09</v>
      </c>
    </row>
    <row r="114" spans="1:6" ht="12.75" customHeight="1" thickBot="1" x14ac:dyDescent="0.3">
      <c r="A114" s="993" t="s">
        <v>1042</v>
      </c>
      <c r="B114" s="994">
        <v>109</v>
      </c>
      <c r="C114" s="995">
        <v>0</v>
      </c>
      <c r="D114" s="995">
        <v>-8872.73</v>
      </c>
      <c r="E114" s="995">
        <f t="shared" si="9"/>
        <v>-8872.73</v>
      </c>
      <c r="F114" s="995">
        <v>-8872.73</v>
      </c>
    </row>
    <row r="115" spans="1:6" ht="12.75" customHeight="1" thickBot="1" x14ac:dyDescent="0.3">
      <c r="A115" s="660" t="s">
        <v>1043</v>
      </c>
      <c r="B115" s="661">
        <v>110</v>
      </c>
      <c r="C115" s="986">
        <f>C102+C108+C109+C110+C111+C112+C113+C114</f>
        <v>2982919.8899999997</v>
      </c>
      <c r="D115" s="986">
        <f t="shared" ref="D115:F115" si="14">D102+D108+D109+D110+D111+D112+D113+D114</f>
        <v>3064375.97</v>
      </c>
      <c r="E115" s="986">
        <f t="shared" si="14"/>
        <v>81456.080000000235</v>
      </c>
      <c r="F115" s="986">
        <f t="shared" si="14"/>
        <v>81456.080000000016</v>
      </c>
    </row>
    <row r="116" spans="1:6" ht="12.75" customHeight="1" thickBot="1" x14ac:dyDescent="0.3">
      <c r="A116" s="1251"/>
      <c r="B116" s="1252"/>
      <c r="C116" s="1252"/>
      <c r="D116" s="1252"/>
      <c r="E116" s="1252"/>
      <c r="F116" s="1253"/>
    </row>
    <row r="117" spans="1:6" ht="12.75" customHeight="1" thickBot="1" x14ac:dyDescent="0.3">
      <c r="A117" s="660" t="s">
        <v>1044</v>
      </c>
      <c r="B117" s="661">
        <v>111</v>
      </c>
      <c r="C117" s="986">
        <f>C115+C100+C59</f>
        <v>5692988.6799999988</v>
      </c>
      <c r="D117" s="986">
        <f>D115+D100+D59</f>
        <v>5838930.2900000019</v>
      </c>
      <c r="E117" s="986">
        <f t="shared" si="9"/>
        <v>145941.61000000313</v>
      </c>
      <c r="F117" s="986">
        <v>-88877.67</v>
      </c>
    </row>
    <row r="118" spans="1:6" ht="12.75" customHeight="1" thickBot="1" x14ac:dyDescent="0.3">
      <c r="A118" s="660" t="s">
        <v>1045</v>
      </c>
      <c r="B118" s="661">
        <v>112</v>
      </c>
      <c r="C118" s="986">
        <v>591237.72</v>
      </c>
      <c r="D118" s="986">
        <v>502360.06</v>
      </c>
      <c r="E118" s="986">
        <f t="shared" si="9"/>
        <v>-88877.659999999974</v>
      </c>
      <c r="F118" s="986">
        <v>88877.66</v>
      </c>
    </row>
  </sheetData>
  <customSheetViews>
    <customSheetView guid="{2AF6EA2A-E5C5-45EB-B6C4-875AD1E4E056}">
      <selection activeCell="A2" sqref="A2"/>
      <pageMargins left="0.70866141732283472" right="0.70866141732283472" top="0.78740157480314965" bottom="0.78740157480314965" header="0.31496062992125984" footer="0.31496062992125984"/>
      <pageSetup paperSize="9" scale="80" orientation="portrait" r:id="rId1"/>
    </customSheetView>
  </customSheetViews>
  <mergeCells count="3">
    <mergeCell ref="A60:F60"/>
    <mergeCell ref="A101:F101"/>
    <mergeCell ref="A116:F116"/>
  </mergeCells>
  <pageMargins left="0.70866141732283472" right="0.70866141732283472" top="0.78740157480314965" bottom="0.78740157480314965" header="0.31496062992125984" footer="0.31496062992125984"/>
  <pageSetup paperSize="9" scale="80"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
  <dimension ref="A1:S64"/>
  <sheetViews>
    <sheetView zoomScale="96" zoomScaleNormal="96" workbookViewId="0">
      <selection activeCell="O20" sqref="O20"/>
    </sheetView>
  </sheetViews>
  <sheetFormatPr defaultRowHeight="12.75" x14ac:dyDescent="0.25"/>
  <cols>
    <col min="1" max="1" width="1.42578125" style="16" customWidth="1"/>
    <col min="2" max="2" width="4.42578125" style="16" customWidth="1"/>
    <col min="3" max="3" width="3.140625" style="16" customWidth="1"/>
    <col min="4" max="5" width="6.140625" style="16" customWidth="1"/>
    <col min="6" max="6" width="43.5703125" style="16" customWidth="1"/>
    <col min="7" max="7" width="5.28515625" style="28" customWidth="1"/>
    <col min="8" max="13" width="11.5703125" style="16" customWidth="1"/>
    <col min="14" max="14" width="2" style="397" customWidth="1"/>
    <col min="15" max="16384" width="9.140625" style="16"/>
  </cols>
  <sheetData>
    <row r="1" spans="1:19" ht="22.5" customHeight="1" x14ac:dyDescent="0.25">
      <c r="A1" s="393" t="s">
        <v>1082</v>
      </c>
      <c r="B1" s="394"/>
      <c r="C1" s="394"/>
      <c r="D1" s="394"/>
      <c r="E1" s="394"/>
      <c r="F1" s="395"/>
      <c r="G1" s="396"/>
      <c r="H1" s="1005"/>
      <c r="I1" s="1005"/>
      <c r="J1" s="1005"/>
      <c r="K1" s="1005"/>
      <c r="L1" s="1005"/>
      <c r="M1" s="1005"/>
    </row>
    <row r="2" spans="1:19" ht="16.5" thickBot="1" x14ac:dyDescent="0.3">
      <c r="A2" s="393"/>
      <c r="B2" s="394"/>
      <c r="C2" s="394"/>
      <c r="D2" s="394"/>
      <c r="E2" s="394"/>
      <c r="F2" s="395"/>
      <c r="G2" s="396"/>
      <c r="H2" s="1094"/>
      <c r="I2" s="1094"/>
      <c r="J2" s="1094"/>
      <c r="K2" s="1094"/>
      <c r="L2" s="394"/>
      <c r="M2" s="396" t="s">
        <v>1127</v>
      </c>
      <c r="N2" s="398"/>
    </row>
    <row r="3" spans="1:19" ht="14.25" customHeight="1" x14ac:dyDescent="0.25">
      <c r="A3" s="1265" t="s">
        <v>710</v>
      </c>
      <c r="B3" s="1266"/>
      <c r="C3" s="1266"/>
      <c r="D3" s="1266"/>
      <c r="E3" s="1266"/>
      <c r="F3" s="1267"/>
      <c r="G3" s="1274" t="s">
        <v>460</v>
      </c>
      <c r="H3" s="1263" t="s">
        <v>711</v>
      </c>
      <c r="I3" s="1277"/>
      <c r="J3" s="1263" t="s">
        <v>712</v>
      </c>
      <c r="K3" s="1277"/>
      <c r="L3" s="1263" t="s">
        <v>713</v>
      </c>
      <c r="M3" s="1264"/>
      <c r="N3" s="399"/>
    </row>
    <row r="4" spans="1:19" ht="13.5" customHeight="1" x14ac:dyDescent="0.25">
      <c r="A4" s="1268"/>
      <c r="B4" s="1269"/>
      <c r="C4" s="1269"/>
      <c r="D4" s="1269"/>
      <c r="E4" s="1269"/>
      <c r="F4" s="1270"/>
      <c r="G4" s="1275"/>
      <c r="H4" s="536" t="s">
        <v>714</v>
      </c>
      <c r="I4" s="534" t="s">
        <v>461</v>
      </c>
      <c r="J4" s="536" t="s">
        <v>619</v>
      </c>
      <c r="K4" s="534" t="s">
        <v>461</v>
      </c>
      <c r="L4" s="536" t="s">
        <v>619</v>
      </c>
      <c r="M4" s="535" t="s">
        <v>461</v>
      </c>
      <c r="N4" s="400"/>
    </row>
    <row r="5" spans="1:19" ht="11.25" customHeight="1" thickBot="1" x14ac:dyDescent="0.3">
      <c r="A5" s="1271"/>
      <c r="B5" s="1272"/>
      <c r="C5" s="1272"/>
      <c r="D5" s="1272"/>
      <c r="E5" s="1272"/>
      <c r="F5" s="1273"/>
      <c r="G5" s="1276"/>
      <c r="H5" s="531">
        <v>1</v>
      </c>
      <c r="I5" s="532">
        <v>2</v>
      </c>
      <c r="J5" s="531">
        <v>3</v>
      </c>
      <c r="K5" s="532">
        <v>4</v>
      </c>
      <c r="L5" s="531">
        <v>5</v>
      </c>
      <c r="M5" s="533">
        <v>6</v>
      </c>
      <c r="N5" s="401"/>
    </row>
    <row r="6" spans="1:19" ht="12.75" customHeight="1" x14ac:dyDescent="0.25">
      <c r="A6" s="1260" t="s">
        <v>795</v>
      </c>
      <c r="B6" s="1261"/>
      <c r="C6" s="1261"/>
      <c r="D6" s="1261"/>
      <c r="E6" s="1261"/>
      <c r="F6" s="1262"/>
      <c r="G6" s="475">
        <v>1</v>
      </c>
      <c r="H6" s="574">
        <f t="shared" ref="H6:M6" si="0">+H7+H32</f>
        <v>793364.37400000007</v>
      </c>
      <c r="I6" s="575">
        <f t="shared" si="0"/>
        <v>825544.679</v>
      </c>
      <c r="J6" s="574">
        <f t="shared" si="0"/>
        <v>217909</v>
      </c>
      <c r="K6" s="575">
        <f t="shared" si="0"/>
        <v>229629</v>
      </c>
      <c r="L6" s="574">
        <f t="shared" si="0"/>
        <v>1011273.3740000001</v>
      </c>
      <c r="M6" s="576">
        <f t="shared" si="0"/>
        <v>1055173.679</v>
      </c>
      <c r="N6" s="400"/>
      <c r="P6" s="1095"/>
      <c r="Q6" s="1095"/>
      <c r="R6" s="1095"/>
      <c r="S6" s="1095"/>
    </row>
    <row r="7" spans="1:19" ht="12.75" customHeight="1" x14ac:dyDescent="0.25">
      <c r="A7" s="402"/>
      <c r="B7" s="1254" t="s">
        <v>796</v>
      </c>
      <c r="C7" s="1254"/>
      <c r="D7" s="1254"/>
      <c r="E7" s="1254"/>
      <c r="F7" s="1255"/>
      <c r="G7" s="477">
        <f>G6+1</f>
        <v>2</v>
      </c>
      <c r="H7" s="577">
        <f t="shared" ref="H7:M7" si="1">+H8+H18+H25</f>
        <v>772932.37400000007</v>
      </c>
      <c r="I7" s="578">
        <f t="shared" si="1"/>
        <v>805175.679</v>
      </c>
      <c r="J7" s="577">
        <f t="shared" si="1"/>
        <v>217909</v>
      </c>
      <c r="K7" s="578">
        <f t="shared" si="1"/>
        <v>229629</v>
      </c>
      <c r="L7" s="577">
        <f t="shared" si="1"/>
        <v>990841.37400000007</v>
      </c>
      <c r="M7" s="579">
        <f t="shared" si="1"/>
        <v>1034804.679</v>
      </c>
      <c r="N7" s="400"/>
      <c r="O7" s="129"/>
      <c r="P7" s="1096"/>
      <c r="Q7" s="1096"/>
      <c r="R7" s="1096"/>
      <c r="S7" s="1096"/>
    </row>
    <row r="8" spans="1:19" ht="12.75" customHeight="1" x14ac:dyDescent="0.25">
      <c r="A8" s="403"/>
      <c r="B8" s="404"/>
      <c r="C8" s="405" t="s">
        <v>715</v>
      </c>
      <c r="D8" s="406" t="s">
        <v>797</v>
      </c>
      <c r="E8" s="404"/>
      <c r="F8" s="407"/>
      <c r="G8" s="478">
        <f t="shared" ref="G8:G34" si="2">G7+1</f>
        <v>3</v>
      </c>
      <c r="H8" s="580">
        <f t="shared" ref="H8:M8" si="3">+H9+H12</f>
        <v>720729.37400000007</v>
      </c>
      <c r="I8" s="581">
        <f t="shared" si="3"/>
        <v>753319.679</v>
      </c>
      <c r="J8" s="580">
        <f t="shared" si="3"/>
        <v>214839</v>
      </c>
      <c r="K8" s="581">
        <f t="shared" si="3"/>
        <v>226573</v>
      </c>
      <c r="L8" s="580">
        <f t="shared" si="3"/>
        <v>935568.37400000007</v>
      </c>
      <c r="M8" s="582">
        <f t="shared" si="3"/>
        <v>979892.679</v>
      </c>
      <c r="N8" s="400"/>
      <c r="O8" s="129"/>
      <c r="P8" s="129"/>
    </row>
    <row r="9" spans="1:19" ht="12.75" customHeight="1" x14ac:dyDescent="0.25">
      <c r="A9" s="408"/>
      <c r="B9" s="409"/>
      <c r="C9" s="409"/>
      <c r="D9" s="409" t="s">
        <v>462</v>
      </c>
      <c r="E9" s="409" t="s">
        <v>854</v>
      </c>
      <c r="F9" s="410"/>
      <c r="G9" s="473">
        <f t="shared" si="2"/>
        <v>4</v>
      </c>
      <c r="H9" s="583">
        <f t="shared" ref="H9:M9" si="4">+H10+H11</f>
        <v>31420</v>
      </c>
      <c r="I9" s="584">
        <f t="shared" si="4"/>
        <v>64084.6</v>
      </c>
      <c r="J9" s="583">
        <f t="shared" si="4"/>
        <v>133467</v>
      </c>
      <c r="K9" s="584">
        <f t="shared" si="4"/>
        <v>145520</v>
      </c>
      <c r="L9" s="583">
        <f t="shared" si="4"/>
        <v>164887</v>
      </c>
      <c r="M9" s="585">
        <f t="shared" si="4"/>
        <v>209604.6</v>
      </c>
      <c r="N9" s="400"/>
      <c r="O9" s="129"/>
      <c r="P9" s="129"/>
    </row>
    <row r="10" spans="1:19" ht="12.75" customHeight="1" x14ac:dyDescent="0.25">
      <c r="A10" s="537"/>
      <c r="B10" s="418"/>
      <c r="C10" s="418"/>
      <c r="D10" s="418"/>
      <c r="E10" s="418" t="s">
        <v>715</v>
      </c>
      <c r="F10" s="418" t="s">
        <v>717</v>
      </c>
      <c r="G10" s="416">
        <f t="shared" si="2"/>
        <v>5</v>
      </c>
      <c r="H10" s="586">
        <f>'5.d'!G9+'5.d'!G10</f>
        <v>23616</v>
      </c>
      <c r="I10" s="587">
        <f>'5.d'!H9+'5.d'!H10</f>
        <v>35132</v>
      </c>
      <c r="J10" s="586">
        <f>'5.d'!I9+'5.d'!I10</f>
        <v>0</v>
      </c>
      <c r="K10" s="587">
        <f>'5.d'!J9+'5.d'!J10</f>
        <v>0</v>
      </c>
      <c r="L10" s="586">
        <f>+H10+J10</f>
        <v>23616</v>
      </c>
      <c r="M10" s="588">
        <f>+I10+K10</f>
        <v>35132</v>
      </c>
      <c r="N10" s="417"/>
      <c r="O10" s="129"/>
      <c r="P10" s="129"/>
    </row>
    <row r="11" spans="1:19" ht="12.75" customHeight="1" x14ac:dyDescent="0.25">
      <c r="A11" s="537"/>
      <c r="B11" s="418"/>
      <c r="C11" s="418"/>
      <c r="D11" s="418"/>
      <c r="E11" s="394"/>
      <c r="F11" s="418" t="s">
        <v>718</v>
      </c>
      <c r="G11" s="416">
        <f t="shared" si="2"/>
        <v>6</v>
      </c>
      <c r="H11" s="586">
        <f>'5.d'!G11+'5.d'!G15</f>
        <v>7804</v>
      </c>
      <c r="I11" s="587">
        <f>'5.d'!H11+'5.d'!H15</f>
        <v>28952.6</v>
      </c>
      <c r="J11" s="586">
        <f>'5.d'!I11+'5.d'!I15</f>
        <v>133467</v>
      </c>
      <c r="K11" s="587">
        <f>'5.d'!J11+'5.d'!J15</f>
        <v>145520</v>
      </c>
      <c r="L11" s="586">
        <f>+H11+J11</f>
        <v>141271</v>
      </c>
      <c r="M11" s="588">
        <f>+I11+K11</f>
        <v>174472.6</v>
      </c>
      <c r="N11" s="417"/>
      <c r="O11" s="129"/>
      <c r="P11" s="129"/>
    </row>
    <row r="12" spans="1:19" ht="12.75" customHeight="1" x14ac:dyDescent="0.25">
      <c r="A12" s="408"/>
      <c r="B12" s="409"/>
      <c r="C12" s="409"/>
      <c r="D12" s="409"/>
      <c r="E12" s="409" t="s">
        <v>798</v>
      </c>
      <c r="F12" s="410"/>
      <c r="G12" s="473">
        <f>G11+1</f>
        <v>7</v>
      </c>
      <c r="H12" s="583">
        <f t="shared" ref="H12:M12" si="5">+H13+H17</f>
        <v>689309.37400000007</v>
      </c>
      <c r="I12" s="584">
        <f t="shared" si="5"/>
        <v>689235.07900000003</v>
      </c>
      <c r="J12" s="583">
        <f t="shared" si="5"/>
        <v>81372</v>
      </c>
      <c r="K12" s="584">
        <f t="shared" si="5"/>
        <v>81053</v>
      </c>
      <c r="L12" s="583">
        <f t="shared" si="5"/>
        <v>770681.37400000007</v>
      </c>
      <c r="M12" s="585">
        <f t="shared" si="5"/>
        <v>770288.07900000003</v>
      </c>
      <c r="N12" s="400"/>
      <c r="O12" s="129"/>
      <c r="P12" s="129"/>
    </row>
    <row r="13" spans="1:19" s="411" customFormat="1" ht="12.75" customHeight="1" x14ac:dyDescent="0.25">
      <c r="A13" s="538"/>
      <c r="B13" s="418"/>
      <c r="C13" s="418"/>
      <c r="D13" s="418"/>
      <c r="E13" s="418" t="s">
        <v>715</v>
      </c>
      <c r="F13" s="418" t="s">
        <v>799</v>
      </c>
      <c r="G13" s="476">
        <f t="shared" si="2"/>
        <v>8</v>
      </c>
      <c r="H13" s="586">
        <f>+H14+H15+H16</f>
        <v>512767.37400000001</v>
      </c>
      <c r="I13" s="587">
        <f t="shared" ref="I13:M13" si="6">+I14+I15+I16</f>
        <v>512744.07900000003</v>
      </c>
      <c r="J13" s="586">
        <f t="shared" si="6"/>
        <v>64222</v>
      </c>
      <c r="K13" s="587">
        <f t="shared" si="6"/>
        <v>63973</v>
      </c>
      <c r="L13" s="586">
        <f t="shared" si="6"/>
        <v>576989.37400000007</v>
      </c>
      <c r="M13" s="588">
        <f t="shared" si="6"/>
        <v>576717.07900000003</v>
      </c>
      <c r="N13" s="417"/>
      <c r="O13" s="318"/>
      <c r="P13" s="318"/>
    </row>
    <row r="14" spans="1:19" s="411" customFormat="1" ht="12.75" customHeight="1" x14ac:dyDescent="0.25">
      <c r="A14" s="538"/>
      <c r="B14" s="418"/>
      <c r="C14" s="418"/>
      <c r="D14" s="418"/>
      <c r="E14" s="394"/>
      <c r="F14" s="418" t="s">
        <v>793</v>
      </c>
      <c r="G14" s="476">
        <f t="shared" si="2"/>
        <v>9</v>
      </c>
      <c r="H14" s="586">
        <f>'5.a'!D8</f>
        <v>501454.07900000003</v>
      </c>
      <c r="I14" s="587">
        <f>'5.a'!E8</f>
        <v>501454.07900000003</v>
      </c>
      <c r="J14" s="586">
        <f>'5.a'!F8</f>
        <v>16306</v>
      </c>
      <c r="K14" s="587">
        <f>'5.a'!G8</f>
        <v>16306</v>
      </c>
      <c r="L14" s="586">
        <f t="shared" ref="L14:M17" si="7">+H14+J14</f>
        <v>517760.07900000003</v>
      </c>
      <c r="M14" s="588">
        <f t="shared" si="7"/>
        <v>517760.07900000003</v>
      </c>
      <c r="N14" s="417"/>
      <c r="O14" s="318"/>
      <c r="P14" s="318"/>
    </row>
    <row r="15" spans="1:19" s="411" customFormat="1" ht="12.75" customHeight="1" x14ac:dyDescent="0.25">
      <c r="A15" s="539"/>
      <c r="B15" s="418"/>
      <c r="C15" s="418"/>
      <c r="D15" s="418"/>
      <c r="E15" s="418"/>
      <c r="F15" s="418" t="s">
        <v>792</v>
      </c>
      <c r="G15" s="476">
        <f t="shared" si="2"/>
        <v>10</v>
      </c>
      <c r="H15" s="586">
        <f>'5.c'!D9</f>
        <v>0</v>
      </c>
      <c r="I15" s="587">
        <f>'5.c'!E9</f>
        <v>0</v>
      </c>
      <c r="J15" s="586">
        <f>'5.c'!F9</f>
        <v>43356</v>
      </c>
      <c r="K15" s="587">
        <f>'5.c'!G9</f>
        <v>43109</v>
      </c>
      <c r="L15" s="586">
        <f t="shared" si="7"/>
        <v>43356</v>
      </c>
      <c r="M15" s="588">
        <f t="shared" si="7"/>
        <v>43109</v>
      </c>
      <c r="N15" s="417"/>
      <c r="O15" s="318"/>
      <c r="P15" s="318"/>
    </row>
    <row r="16" spans="1:19" s="411" customFormat="1" ht="12.75" customHeight="1" x14ac:dyDescent="0.25">
      <c r="A16" s="538"/>
      <c r="B16" s="418"/>
      <c r="C16" s="418"/>
      <c r="D16" s="418"/>
      <c r="E16" s="394"/>
      <c r="F16" s="418" t="s">
        <v>794</v>
      </c>
      <c r="G16" s="476">
        <f t="shared" si="2"/>
        <v>11</v>
      </c>
      <c r="H16" s="586">
        <f>'5.a'!D18</f>
        <v>11313.295</v>
      </c>
      <c r="I16" s="587">
        <f>'5.a'!E18</f>
        <v>11290</v>
      </c>
      <c r="J16" s="586">
        <f>'5.a'!F18</f>
        <v>4560</v>
      </c>
      <c r="K16" s="587">
        <f>'5.a'!G18</f>
        <v>4558</v>
      </c>
      <c r="L16" s="586">
        <f t="shared" si="7"/>
        <v>15873.295</v>
      </c>
      <c r="M16" s="588">
        <f t="shared" si="7"/>
        <v>15848</v>
      </c>
      <c r="N16" s="417"/>
      <c r="O16" s="318"/>
      <c r="P16" s="318"/>
    </row>
    <row r="17" spans="1:16" s="411" customFormat="1" ht="12.75" customHeight="1" x14ac:dyDescent="0.25">
      <c r="A17" s="540"/>
      <c r="B17" s="418"/>
      <c r="C17" s="418"/>
      <c r="D17" s="418"/>
      <c r="E17" s="418"/>
      <c r="F17" s="418" t="s">
        <v>718</v>
      </c>
      <c r="G17" s="476">
        <f t="shared" si="2"/>
        <v>12</v>
      </c>
      <c r="H17" s="586">
        <f>'5.b'!C7</f>
        <v>176542</v>
      </c>
      <c r="I17" s="587">
        <f>'5.b'!D7</f>
        <v>176491</v>
      </c>
      <c r="J17" s="586">
        <f>'5.b'!E7</f>
        <v>17150</v>
      </c>
      <c r="K17" s="587">
        <f>'5.b'!F7</f>
        <v>17080</v>
      </c>
      <c r="L17" s="586">
        <f t="shared" si="7"/>
        <v>193692</v>
      </c>
      <c r="M17" s="588">
        <f t="shared" si="7"/>
        <v>193571</v>
      </c>
      <c r="N17" s="417"/>
      <c r="O17" s="318"/>
      <c r="P17" s="318"/>
    </row>
    <row r="18" spans="1:16" ht="12.75" customHeight="1" x14ac:dyDescent="0.25">
      <c r="A18" s="403"/>
      <c r="B18" s="404"/>
      <c r="C18" s="405"/>
      <c r="D18" s="406" t="s">
        <v>800</v>
      </c>
      <c r="E18" s="404"/>
      <c r="F18" s="407"/>
      <c r="G18" s="478">
        <f t="shared" si="2"/>
        <v>13</v>
      </c>
      <c r="H18" s="580">
        <f t="shared" ref="H18:M18" si="8">+H19+H22</f>
        <v>52013</v>
      </c>
      <c r="I18" s="581">
        <f t="shared" si="8"/>
        <v>51666</v>
      </c>
      <c r="J18" s="580">
        <f t="shared" si="8"/>
        <v>3070</v>
      </c>
      <c r="K18" s="581">
        <f t="shared" si="8"/>
        <v>3056</v>
      </c>
      <c r="L18" s="580">
        <f t="shared" si="8"/>
        <v>55083</v>
      </c>
      <c r="M18" s="582">
        <f t="shared" si="8"/>
        <v>54722</v>
      </c>
      <c r="N18" s="400"/>
    </row>
    <row r="19" spans="1:16" ht="12.75" customHeight="1" x14ac:dyDescent="0.25">
      <c r="A19" s="408"/>
      <c r="B19" s="409"/>
      <c r="C19" s="409"/>
      <c r="D19" s="409" t="s">
        <v>462</v>
      </c>
      <c r="E19" s="409" t="s">
        <v>801</v>
      </c>
      <c r="F19" s="410"/>
      <c r="G19" s="473">
        <f t="shared" si="2"/>
        <v>14</v>
      </c>
      <c r="H19" s="583">
        <f t="shared" ref="H19:M19" si="9">+H20+H21</f>
        <v>0</v>
      </c>
      <c r="I19" s="584">
        <f t="shared" si="9"/>
        <v>0</v>
      </c>
      <c r="J19" s="583">
        <f t="shared" si="9"/>
        <v>0</v>
      </c>
      <c r="K19" s="584">
        <f t="shared" si="9"/>
        <v>0</v>
      </c>
      <c r="L19" s="583">
        <f t="shared" si="9"/>
        <v>0</v>
      </c>
      <c r="M19" s="585">
        <f t="shared" si="9"/>
        <v>0</v>
      </c>
      <c r="N19" s="400"/>
    </row>
    <row r="20" spans="1:16" ht="12.75" customHeight="1" x14ac:dyDescent="0.25">
      <c r="A20" s="537"/>
      <c r="B20" s="418"/>
      <c r="C20" s="418"/>
      <c r="D20" s="418"/>
      <c r="E20" s="418" t="s">
        <v>715</v>
      </c>
      <c r="F20" s="418" t="s">
        <v>717</v>
      </c>
      <c r="G20" s="476">
        <f t="shared" si="2"/>
        <v>15</v>
      </c>
      <c r="H20" s="586">
        <v>0</v>
      </c>
      <c r="I20" s="587">
        <v>0</v>
      </c>
      <c r="J20" s="586">
        <v>0</v>
      </c>
      <c r="K20" s="587">
        <v>0</v>
      </c>
      <c r="L20" s="586">
        <f>+H20+J20</f>
        <v>0</v>
      </c>
      <c r="M20" s="588">
        <f>+I20+K20</f>
        <v>0</v>
      </c>
      <c r="N20" s="417"/>
    </row>
    <row r="21" spans="1:16" ht="12.75" customHeight="1" x14ac:dyDescent="0.25">
      <c r="A21" s="537"/>
      <c r="B21" s="418"/>
      <c r="C21" s="418"/>
      <c r="D21" s="418"/>
      <c r="E21" s="394"/>
      <c r="F21" s="418" t="s">
        <v>718</v>
      </c>
      <c r="G21" s="476">
        <f t="shared" si="2"/>
        <v>16</v>
      </c>
      <c r="H21" s="586">
        <v>0</v>
      </c>
      <c r="I21" s="587">
        <v>0</v>
      </c>
      <c r="J21" s="586">
        <v>0</v>
      </c>
      <c r="K21" s="587">
        <v>0</v>
      </c>
      <c r="L21" s="586">
        <f>+H21+J21</f>
        <v>0</v>
      </c>
      <c r="M21" s="588">
        <f>+I21+K21</f>
        <v>0</v>
      </c>
      <c r="N21" s="417"/>
    </row>
    <row r="22" spans="1:16" ht="12.75" customHeight="1" x14ac:dyDescent="0.25">
      <c r="A22" s="408"/>
      <c r="B22" s="409"/>
      <c r="C22" s="409"/>
      <c r="D22" s="409"/>
      <c r="E22" s="409" t="s">
        <v>802</v>
      </c>
      <c r="F22" s="410"/>
      <c r="G22" s="473">
        <f>G21+1</f>
        <v>17</v>
      </c>
      <c r="H22" s="583">
        <f t="shared" ref="H22:M22" si="10">+H23+H24</f>
        <v>52013</v>
      </c>
      <c r="I22" s="584">
        <f t="shared" si="10"/>
        <v>51666</v>
      </c>
      <c r="J22" s="583">
        <f t="shared" si="10"/>
        <v>3070</v>
      </c>
      <c r="K22" s="584">
        <f t="shared" si="10"/>
        <v>3056</v>
      </c>
      <c r="L22" s="583">
        <f t="shared" si="10"/>
        <v>55083</v>
      </c>
      <c r="M22" s="585">
        <f t="shared" si="10"/>
        <v>54722</v>
      </c>
      <c r="N22" s="400"/>
    </row>
    <row r="23" spans="1:16" ht="12.75" customHeight="1" x14ac:dyDescent="0.25">
      <c r="A23" s="538"/>
      <c r="B23" s="418"/>
      <c r="C23" s="418"/>
      <c r="D23" s="418"/>
      <c r="E23" s="418" t="s">
        <v>715</v>
      </c>
      <c r="F23" s="418" t="s">
        <v>717</v>
      </c>
      <c r="G23" s="476">
        <f t="shared" si="2"/>
        <v>18</v>
      </c>
      <c r="H23" s="586">
        <f>'5.a'!D26</f>
        <v>0</v>
      </c>
      <c r="I23" s="587">
        <f>'5.a'!E26</f>
        <v>0</v>
      </c>
      <c r="J23" s="586">
        <f>'5.a'!F26</f>
        <v>0</v>
      </c>
      <c r="K23" s="587">
        <f>'5.a'!G26</f>
        <v>0</v>
      </c>
      <c r="L23" s="586">
        <f>+H23+J23</f>
        <v>0</v>
      </c>
      <c r="M23" s="588">
        <f>+I23+K23</f>
        <v>0</v>
      </c>
      <c r="N23" s="417"/>
    </row>
    <row r="24" spans="1:16" ht="12.75" customHeight="1" x14ac:dyDescent="0.25">
      <c r="A24" s="540"/>
      <c r="B24" s="418"/>
      <c r="C24" s="418"/>
      <c r="D24" s="418"/>
      <c r="E24" s="394"/>
      <c r="F24" s="418" t="s">
        <v>718</v>
      </c>
      <c r="G24" s="476">
        <f t="shared" si="2"/>
        <v>19</v>
      </c>
      <c r="H24" s="586">
        <f>'5.b'!C24</f>
        <v>52013</v>
      </c>
      <c r="I24" s="587">
        <f>'5.b'!D24</f>
        <v>51666</v>
      </c>
      <c r="J24" s="586">
        <f>'5.b'!E24</f>
        <v>3070</v>
      </c>
      <c r="K24" s="587">
        <f>'5.b'!F24</f>
        <v>3056</v>
      </c>
      <c r="L24" s="586">
        <f>+H24+J24</f>
        <v>55083</v>
      </c>
      <c r="M24" s="588">
        <f>+I24+K24</f>
        <v>54722</v>
      </c>
      <c r="N24" s="417"/>
    </row>
    <row r="25" spans="1:16" ht="12.75" customHeight="1" x14ac:dyDescent="0.25">
      <c r="A25" s="403"/>
      <c r="B25" s="404"/>
      <c r="C25" s="405"/>
      <c r="D25" s="406" t="s">
        <v>803</v>
      </c>
      <c r="E25" s="404"/>
      <c r="F25" s="407"/>
      <c r="G25" s="478">
        <f t="shared" si="2"/>
        <v>20</v>
      </c>
      <c r="H25" s="580">
        <f t="shared" ref="H25:M25" si="11">+H26+H29</f>
        <v>190</v>
      </c>
      <c r="I25" s="581">
        <f t="shared" si="11"/>
        <v>190</v>
      </c>
      <c r="J25" s="580">
        <f t="shared" si="11"/>
        <v>0</v>
      </c>
      <c r="K25" s="581">
        <f t="shared" si="11"/>
        <v>0</v>
      </c>
      <c r="L25" s="580">
        <f t="shared" si="11"/>
        <v>190</v>
      </c>
      <c r="M25" s="582">
        <f t="shared" si="11"/>
        <v>190</v>
      </c>
      <c r="N25" s="400"/>
    </row>
    <row r="26" spans="1:16" ht="12.75" customHeight="1" x14ac:dyDescent="0.25">
      <c r="A26" s="408"/>
      <c r="B26" s="409"/>
      <c r="C26" s="409"/>
      <c r="D26" s="409" t="s">
        <v>462</v>
      </c>
      <c r="E26" s="409" t="s">
        <v>804</v>
      </c>
      <c r="F26" s="410"/>
      <c r="G26" s="473">
        <f t="shared" si="2"/>
        <v>21</v>
      </c>
      <c r="H26" s="583">
        <f t="shared" ref="H26:M26" si="12">+H27+H28</f>
        <v>0</v>
      </c>
      <c r="I26" s="584">
        <f t="shared" si="12"/>
        <v>0</v>
      </c>
      <c r="J26" s="583">
        <f t="shared" si="12"/>
        <v>0</v>
      </c>
      <c r="K26" s="584">
        <f t="shared" si="12"/>
        <v>0</v>
      </c>
      <c r="L26" s="583">
        <f t="shared" si="12"/>
        <v>0</v>
      </c>
      <c r="M26" s="585">
        <f t="shared" si="12"/>
        <v>0</v>
      </c>
      <c r="N26" s="400"/>
    </row>
    <row r="27" spans="1:16" ht="12.75" customHeight="1" x14ac:dyDescent="0.25">
      <c r="A27" s="537"/>
      <c r="B27" s="418"/>
      <c r="C27" s="418"/>
      <c r="D27" s="418"/>
      <c r="E27" s="418" t="s">
        <v>715</v>
      </c>
      <c r="F27" s="418" t="s">
        <v>717</v>
      </c>
      <c r="G27" s="476">
        <f t="shared" si="2"/>
        <v>22</v>
      </c>
      <c r="H27" s="586">
        <v>0</v>
      </c>
      <c r="I27" s="587">
        <v>0</v>
      </c>
      <c r="J27" s="586">
        <v>0</v>
      </c>
      <c r="K27" s="587">
        <v>0</v>
      </c>
      <c r="L27" s="586">
        <f>+H27+J27</f>
        <v>0</v>
      </c>
      <c r="M27" s="588">
        <f>+I27+K27</f>
        <v>0</v>
      </c>
      <c r="N27" s="417"/>
    </row>
    <row r="28" spans="1:16" ht="12.75" customHeight="1" x14ac:dyDescent="0.25">
      <c r="A28" s="537"/>
      <c r="B28" s="418"/>
      <c r="C28" s="418"/>
      <c r="D28" s="418"/>
      <c r="E28" s="394"/>
      <c r="F28" s="418" t="s">
        <v>718</v>
      </c>
      <c r="G28" s="476">
        <f t="shared" si="2"/>
        <v>23</v>
      </c>
      <c r="H28" s="586">
        <v>0</v>
      </c>
      <c r="I28" s="587">
        <v>0</v>
      </c>
      <c r="J28" s="586">
        <v>0</v>
      </c>
      <c r="K28" s="587">
        <v>0</v>
      </c>
      <c r="L28" s="586">
        <f>+H28+J28</f>
        <v>0</v>
      </c>
      <c r="M28" s="588">
        <f>+I28+K28</f>
        <v>0</v>
      </c>
      <c r="N28" s="417"/>
    </row>
    <row r="29" spans="1:16" ht="13.5" customHeight="1" x14ac:dyDescent="0.25">
      <c r="A29" s="408"/>
      <c r="B29" s="409"/>
      <c r="C29" s="409"/>
      <c r="D29" s="409"/>
      <c r="E29" s="409" t="s">
        <v>869</v>
      </c>
      <c r="F29" s="410"/>
      <c r="G29" s="473">
        <f t="shared" si="2"/>
        <v>24</v>
      </c>
      <c r="H29" s="583">
        <f t="shared" ref="H29:M29" si="13">+H30+H31</f>
        <v>190</v>
      </c>
      <c r="I29" s="584">
        <f t="shared" si="13"/>
        <v>190</v>
      </c>
      <c r="J29" s="583">
        <f t="shared" si="13"/>
        <v>0</v>
      </c>
      <c r="K29" s="584">
        <f t="shared" si="13"/>
        <v>0</v>
      </c>
      <c r="L29" s="583">
        <f t="shared" si="13"/>
        <v>190</v>
      </c>
      <c r="M29" s="585">
        <f t="shared" si="13"/>
        <v>190</v>
      </c>
      <c r="N29" s="417"/>
    </row>
    <row r="30" spans="1:16" ht="13.5" customHeight="1" x14ac:dyDescent="0.25">
      <c r="A30" s="538"/>
      <c r="B30" s="418"/>
      <c r="C30" s="418"/>
      <c r="D30" s="418"/>
      <c r="E30" s="418" t="s">
        <v>715</v>
      </c>
      <c r="F30" s="418" t="s">
        <v>717</v>
      </c>
      <c r="G30" s="476">
        <f t="shared" si="2"/>
        <v>25</v>
      </c>
      <c r="H30" s="586">
        <f>'5.a'!D29</f>
        <v>190</v>
      </c>
      <c r="I30" s="587">
        <f>'5.a'!E29</f>
        <v>190</v>
      </c>
      <c r="J30" s="586">
        <f>'5.a'!F29</f>
        <v>0</v>
      </c>
      <c r="K30" s="587">
        <f>'5.a'!G29</f>
        <v>0</v>
      </c>
      <c r="L30" s="586">
        <f>+H30+J30</f>
        <v>190</v>
      </c>
      <c r="M30" s="588">
        <f>+I30+K30</f>
        <v>190</v>
      </c>
      <c r="N30" s="417"/>
    </row>
    <row r="31" spans="1:16" ht="13.5" customHeight="1" x14ac:dyDescent="0.25">
      <c r="A31" s="540"/>
      <c r="B31" s="418"/>
      <c r="C31" s="418"/>
      <c r="D31" s="418"/>
      <c r="E31" s="394"/>
      <c r="F31" s="418" t="s">
        <v>718</v>
      </c>
      <c r="G31" s="476">
        <f t="shared" si="2"/>
        <v>26</v>
      </c>
      <c r="H31" s="586">
        <f>'5.b'!C37</f>
        <v>0</v>
      </c>
      <c r="I31" s="587">
        <f>'5.b'!D37</f>
        <v>0</v>
      </c>
      <c r="J31" s="586">
        <f>'5.b'!E37</f>
        <v>0</v>
      </c>
      <c r="K31" s="587">
        <f>'5.b'!F37</f>
        <v>0</v>
      </c>
      <c r="L31" s="586">
        <f>+H31+J31</f>
        <v>0</v>
      </c>
      <c r="M31" s="588">
        <f>+I31+K31</f>
        <v>0</v>
      </c>
      <c r="N31" s="417"/>
    </row>
    <row r="32" spans="1:16" ht="12.75" customHeight="1" x14ac:dyDescent="0.25">
      <c r="A32" s="402"/>
      <c r="B32" s="1254" t="s">
        <v>805</v>
      </c>
      <c r="C32" s="1254"/>
      <c r="D32" s="1254" t="s">
        <v>617</v>
      </c>
      <c r="E32" s="1254" t="s">
        <v>716</v>
      </c>
      <c r="F32" s="1255"/>
      <c r="G32" s="477">
        <f>G31+1</f>
        <v>27</v>
      </c>
      <c r="H32" s="577">
        <f t="shared" ref="H32:M32" si="14">+H33+H34</f>
        <v>20432</v>
      </c>
      <c r="I32" s="578">
        <f t="shared" si="14"/>
        <v>20369</v>
      </c>
      <c r="J32" s="577">
        <f t="shared" si="14"/>
        <v>0</v>
      </c>
      <c r="K32" s="578">
        <f t="shared" si="14"/>
        <v>0</v>
      </c>
      <c r="L32" s="577">
        <f t="shared" si="14"/>
        <v>20432</v>
      </c>
      <c r="M32" s="579">
        <f t="shared" si="14"/>
        <v>20369</v>
      </c>
      <c r="N32" s="400"/>
    </row>
    <row r="33" spans="1:16" s="411" customFormat="1" ht="12.75" customHeight="1" x14ac:dyDescent="0.25">
      <c r="A33" s="538"/>
      <c r="B33" s="413"/>
      <c r="C33" s="413"/>
      <c r="D33" s="413"/>
      <c r="E33" s="414" t="s">
        <v>717</v>
      </c>
      <c r="F33" s="415"/>
      <c r="G33" s="476">
        <f>G32+1</f>
        <v>28</v>
      </c>
      <c r="H33" s="586">
        <f>'5.a'!D34</f>
        <v>8473</v>
      </c>
      <c r="I33" s="587">
        <f>'5.a'!E34</f>
        <v>8410</v>
      </c>
      <c r="J33" s="586">
        <f>'5.a'!F34</f>
        <v>0</v>
      </c>
      <c r="K33" s="587">
        <f>'5.a'!G34</f>
        <v>0</v>
      </c>
      <c r="L33" s="586">
        <f>+H33+J33</f>
        <v>8473</v>
      </c>
      <c r="M33" s="588">
        <f>+I33+K33</f>
        <v>8410</v>
      </c>
      <c r="N33" s="417"/>
    </row>
    <row r="34" spans="1:16" s="411" customFormat="1" ht="12.75" customHeight="1" thickBot="1" x14ac:dyDescent="0.3">
      <c r="A34" s="541"/>
      <c r="B34" s="431"/>
      <c r="C34" s="431"/>
      <c r="D34" s="431"/>
      <c r="E34" s="503" t="s">
        <v>718</v>
      </c>
      <c r="F34" s="504"/>
      <c r="G34" s="505">
        <f t="shared" si="2"/>
        <v>29</v>
      </c>
      <c r="H34" s="589">
        <f>'5.b'!C38</f>
        <v>11959</v>
      </c>
      <c r="I34" s="590">
        <f>'5.b'!D38</f>
        <v>11959</v>
      </c>
      <c r="J34" s="589">
        <f>'5.b'!E38</f>
        <v>0</v>
      </c>
      <c r="K34" s="590">
        <f>'5.b'!F38</f>
        <v>0</v>
      </c>
      <c r="L34" s="589">
        <f>+H34+J34</f>
        <v>11959</v>
      </c>
      <c r="M34" s="591">
        <f>+I34+K34</f>
        <v>11959</v>
      </c>
      <c r="N34" s="417"/>
    </row>
    <row r="35" spans="1:16" s="411" customFormat="1" ht="12.75" customHeight="1" thickBot="1" x14ac:dyDescent="0.3">
      <c r="A35" s="419"/>
      <c r="B35" s="419"/>
      <c r="C35" s="419"/>
      <c r="D35" s="419"/>
      <c r="E35" s="419"/>
      <c r="F35" s="419"/>
      <c r="G35" s="419"/>
      <c r="H35" s="592"/>
      <c r="I35" s="592"/>
      <c r="J35" s="592"/>
      <c r="K35" s="592"/>
      <c r="L35" s="592"/>
      <c r="M35" s="592"/>
      <c r="N35" s="420"/>
    </row>
    <row r="36" spans="1:16" ht="12.75" customHeight="1" x14ac:dyDescent="0.25">
      <c r="A36" s="1260" t="s">
        <v>806</v>
      </c>
      <c r="B36" s="1261"/>
      <c r="C36" s="1261"/>
      <c r="D36" s="1261"/>
      <c r="E36" s="1261"/>
      <c r="F36" s="1262"/>
      <c r="G36" s="475">
        <f>G34+1</f>
        <v>30</v>
      </c>
      <c r="H36" s="574">
        <f t="shared" ref="H36:M36" si="15">+H37+H42</f>
        <v>793364.37400000007</v>
      </c>
      <c r="I36" s="575">
        <f t="shared" si="15"/>
        <v>825544.679</v>
      </c>
      <c r="J36" s="574">
        <f t="shared" si="15"/>
        <v>217909</v>
      </c>
      <c r="K36" s="575">
        <f t="shared" si="15"/>
        <v>229629</v>
      </c>
      <c r="L36" s="574">
        <f t="shared" si="15"/>
        <v>1011273.3740000001</v>
      </c>
      <c r="M36" s="576">
        <f t="shared" si="15"/>
        <v>1055173.679</v>
      </c>
      <c r="N36" s="400"/>
      <c r="O36" s="411"/>
      <c r="P36" s="411"/>
    </row>
    <row r="37" spans="1:16" ht="12.75" customHeight="1" x14ac:dyDescent="0.25">
      <c r="A37" s="408"/>
      <c r="B37" s="409"/>
      <c r="C37" s="421" t="s">
        <v>715</v>
      </c>
      <c r="D37" s="409" t="s">
        <v>807</v>
      </c>
      <c r="E37" s="409"/>
      <c r="F37" s="410"/>
      <c r="G37" s="473">
        <f t="shared" ref="G37:G55" si="16">G36+1</f>
        <v>31</v>
      </c>
      <c r="H37" s="583">
        <f t="shared" ref="H37:M37" si="17">+H38+H39+H40+H41</f>
        <v>545046.37400000007</v>
      </c>
      <c r="I37" s="584">
        <f t="shared" si="17"/>
        <v>556476.07900000003</v>
      </c>
      <c r="J37" s="583">
        <f t="shared" si="17"/>
        <v>64222</v>
      </c>
      <c r="K37" s="584">
        <f t="shared" si="17"/>
        <v>63973</v>
      </c>
      <c r="L37" s="583">
        <f t="shared" si="17"/>
        <v>609268.37400000007</v>
      </c>
      <c r="M37" s="585">
        <f t="shared" si="17"/>
        <v>620449.07900000003</v>
      </c>
      <c r="N37" s="426"/>
      <c r="O37" s="411"/>
      <c r="P37" s="411"/>
    </row>
    <row r="38" spans="1:16" ht="12.75" customHeight="1" x14ac:dyDescent="0.25">
      <c r="A38" s="412"/>
      <c r="B38" s="413"/>
      <c r="C38" s="413"/>
      <c r="D38" s="427" t="s">
        <v>715</v>
      </c>
      <c r="E38" s="424" t="s">
        <v>808</v>
      </c>
      <c r="F38" s="428"/>
      <c r="G38" s="416">
        <f t="shared" si="16"/>
        <v>32</v>
      </c>
      <c r="H38" s="586">
        <f t="shared" ref="H38:M38" si="18">+H10+H13</f>
        <v>536383.37400000007</v>
      </c>
      <c r="I38" s="587">
        <f t="shared" si="18"/>
        <v>547876.07900000003</v>
      </c>
      <c r="J38" s="586">
        <f t="shared" si="18"/>
        <v>64222</v>
      </c>
      <c r="K38" s="587">
        <f t="shared" si="18"/>
        <v>63973</v>
      </c>
      <c r="L38" s="586">
        <f t="shared" si="18"/>
        <v>600605.37400000007</v>
      </c>
      <c r="M38" s="588">
        <f t="shared" si="18"/>
        <v>611849.07900000003</v>
      </c>
      <c r="N38" s="426"/>
      <c r="O38" s="411"/>
      <c r="P38" s="411"/>
    </row>
    <row r="39" spans="1:16" ht="12.75" customHeight="1" x14ac:dyDescent="0.25">
      <c r="A39" s="412"/>
      <c r="B39" s="413"/>
      <c r="C39" s="413"/>
      <c r="D39" s="413"/>
      <c r="E39" s="424" t="s">
        <v>809</v>
      </c>
      <c r="F39" s="428"/>
      <c r="G39" s="416">
        <f t="shared" si="16"/>
        <v>33</v>
      </c>
      <c r="H39" s="586">
        <f t="shared" ref="H39:M39" si="19">+H20+H23</f>
        <v>0</v>
      </c>
      <c r="I39" s="587">
        <f t="shared" si="19"/>
        <v>0</v>
      </c>
      <c r="J39" s="586">
        <f t="shared" si="19"/>
        <v>0</v>
      </c>
      <c r="K39" s="587">
        <f t="shared" si="19"/>
        <v>0</v>
      </c>
      <c r="L39" s="586">
        <f t="shared" si="19"/>
        <v>0</v>
      </c>
      <c r="M39" s="588">
        <f t="shared" si="19"/>
        <v>0</v>
      </c>
      <c r="N39" s="426"/>
      <c r="O39" s="411"/>
      <c r="P39" s="411"/>
    </row>
    <row r="40" spans="1:16" ht="12.75" customHeight="1" x14ac:dyDescent="0.25">
      <c r="A40" s="412"/>
      <c r="B40" s="413"/>
      <c r="C40" s="413"/>
      <c r="D40" s="413"/>
      <c r="E40" s="424" t="s">
        <v>810</v>
      </c>
      <c r="F40" s="428"/>
      <c r="G40" s="416">
        <f t="shared" si="16"/>
        <v>34</v>
      </c>
      <c r="H40" s="586">
        <f t="shared" ref="H40:M40" si="20">+H27+H30</f>
        <v>190</v>
      </c>
      <c r="I40" s="587">
        <f t="shared" si="20"/>
        <v>190</v>
      </c>
      <c r="J40" s="586">
        <f t="shared" si="20"/>
        <v>0</v>
      </c>
      <c r="K40" s="587">
        <f t="shared" si="20"/>
        <v>0</v>
      </c>
      <c r="L40" s="586">
        <f t="shared" si="20"/>
        <v>190</v>
      </c>
      <c r="M40" s="588">
        <f t="shared" si="20"/>
        <v>190</v>
      </c>
      <c r="N40" s="429"/>
      <c r="O40" s="411"/>
      <c r="P40" s="411"/>
    </row>
    <row r="41" spans="1:16" ht="12.75" customHeight="1" x14ac:dyDescent="0.25">
      <c r="A41" s="412"/>
      <c r="B41" s="413"/>
      <c r="C41" s="413"/>
      <c r="D41" s="427"/>
      <c r="E41" s="418" t="s">
        <v>811</v>
      </c>
      <c r="F41" s="428"/>
      <c r="G41" s="416">
        <f t="shared" si="16"/>
        <v>35</v>
      </c>
      <c r="H41" s="586">
        <f t="shared" ref="H41:M41" si="21">+H33</f>
        <v>8473</v>
      </c>
      <c r="I41" s="587">
        <f t="shared" si="21"/>
        <v>8410</v>
      </c>
      <c r="J41" s="586">
        <f t="shared" si="21"/>
        <v>0</v>
      </c>
      <c r="K41" s="587">
        <f t="shared" si="21"/>
        <v>0</v>
      </c>
      <c r="L41" s="586">
        <f t="shared" si="21"/>
        <v>8473</v>
      </c>
      <c r="M41" s="588">
        <f t="shared" si="21"/>
        <v>8410</v>
      </c>
      <c r="N41" s="429"/>
      <c r="O41" s="411"/>
      <c r="P41" s="411"/>
    </row>
    <row r="42" spans="1:16" ht="12.75" customHeight="1" x14ac:dyDescent="0.25">
      <c r="A42" s="408"/>
      <c r="B42" s="409"/>
      <c r="C42" s="422"/>
      <c r="D42" s="409" t="s">
        <v>812</v>
      </c>
      <c r="E42" s="409"/>
      <c r="F42" s="410"/>
      <c r="G42" s="473">
        <f t="shared" si="16"/>
        <v>36</v>
      </c>
      <c r="H42" s="583">
        <f t="shared" ref="H42:M42" si="22">+H43+H44+H45+H46</f>
        <v>248318</v>
      </c>
      <c r="I42" s="584">
        <f t="shared" si="22"/>
        <v>269068.59999999998</v>
      </c>
      <c r="J42" s="583">
        <f t="shared" si="22"/>
        <v>153687</v>
      </c>
      <c r="K42" s="584">
        <f t="shared" si="22"/>
        <v>165656</v>
      </c>
      <c r="L42" s="583">
        <f t="shared" si="22"/>
        <v>402005</v>
      </c>
      <c r="M42" s="585">
        <f t="shared" si="22"/>
        <v>434724.6</v>
      </c>
      <c r="N42" s="429"/>
    </row>
    <row r="43" spans="1:16" ht="12.75" customHeight="1" x14ac:dyDescent="0.25">
      <c r="A43" s="423"/>
      <c r="B43" s="418"/>
      <c r="C43" s="424"/>
      <c r="D43" s="427" t="s">
        <v>715</v>
      </c>
      <c r="E43" s="424" t="s">
        <v>813</v>
      </c>
      <c r="F43" s="425"/>
      <c r="G43" s="416">
        <f t="shared" si="16"/>
        <v>37</v>
      </c>
      <c r="H43" s="586">
        <f t="shared" ref="H43:M43" si="23">+H11+H17</f>
        <v>184346</v>
      </c>
      <c r="I43" s="587">
        <f t="shared" si="23"/>
        <v>205443.6</v>
      </c>
      <c r="J43" s="586">
        <f t="shared" si="23"/>
        <v>150617</v>
      </c>
      <c r="K43" s="587">
        <f t="shared" si="23"/>
        <v>162600</v>
      </c>
      <c r="L43" s="586">
        <f t="shared" si="23"/>
        <v>334963</v>
      </c>
      <c r="M43" s="588">
        <f t="shared" si="23"/>
        <v>368043.6</v>
      </c>
      <c r="N43" s="426"/>
    </row>
    <row r="44" spans="1:16" ht="12.75" customHeight="1" x14ac:dyDescent="0.25">
      <c r="A44" s="423"/>
      <c r="B44" s="418"/>
      <c r="C44" s="424"/>
      <c r="D44" s="413"/>
      <c r="E44" s="424" t="s">
        <v>814</v>
      </c>
      <c r="F44" s="425"/>
      <c r="G44" s="416">
        <f t="shared" si="16"/>
        <v>38</v>
      </c>
      <c r="H44" s="586">
        <f t="shared" ref="H44:M44" si="24">+H21+H24</f>
        <v>52013</v>
      </c>
      <c r="I44" s="587">
        <f t="shared" si="24"/>
        <v>51666</v>
      </c>
      <c r="J44" s="586">
        <f t="shared" si="24"/>
        <v>3070</v>
      </c>
      <c r="K44" s="587">
        <f t="shared" si="24"/>
        <v>3056</v>
      </c>
      <c r="L44" s="586">
        <f t="shared" si="24"/>
        <v>55083</v>
      </c>
      <c r="M44" s="588">
        <f t="shared" si="24"/>
        <v>54722</v>
      </c>
      <c r="N44" s="429"/>
    </row>
    <row r="45" spans="1:16" ht="12.75" customHeight="1" x14ac:dyDescent="0.25">
      <c r="A45" s="412"/>
      <c r="B45" s="413"/>
      <c r="C45" s="413"/>
      <c r="D45" s="413"/>
      <c r="E45" s="424" t="s">
        <v>815</v>
      </c>
      <c r="F45" s="428"/>
      <c r="G45" s="416">
        <f t="shared" si="16"/>
        <v>39</v>
      </c>
      <c r="H45" s="586">
        <f t="shared" ref="H45:M45" si="25">+H28+H31</f>
        <v>0</v>
      </c>
      <c r="I45" s="587">
        <f t="shared" si="25"/>
        <v>0</v>
      </c>
      <c r="J45" s="586">
        <f t="shared" si="25"/>
        <v>0</v>
      </c>
      <c r="K45" s="587">
        <f t="shared" si="25"/>
        <v>0</v>
      </c>
      <c r="L45" s="586">
        <f t="shared" si="25"/>
        <v>0</v>
      </c>
      <c r="M45" s="588">
        <f t="shared" si="25"/>
        <v>0</v>
      </c>
      <c r="N45" s="429"/>
    </row>
    <row r="46" spans="1:16" ht="12.75" customHeight="1" x14ac:dyDescent="0.25">
      <c r="A46" s="412"/>
      <c r="B46" s="413"/>
      <c r="C46" s="413"/>
      <c r="D46" s="427"/>
      <c r="E46" s="418" t="s">
        <v>816</v>
      </c>
      <c r="F46" s="428"/>
      <c r="G46" s="416">
        <f t="shared" si="16"/>
        <v>40</v>
      </c>
      <c r="H46" s="586">
        <f t="shared" ref="H46:M46" si="26">+H34</f>
        <v>11959</v>
      </c>
      <c r="I46" s="587">
        <f t="shared" si="26"/>
        <v>11959</v>
      </c>
      <c r="J46" s="586">
        <f t="shared" si="26"/>
        <v>0</v>
      </c>
      <c r="K46" s="587">
        <f t="shared" si="26"/>
        <v>0</v>
      </c>
      <c r="L46" s="586">
        <f t="shared" si="26"/>
        <v>11959</v>
      </c>
      <c r="M46" s="588">
        <f t="shared" si="26"/>
        <v>11959</v>
      </c>
      <c r="N46" s="429"/>
    </row>
    <row r="47" spans="1:16" ht="12.75" customHeight="1" x14ac:dyDescent="0.25">
      <c r="A47" s="1257" t="s">
        <v>817</v>
      </c>
      <c r="B47" s="1258"/>
      <c r="C47" s="1258"/>
      <c r="D47" s="1258"/>
      <c r="E47" s="1258"/>
      <c r="F47" s="1259"/>
      <c r="G47" s="474">
        <f t="shared" si="16"/>
        <v>41</v>
      </c>
      <c r="H47" s="593">
        <f t="shared" ref="H47:M47" si="27">+H48+H52</f>
        <v>793364.37400000007</v>
      </c>
      <c r="I47" s="594">
        <f t="shared" si="27"/>
        <v>825544.679</v>
      </c>
      <c r="J47" s="593">
        <f t="shared" si="27"/>
        <v>217909</v>
      </c>
      <c r="K47" s="594">
        <f t="shared" si="27"/>
        <v>229629</v>
      </c>
      <c r="L47" s="593">
        <f t="shared" si="27"/>
        <v>1011273.3740000001</v>
      </c>
      <c r="M47" s="595">
        <f t="shared" si="27"/>
        <v>1055173.679</v>
      </c>
      <c r="N47" s="400"/>
    </row>
    <row r="48" spans="1:16" ht="12.75" customHeight="1" x14ac:dyDescent="0.25">
      <c r="A48" s="408"/>
      <c r="B48" s="409"/>
      <c r="C48" s="421" t="s">
        <v>715</v>
      </c>
      <c r="D48" s="409" t="s">
        <v>818</v>
      </c>
      <c r="E48" s="409"/>
      <c r="F48" s="410"/>
      <c r="G48" s="473">
        <f t="shared" si="16"/>
        <v>42</v>
      </c>
      <c r="H48" s="583">
        <f t="shared" ref="H48:M48" si="28">+H49+H50+H51</f>
        <v>545046.37400000007</v>
      </c>
      <c r="I48" s="584">
        <f t="shared" si="28"/>
        <v>556476.07900000003</v>
      </c>
      <c r="J48" s="583">
        <f t="shared" si="28"/>
        <v>64222</v>
      </c>
      <c r="K48" s="584">
        <f t="shared" si="28"/>
        <v>63973</v>
      </c>
      <c r="L48" s="583">
        <f t="shared" si="28"/>
        <v>609268.37400000007</v>
      </c>
      <c r="M48" s="585">
        <f t="shared" si="28"/>
        <v>620449.07900000003</v>
      </c>
      <c r="N48" s="426"/>
    </row>
    <row r="49" spans="1:14" ht="12.75" customHeight="1" x14ac:dyDescent="0.25">
      <c r="A49" s="412"/>
      <c r="B49" s="413"/>
      <c r="C49" s="413"/>
      <c r="D49" s="427" t="s">
        <v>715</v>
      </c>
      <c r="E49" s="418" t="s">
        <v>855</v>
      </c>
      <c r="F49" s="428"/>
      <c r="G49" s="416">
        <f t="shared" si="16"/>
        <v>43</v>
      </c>
      <c r="H49" s="586">
        <f t="shared" ref="H49:M49" si="29">+H10+H20+H27</f>
        <v>23616</v>
      </c>
      <c r="I49" s="587">
        <f t="shared" si="29"/>
        <v>35132</v>
      </c>
      <c r="J49" s="586">
        <f t="shared" si="29"/>
        <v>0</v>
      </c>
      <c r="K49" s="587">
        <f t="shared" si="29"/>
        <v>0</v>
      </c>
      <c r="L49" s="586">
        <f t="shared" si="29"/>
        <v>23616</v>
      </c>
      <c r="M49" s="588">
        <f t="shared" si="29"/>
        <v>35132</v>
      </c>
      <c r="N49" s="426"/>
    </row>
    <row r="50" spans="1:14" ht="12.75" customHeight="1" x14ac:dyDescent="0.25">
      <c r="A50" s="412"/>
      <c r="B50" s="413"/>
      <c r="C50" s="413"/>
      <c r="D50" s="413"/>
      <c r="E50" s="418" t="s">
        <v>819</v>
      </c>
      <c r="F50" s="428"/>
      <c r="G50" s="416">
        <f t="shared" si="16"/>
        <v>44</v>
      </c>
      <c r="H50" s="586">
        <f t="shared" ref="H50:M50" si="30">+H13+H23+H30</f>
        <v>512957.37400000001</v>
      </c>
      <c r="I50" s="587">
        <f t="shared" si="30"/>
        <v>512934.07900000003</v>
      </c>
      <c r="J50" s="586">
        <f t="shared" si="30"/>
        <v>64222</v>
      </c>
      <c r="K50" s="587">
        <f t="shared" si="30"/>
        <v>63973</v>
      </c>
      <c r="L50" s="586">
        <f t="shared" si="30"/>
        <v>577179.37400000007</v>
      </c>
      <c r="M50" s="588">
        <f t="shared" si="30"/>
        <v>576907.07900000003</v>
      </c>
      <c r="N50" s="426"/>
    </row>
    <row r="51" spans="1:14" ht="12.75" customHeight="1" x14ac:dyDescent="0.25">
      <c r="A51" s="412"/>
      <c r="B51" s="413"/>
      <c r="C51" s="413"/>
      <c r="D51" s="427"/>
      <c r="E51" s="418" t="s">
        <v>820</v>
      </c>
      <c r="F51" s="428"/>
      <c r="G51" s="416">
        <f t="shared" si="16"/>
        <v>45</v>
      </c>
      <c r="H51" s="586">
        <f t="shared" ref="H51:M51" si="31">+H33</f>
        <v>8473</v>
      </c>
      <c r="I51" s="587">
        <f t="shared" si="31"/>
        <v>8410</v>
      </c>
      <c r="J51" s="586">
        <f t="shared" si="31"/>
        <v>0</v>
      </c>
      <c r="K51" s="587">
        <f t="shared" si="31"/>
        <v>0</v>
      </c>
      <c r="L51" s="586">
        <f t="shared" si="31"/>
        <v>8473</v>
      </c>
      <c r="M51" s="588">
        <f t="shared" si="31"/>
        <v>8410</v>
      </c>
      <c r="N51" s="426"/>
    </row>
    <row r="52" spans="1:14" ht="12.75" customHeight="1" x14ac:dyDescent="0.25">
      <c r="A52" s="408"/>
      <c r="B52" s="409"/>
      <c r="C52" s="422"/>
      <c r="D52" s="409" t="s">
        <v>821</v>
      </c>
      <c r="E52" s="409"/>
      <c r="F52" s="410"/>
      <c r="G52" s="473">
        <f t="shared" si="16"/>
        <v>46</v>
      </c>
      <c r="H52" s="583">
        <f t="shared" ref="H52:M52" si="32">+H53+H54+H55</f>
        <v>248318</v>
      </c>
      <c r="I52" s="584">
        <f t="shared" si="32"/>
        <v>269068.59999999998</v>
      </c>
      <c r="J52" s="583">
        <f t="shared" si="32"/>
        <v>153687</v>
      </c>
      <c r="K52" s="584">
        <f t="shared" si="32"/>
        <v>165656</v>
      </c>
      <c r="L52" s="583">
        <f t="shared" si="32"/>
        <v>402005</v>
      </c>
      <c r="M52" s="585">
        <f t="shared" si="32"/>
        <v>434724.6</v>
      </c>
      <c r="N52" s="429"/>
    </row>
    <row r="53" spans="1:14" ht="12.75" customHeight="1" x14ac:dyDescent="0.25">
      <c r="A53" s="423"/>
      <c r="B53" s="418"/>
      <c r="C53" s="424"/>
      <c r="D53" s="427" t="s">
        <v>715</v>
      </c>
      <c r="E53" s="418" t="s">
        <v>856</v>
      </c>
      <c r="F53" s="425"/>
      <c r="G53" s="476">
        <f t="shared" si="16"/>
        <v>47</v>
      </c>
      <c r="H53" s="586">
        <f t="shared" ref="H53:M53" si="33">+H11+H21+H28</f>
        <v>7804</v>
      </c>
      <c r="I53" s="587">
        <f t="shared" si="33"/>
        <v>28952.6</v>
      </c>
      <c r="J53" s="586">
        <f t="shared" si="33"/>
        <v>133467</v>
      </c>
      <c r="K53" s="587">
        <f t="shared" si="33"/>
        <v>145520</v>
      </c>
      <c r="L53" s="586">
        <f t="shared" si="33"/>
        <v>141271</v>
      </c>
      <c r="M53" s="588">
        <f t="shared" si="33"/>
        <v>174472.6</v>
      </c>
      <c r="N53" s="417"/>
    </row>
    <row r="54" spans="1:14" ht="12.75" customHeight="1" x14ac:dyDescent="0.25">
      <c r="A54" s="423"/>
      <c r="B54" s="418"/>
      <c r="C54" s="424"/>
      <c r="D54" s="413"/>
      <c r="E54" s="418" t="s">
        <v>822</v>
      </c>
      <c r="F54" s="425"/>
      <c r="G54" s="476">
        <f t="shared" si="16"/>
        <v>48</v>
      </c>
      <c r="H54" s="586">
        <f t="shared" ref="H54:M54" si="34">+H17+H24+H31</f>
        <v>228555</v>
      </c>
      <c r="I54" s="587">
        <f t="shared" si="34"/>
        <v>228157</v>
      </c>
      <c r="J54" s="586">
        <f t="shared" si="34"/>
        <v>20220</v>
      </c>
      <c r="K54" s="587">
        <f t="shared" si="34"/>
        <v>20136</v>
      </c>
      <c r="L54" s="586">
        <f t="shared" si="34"/>
        <v>248775</v>
      </c>
      <c r="M54" s="588">
        <f t="shared" si="34"/>
        <v>248293</v>
      </c>
      <c r="N54" s="417"/>
    </row>
    <row r="55" spans="1:14" ht="12.75" customHeight="1" thickBot="1" x14ac:dyDescent="0.3">
      <c r="A55" s="430"/>
      <c r="B55" s="431"/>
      <c r="C55" s="431"/>
      <c r="D55" s="431"/>
      <c r="E55" s="432" t="s">
        <v>823</v>
      </c>
      <c r="F55" s="433"/>
      <c r="G55" s="434">
        <f t="shared" si="16"/>
        <v>49</v>
      </c>
      <c r="H55" s="589">
        <f t="shared" ref="H55:M55" si="35">+H34</f>
        <v>11959</v>
      </c>
      <c r="I55" s="590">
        <f t="shared" si="35"/>
        <v>11959</v>
      </c>
      <c r="J55" s="589">
        <f t="shared" si="35"/>
        <v>0</v>
      </c>
      <c r="K55" s="590">
        <f t="shared" si="35"/>
        <v>0</v>
      </c>
      <c r="L55" s="589">
        <f t="shared" si="35"/>
        <v>11959</v>
      </c>
      <c r="M55" s="591">
        <f t="shared" si="35"/>
        <v>11959</v>
      </c>
      <c r="N55" s="429"/>
    </row>
    <row r="56" spans="1:14" x14ac:dyDescent="0.25">
      <c r="A56" s="394"/>
      <c r="B56" s="394"/>
      <c r="C56" s="394"/>
      <c r="D56" s="394"/>
      <c r="E56" s="394"/>
      <c r="F56" s="394"/>
      <c r="G56" s="396"/>
      <c r="H56" s="394"/>
      <c r="I56" s="394"/>
      <c r="J56" s="394"/>
      <c r="K56" s="394"/>
      <c r="L56" s="394"/>
      <c r="M56" s="394"/>
    </row>
    <row r="57" spans="1:14" x14ac:dyDescent="0.25">
      <c r="A57" s="394" t="s">
        <v>616</v>
      </c>
      <c r="B57" s="394"/>
      <c r="C57" s="394"/>
      <c r="D57" s="395"/>
      <c r="E57" s="395"/>
      <c r="F57" s="394"/>
      <c r="G57" s="396"/>
      <c r="H57" s="394"/>
      <c r="I57" s="394"/>
      <c r="J57" s="394"/>
      <c r="K57" s="394"/>
      <c r="L57" s="394"/>
      <c r="M57" s="394"/>
    </row>
    <row r="58" spans="1:14" ht="30.75" customHeight="1" x14ac:dyDescent="0.25">
      <c r="A58" s="1256" t="s">
        <v>851</v>
      </c>
      <c r="B58" s="1256"/>
      <c r="C58" s="1256"/>
      <c r="D58" s="1256"/>
      <c r="E58" s="1256"/>
      <c r="F58" s="1256"/>
      <c r="G58" s="1256"/>
      <c r="H58" s="1256"/>
      <c r="I58" s="1256"/>
      <c r="J58" s="1256"/>
      <c r="K58" s="1256"/>
      <c r="L58" s="1256"/>
      <c r="M58" s="1256"/>
      <c r="N58" s="1256"/>
    </row>
    <row r="59" spans="1:14" ht="42.75" customHeight="1" x14ac:dyDescent="0.25">
      <c r="A59" s="1256" t="s">
        <v>853</v>
      </c>
      <c r="B59" s="1256"/>
      <c r="C59" s="1256"/>
      <c r="D59" s="1256"/>
      <c r="E59" s="1256"/>
      <c r="F59" s="1256"/>
      <c r="G59" s="1256"/>
      <c r="H59" s="1256"/>
      <c r="I59" s="1256"/>
      <c r="J59" s="1256"/>
      <c r="K59" s="1256"/>
      <c r="L59" s="1256"/>
      <c r="M59" s="1256"/>
      <c r="N59" s="1256"/>
    </row>
    <row r="60" spans="1:14" ht="17.25" customHeight="1" x14ac:dyDescent="0.25">
      <c r="A60" s="1256" t="s">
        <v>1122</v>
      </c>
      <c r="B60" s="1256"/>
      <c r="C60" s="1256"/>
      <c r="D60" s="1256"/>
      <c r="E60" s="1256"/>
      <c r="F60" s="1256"/>
      <c r="G60" s="1256"/>
      <c r="H60" s="1256"/>
      <c r="I60" s="1256"/>
      <c r="J60" s="1256"/>
      <c r="K60" s="1256"/>
      <c r="L60" s="1256"/>
      <c r="M60" s="1256"/>
      <c r="N60" s="1256"/>
    </row>
    <row r="61" spans="1:14" ht="15.75" customHeight="1" x14ac:dyDescent="0.25">
      <c r="A61" s="527" t="s">
        <v>1123</v>
      </c>
      <c r="B61" s="394"/>
      <c r="C61" s="394"/>
      <c r="D61" s="394"/>
      <c r="E61" s="394"/>
      <c r="F61" s="394"/>
      <c r="G61" s="396"/>
      <c r="H61" s="394"/>
      <c r="I61" s="394"/>
      <c r="J61" s="394"/>
      <c r="K61" s="394"/>
      <c r="L61" s="394"/>
      <c r="M61" s="394"/>
    </row>
    <row r="62" spans="1:14" x14ac:dyDescent="0.25">
      <c r="A62" s="394"/>
      <c r="B62" s="394"/>
      <c r="C62" s="394"/>
      <c r="D62" s="394"/>
      <c r="E62" s="394"/>
      <c r="F62" s="394"/>
      <c r="G62" s="396"/>
      <c r="H62" s="394"/>
      <c r="I62" s="394"/>
      <c r="J62" s="394"/>
      <c r="K62" s="394"/>
      <c r="L62" s="394"/>
      <c r="M62" s="394"/>
    </row>
    <row r="63" spans="1:14" x14ac:dyDescent="0.25">
      <c r="A63" s="394"/>
      <c r="B63" s="394"/>
      <c r="C63" s="394"/>
      <c r="D63" s="394"/>
      <c r="E63" s="394"/>
      <c r="F63" s="394"/>
      <c r="G63" s="396"/>
      <c r="H63" s="394"/>
      <c r="I63" s="394"/>
      <c r="J63" s="394"/>
      <c r="K63" s="394"/>
      <c r="L63" s="394"/>
      <c r="M63" s="394"/>
    </row>
    <row r="64" spans="1:14" x14ac:dyDescent="0.25">
      <c r="A64" s="394"/>
      <c r="B64" s="394"/>
      <c r="C64" s="394"/>
      <c r="D64" s="394"/>
      <c r="E64" s="394"/>
      <c r="F64" s="394"/>
      <c r="G64" s="396"/>
      <c r="H64" s="394"/>
      <c r="I64" s="394"/>
      <c r="J64" s="394"/>
      <c r="K64" s="394"/>
      <c r="L64" s="394"/>
      <c r="M64" s="394"/>
    </row>
  </sheetData>
  <customSheetViews>
    <customSheetView guid="{2AF6EA2A-E5C5-45EB-B6C4-875AD1E4E056}" scale="96">
      <selection activeCell="B1" sqref="B1"/>
      <pageMargins left="0.39370078740157483" right="0.39370078740157483" top="0.39370078740157483" bottom="0.39370078740157483" header="0" footer="0.15748031496062992"/>
      <pageSetup paperSize="9" scale="65" fitToHeight="3" orientation="portrait" r:id="rId1"/>
      <headerFooter alignWithMargins="0">
        <oddFooter>&amp;C&amp;P/&amp;N</oddFooter>
      </headerFooter>
    </customSheetView>
  </customSheetViews>
  <mergeCells count="13">
    <mergeCell ref="L3:M3"/>
    <mergeCell ref="B7:F7"/>
    <mergeCell ref="A6:F6"/>
    <mergeCell ref="A3:F5"/>
    <mergeCell ref="G3:G5"/>
    <mergeCell ref="H3:I3"/>
    <mergeCell ref="J3:K3"/>
    <mergeCell ref="B32:F32"/>
    <mergeCell ref="A58:N58"/>
    <mergeCell ref="A59:N59"/>
    <mergeCell ref="A60:N60"/>
    <mergeCell ref="A47:F47"/>
    <mergeCell ref="A36:F36"/>
  </mergeCells>
  <conditionalFormatting sqref="I1 L1:M1">
    <cfRule type="cellIs" dxfId="3" priority="4" operator="notEqual">
      <formula>0</formula>
    </cfRule>
  </conditionalFormatting>
  <conditionalFormatting sqref="J1">
    <cfRule type="cellIs" dxfId="2" priority="3" operator="notEqual">
      <formula>0</formula>
    </cfRule>
  </conditionalFormatting>
  <conditionalFormatting sqref="H1">
    <cfRule type="cellIs" dxfId="1" priority="2" operator="notEqual">
      <formula>0</formula>
    </cfRule>
  </conditionalFormatting>
  <conditionalFormatting sqref="K1">
    <cfRule type="cellIs" dxfId="0" priority="1" operator="notEqual">
      <formula>0</formula>
    </cfRule>
  </conditionalFormatting>
  <pageMargins left="0.39370078740157483" right="0.39370078740157483" top="0.39370078740157483" bottom="0.39370078740157483" header="0" footer="0.15748031496062992"/>
  <pageSetup paperSize="9" scale="65" fitToHeight="3" orientation="portrait" r:id="rId2"/>
  <headerFooter alignWithMargins="0">
    <oddFooter>&amp;C&amp;P/&amp;N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
    <tabColor rgb="FFFFFF00"/>
  </sheetPr>
  <dimension ref="A1:U53"/>
  <sheetViews>
    <sheetView zoomScale="89" zoomScaleNormal="89" workbookViewId="0">
      <selection activeCell="P15" sqref="P15"/>
    </sheetView>
  </sheetViews>
  <sheetFormatPr defaultColWidth="10.5703125" defaultRowHeight="15" x14ac:dyDescent="0.25"/>
  <cols>
    <col min="1" max="1" width="4.28515625" style="149" customWidth="1"/>
    <col min="2" max="2" width="6.7109375" style="149" customWidth="1"/>
    <col min="3" max="3" width="49.42578125" style="149" customWidth="1"/>
    <col min="4" max="4" width="12.28515625" style="149" customWidth="1"/>
    <col min="5" max="6" width="10.85546875" style="149" customWidth="1"/>
    <col min="7" max="8" width="11.28515625" style="149" customWidth="1"/>
    <col min="9" max="9" width="11.5703125" style="149" customWidth="1"/>
    <col min="10" max="10" width="9.7109375" style="149" customWidth="1"/>
    <col min="11" max="11" width="10" style="149" customWidth="1"/>
    <col min="12" max="12" width="10.140625" style="149" customWidth="1"/>
    <col min="13" max="13" width="13.7109375" style="149" customWidth="1"/>
    <col min="14" max="14" width="1.7109375" style="149" customWidth="1"/>
    <col min="15" max="15" width="11.28515625" style="149" customWidth="1"/>
    <col min="16" max="16" width="12" style="149" customWidth="1"/>
    <col min="17" max="249" width="9.140625" style="149" customWidth="1"/>
    <col min="250" max="250" width="59.7109375" style="149" customWidth="1"/>
    <col min="251" max="16384" width="10.5703125" style="149"/>
  </cols>
  <sheetData>
    <row r="1" spans="1:16" ht="15.75" x14ac:dyDescent="0.25">
      <c r="A1" s="448" t="s">
        <v>1083</v>
      </c>
    </row>
    <row r="2" spans="1:16" ht="15.75" x14ac:dyDescent="0.25">
      <c r="A2" s="448"/>
      <c r="C2" s="152" t="s">
        <v>867</v>
      </c>
    </row>
    <row r="3" spans="1:16" ht="13.5" customHeight="1" thickBot="1" x14ac:dyDescent="0.3">
      <c r="P3" s="459" t="s">
        <v>480</v>
      </c>
    </row>
    <row r="4" spans="1:16" ht="39" customHeight="1" x14ac:dyDescent="0.25">
      <c r="A4" s="1290" t="s">
        <v>460</v>
      </c>
      <c r="B4" s="1295" t="s">
        <v>746</v>
      </c>
      <c r="C4" s="1296"/>
      <c r="D4" s="1278" t="s">
        <v>691</v>
      </c>
      <c r="E4" s="1279"/>
      <c r="F4" s="1279" t="s">
        <v>692</v>
      </c>
      <c r="G4" s="1279"/>
      <c r="H4" s="1279" t="s">
        <v>693</v>
      </c>
      <c r="I4" s="1279"/>
      <c r="J4" s="1281" t="s">
        <v>1049</v>
      </c>
      <c r="K4" s="1282"/>
      <c r="L4" s="1283"/>
      <c r="M4" s="1288" t="s">
        <v>709</v>
      </c>
      <c r="N4" s="152"/>
      <c r="O4" s="1286" t="s">
        <v>1047</v>
      </c>
      <c r="P4" s="1284" t="s">
        <v>694</v>
      </c>
    </row>
    <row r="5" spans="1:16" ht="13.5" customHeight="1" x14ac:dyDescent="0.25">
      <c r="A5" s="1291"/>
      <c r="B5" s="1297"/>
      <c r="C5" s="1298"/>
      <c r="D5" s="442" t="s">
        <v>747</v>
      </c>
      <c r="E5" s="382" t="s">
        <v>748</v>
      </c>
      <c r="F5" s="442" t="s">
        <v>618</v>
      </c>
      <c r="G5" s="382" t="s">
        <v>623</v>
      </c>
      <c r="H5" s="442" t="s">
        <v>618</v>
      </c>
      <c r="I5" s="382" t="s">
        <v>623</v>
      </c>
      <c r="J5" s="450" t="s">
        <v>723</v>
      </c>
      <c r="K5" s="450" t="s">
        <v>724</v>
      </c>
      <c r="L5" s="450" t="s">
        <v>725</v>
      </c>
      <c r="M5" s="1289"/>
      <c r="N5" s="152"/>
      <c r="O5" s="1287"/>
      <c r="P5" s="1285"/>
    </row>
    <row r="6" spans="1:16" ht="15" customHeight="1" thickBot="1" x14ac:dyDescent="0.3">
      <c r="A6" s="1292"/>
      <c r="B6" s="1299"/>
      <c r="C6" s="1300"/>
      <c r="D6" s="383" t="s">
        <v>539</v>
      </c>
      <c r="E6" s="384" t="s">
        <v>540</v>
      </c>
      <c r="F6" s="384" t="s">
        <v>541</v>
      </c>
      <c r="G6" s="384" t="s">
        <v>542</v>
      </c>
      <c r="H6" s="384" t="s">
        <v>620</v>
      </c>
      <c r="I6" s="384" t="s">
        <v>621</v>
      </c>
      <c r="J6" s="385" t="s">
        <v>545</v>
      </c>
      <c r="K6" s="451" t="s">
        <v>546</v>
      </c>
      <c r="L6" s="451" t="s">
        <v>547</v>
      </c>
      <c r="M6" s="386" t="s">
        <v>824</v>
      </c>
      <c r="N6" s="152"/>
      <c r="O6" s="443" t="s">
        <v>588</v>
      </c>
      <c r="P6" s="386" t="s">
        <v>726</v>
      </c>
    </row>
    <row r="7" spans="1:16" s="154" customFormat="1" ht="16.5" customHeight="1" x14ac:dyDescent="0.25">
      <c r="A7" s="465">
        <f t="shared" ref="A7:A30" si="0">+A6+1</f>
        <v>1</v>
      </c>
      <c r="B7" s="462" t="s">
        <v>622</v>
      </c>
      <c r="C7" s="466"/>
      <c r="D7" s="630">
        <f>+D8+D18</f>
        <v>512767.37400000001</v>
      </c>
      <c r="E7" s="596">
        <f t="shared" ref="E7:M7" si="1">+E8+E18</f>
        <v>512744.07900000003</v>
      </c>
      <c r="F7" s="596">
        <f t="shared" si="1"/>
        <v>20866</v>
      </c>
      <c r="G7" s="596">
        <f t="shared" si="1"/>
        <v>20864</v>
      </c>
      <c r="H7" s="596">
        <f t="shared" si="1"/>
        <v>533633.37400000007</v>
      </c>
      <c r="I7" s="596">
        <f t="shared" si="1"/>
        <v>533608.07900000003</v>
      </c>
      <c r="J7" s="596">
        <f t="shared" si="1"/>
        <v>0</v>
      </c>
      <c r="K7" s="596">
        <f t="shared" si="1"/>
        <v>193350.86999999997</v>
      </c>
      <c r="L7" s="596">
        <f t="shared" si="1"/>
        <v>0</v>
      </c>
      <c r="M7" s="597">
        <f t="shared" si="1"/>
        <v>25.295000000000186</v>
      </c>
      <c r="N7" s="598"/>
      <c r="O7" s="599">
        <f>+O8+O18</f>
        <v>0</v>
      </c>
      <c r="P7" s="597">
        <f>+P8+P18</f>
        <v>533608.07900000003</v>
      </c>
    </row>
    <row r="8" spans="1:16" s="152" customFormat="1" ht="14.25" customHeight="1" x14ac:dyDescent="0.25">
      <c r="A8" s="461">
        <f t="shared" si="0"/>
        <v>2</v>
      </c>
      <c r="B8" s="1293" t="s">
        <v>834</v>
      </c>
      <c r="C8" s="1294"/>
      <c r="D8" s="631">
        <f>SUM(D9:D17)</f>
        <v>501454.07900000003</v>
      </c>
      <c r="E8" s="600">
        <f t="shared" ref="E8:M8" si="2">SUM(E9:E17)</f>
        <v>501454.07900000003</v>
      </c>
      <c r="F8" s="600">
        <f t="shared" si="2"/>
        <v>16306</v>
      </c>
      <c r="G8" s="600">
        <f t="shared" si="2"/>
        <v>16306</v>
      </c>
      <c r="H8" s="600">
        <f t="shared" si="2"/>
        <v>517760.07900000003</v>
      </c>
      <c r="I8" s="600">
        <f t="shared" si="2"/>
        <v>517760.07900000003</v>
      </c>
      <c r="J8" s="600">
        <f t="shared" si="2"/>
        <v>0</v>
      </c>
      <c r="K8" s="600">
        <f t="shared" si="2"/>
        <v>193350.86999999997</v>
      </c>
      <c r="L8" s="600">
        <f t="shared" si="2"/>
        <v>0</v>
      </c>
      <c r="M8" s="601">
        <f t="shared" si="2"/>
        <v>0</v>
      </c>
      <c r="N8" s="602"/>
      <c r="O8" s="603">
        <f>SUM(O9:O17)</f>
        <v>0</v>
      </c>
      <c r="P8" s="601">
        <f>SUM(P9:P17)</f>
        <v>517760.07900000003</v>
      </c>
    </row>
    <row r="9" spans="1:16" ht="12.75" customHeight="1" x14ac:dyDescent="0.25">
      <c r="A9" s="467">
        <f t="shared" si="0"/>
        <v>3</v>
      </c>
      <c r="B9" s="452" t="s">
        <v>745</v>
      </c>
      <c r="C9" s="453" t="s">
        <v>755</v>
      </c>
      <c r="D9" s="632">
        <v>429815.29100000003</v>
      </c>
      <c r="E9" s="604">
        <v>429815.29100000003</v>
      </c>
      <c r="F9" s="604">
        <v>5000</v>
      </c>
      <c r="G9" s="604">
        <v>5000</v>
      </c>
      <c r="H9" s="604">
        <f t="shared" ref="H9:I33" si="3">+D9+F9</f>
        <v>434815.29100000003</v>
      </c>
      <c r="I9" s="604">
        <f t="shared" si="3"/>
        <v>434815.29100000003</v>
      </c>
      <c r="J9" s="604">
        <v>0</v>
      </c>
      <c r="K9" s="604">
        <v>183994.50599999999</v>
      </c>
      <c r="L9" s="604">
        <v>0</v>
      </c>
      <c r="M9" s="605">
        <f t="shared" ref="M9:M31" si="4">+H9-I9</f>
        <v>0</v>
      </c>
      <c r="N9" s="606"/>
      <c r="O9" s="607">
        <v>0</v>
      </c>
      <c r="P9" s="605">
        <f t="shared" ref="P9:P33" si="5">+I9+O9</f>
        <v>434815.29100000003</v>
      </c>
    </row>
    <row r="10" spans="1:16" ht="12.75" customHeight="1" x14ac:dyDescent="0.25">
      <c r="A10" s="467">
        <f t="shared" si="0"/>
        <v>4</v>
      </c>
      <c r="B10" s="452" t="s">
        <v>727</v>
      </c>
      <c r="C10" s="453" t="s">
        <v>728</v>
      </c>
      <c r="D10" s="632">
        <v>20362.5</v>
      </c>
      <c r="E10" s="604">
        <v>20362.5</v>
      </c>
      <c r="F10" s="604">
        <v>0</v>
      </c>
      <c r="G10" s="604">
        <v>0</v>
      </c>
      <c r="H10" s="604">
        <f t="shared" si="3"/>
        <v>20362.5</v>
      </c>
      <c r="I10" s="604">
        <f t="shared" si="3"/>
        <v>20362.5</v>
      </c>
      <c r="J10" s="604">
        <v>0</v>
      </c>
      <c r="K10" s="604">
        <v>2951.9630000000002</v>
      </c>
      <c r="L10" s="604">
        <v>0</v>
      </c>
      <c r="M10" s="605">
        <f t="shared" si="4"/>
        <v>0</v>
      </c>
      <c r="N10" s="606"/>
      <c r="O10" s="607">
        <v>0</v>
      </c>
      <c r="P10" s="605">
        <f t="shared" si="5"/>
        <v>20362.5</v>
      </c>
    </row>
    <row r="11" spans="1:16" ht="12.75" customHeight="1" x14ac:dyDescent="0.25">
      <c r="A11" s="467">
        <f t="shared" si="0"/>
        <v>5</v>
      </c>
      <c r="B11" s="529" t="s">
        <v>729</v>
      </c>
      <c r="C11" s="530" t="s">
        <v>730</v>
      </c>
      <c r="D11" s="632">
        <v>6109</v>
      </c>
      <c r="E11" s="604">
        <v>6109</v>
      </c>
      <c r="F11" s="604">
        <v>0</v>
      </c>
      <c r="G11" s="604">
        <v>0</v>
      </c>
      <c r="H11" s="604">
        <f t="shared" si="3"/>
        <v>6109</v>
      </c>
      <c r="I11" s="604">
        <f t="shared" si="3"/>
        <v>6109</v>
      </c>
      <c r="J11" s="604">
        <v>0</v>
      </c>
      <c r="K11" s="604">
        <v>0</v>
      </c>
      <c r="L11" s="604">
        <v>0</v>
      </c>
      <c r="M11" s="605">
        <f t="shared" si="4"/>
        <v>0</v>
      </c>
      <c r="N11" s="606"/>
      <c r="O11" s="607">
        <v>0</v>
      </c>
      <c r="P11" s="605">
        <f t="shared" si="5"/>
        <v>6109</v>
      </c>
    </row>
    <row r="12" spans="1:16" ht="13.5" customHeight="1" x14ac:dyDescent="0.25">
      <c r="A12" s="467">
        <f t="shared" si="0"/>
        <v>6</v>
      </c>
      <c r="B12" s="452" t="s">
        <v>731</v>
      </c>
      <c r="C12" s="453" t="s">
        <v>732</v>
      </c>
      <c r="D12" s="632">
        <v>1802</v>
      </c>
      <c r="E12" s="604">
        <v>1802</v>
      </c>
      <c r="F12" s="604">
        <v>0</v>
      </c>
      <c r="G12" s="604">
        <v>0</v>
      </c>
      <c r="H12" s="604">
        <f t="shared" si="3"/>
        <v>1802</v>
      </c>
      <c r="I12" s="604">
        <f t="shared" si="3"/>
        <v>1802</v>
      </c>
      <c r="J12" s="604">
        <v>0</v>
      </c>
      <c r="K12" s="604">
        <v>728.61500000000001</v>
      </c>
      <c r="L12" s="604">
        <v>0</v>
      </c>
      <c r="M12" s="605">
        <f t="shared" si="4"/>
        <v>0</v>
      </c>
      <c r="N12" s="606"/>
      <c r="O12" s="607">
        <v>0</v>
      </c>
      <c r="P12" s="605">
        <f t="shared" si="5"/>
        <v>1802</v>
      </c>
    </row>
    <row r="13" spans="1:16" ht="12.75" customHeight="1" x14ac:dyDescent="0.25">
      <c r="A13" s="467">
        <v>7</v>
      </c>
      <c r="B13" s="452" t="s">
        <v>741</v>
      </c>
      <c r="C13" s="453" t="s">
        <v>742</v>
      </c>
      <c r="D13" s="632">
        <v>15220</v>
      </c>
      <c r="E13" s="604">
        <v>15220</v>
      </c>
      <c r="F13" s="604">
        <v>11306</v>
      </c>
      <c r="G13" s="604">
        <v>11306</v>
      </c>
      <c r="H13" s="604">
        <f t="shared" si="3"/>
        <v>26526</v>
      </c>
      <c r="I13" s="604">
        <f t="shared" si="3"/>
        <v>26526</v>
      </c>
      <c r="J13" s="604">
        <v>0</v>
      </c>
      <c r="K13" s="604">
        <v>3085.7860000000001</v>
      </c>
      <c r="L13" s="604">
        <v>0</v>
      </c>
      <c r="M13" s="605">
        <f t="shared" si="4"/>
        <v>0</v>
      </c>
      <c r="N13" s="606"/>
      <c r="O13" s="607">
        <v>0</v>
      </c>
      <c r="P13" s="605">
        <f t="shared" si="5"/>
        <v>26526</v>
      </c>
    </row>
    <row r="14" spans="1:16" ht="12.75" customHeight="1" x14ac:dyDescent="0.25">
      <c r="A14" s="467">
        <v>8</v>
      </c>
      <c r="B14" s="452" t="s">
        <v>733</v>
      </c>
      <c r="C14" s="453" t="s">
        <v>734</v>
      </c>
      <c r="D14" s="632">
        <v>0</v>
      </c>
      <c r="E14" s="604">
        <v>0</v>
      </c>
      <c r="F14" s="604">
        <v>0</v>
      </c>
      <c r="G14" s="604">
        <v>0</v>
      </c>
      <c r="H14" s="604">
        <f t="shared" si="3"/>
        <v>0</v>
      </c>
      <c r="I14" s="604">
        <f t="shared" si="3"/>
        <v>0</v>
      </c>
      <c r="J14" s="604">
        <v>0</v>
      </c>
      <c r="K14" s="604">
        <v>0</v>
      </c>
      <c r="L14" s="604">
        <v>0</v>
      </c>
      <c r="M14" s="605">
        <f t="shared" si="4"/>
        <v>0</v>
      </c>
      <c r="N14" s="606"/>
      <c r="O14" s="607">
        <v>0</v>
      </c>
      <c r="P14" s="605">
        <f t="shared" si="5"/>
        <v>0</v>
      </c>
    </row>
    <row r="15" spans="1:16" ht="12.75" customHeight="1" x14ac:dyDescent="0.25">
      <c r="A15" s="467">
        <f t="shared" si="0"/>
        <v>9</v>
      </c>
      <c r="B15" s="452" t="s">
        <v>735</v>
      </c>
      <c r="C15" s="454" t="s">
        <v>736</v>
      </c>
      <c r="D15" s="632">
        <v>1333.39</v>
      </c>
      <c r="E15" s="604">
        <v>1333.39</v>
      </c>
      <c r="F15" s="604">
        <v>0</v>
      </c>
      <c r="G15" s="604">
        <v>0</v>
      </c>
      <c r="H15" s="604">
        <f t="shared" si="3"/>
        <v>1333.39</v>
      </c>
      <c r="I15" s="604">
        <f t="shared" si="3"/>
        <v>1333.39</v>
      </c>
      <c r="J15" s="604">
        <v>0</v>
      </c>
      <c r="K15" s="604">
        <v>0</v>
      </c>
      <c r="L15" s="604">
        <v>0</v>
      </c>
      <c r="M15" s="605">
        <f t="shared" si="4"/>
        <v>0</v>
      </c>
      <c r="N15" s="606"/>
      <c r="O15" s="607">
        <v>0</v>
      </c>
      <c r="P15" s="605">
        <f t="shared" si="5"/>
        <v>1333.39</v>
      </c>
    </row>
    <row r="16" spans="1:16" ht="12.75" customHeight="1" x14ac:dyDescent="0.25">
      <c r="A16" s="467">
        <f t="shared" si="0"/>
        <v>10</v>
      </c>
      <c r="B16" s="455" t="s">
        <v>737</v>
      </c>
      <c r="C16" s="456" t="s">
        <v>738</v>
      </c>
      <c r="D16" s="632">
        <v>26806</v>
      </c>
      <c r="E16" s="604">
        <v>26806</v>
      </c>
      <c r="F16" s="604">
        <v>0</v>
      </c>
      <c r="G16" s="604">
        <v>0</v>
      </c>
      <c r="H16" s="604">
        <f t="shared" si="3"/>
        <v>26806</v>
      </c>
      <c r="I16" s="604">
        <f t="shared" si="3"/>
        <v>26806</v>
      </c>
      <c r="J16" s="604">
        <v>0</v>
      </c>
      <c r="K16" s="604">
        <v>2590</v>
      </c>
      <c r="L16" s="604">
        <v>0</v>
      </c>
      <c r="M16" s="605">
        <f t="shared" si="4"/>
        <v>0</v>
      </c>
      <c r="N16" s="606"/>
      <c r="O16" s="607">
        <v>0</v>
      </c>
      <c r="P16" s="605">
        <f t="shared" si="5"/>
        <v>26806</v>
      </c>
    </row>
    <row r="17" spans="1:16" s="152" customFormat="1" ht="12.75" customHeight="1" x14ac:dyDescent="0.25">
      <c r="A17" s="467">
        <f t="shared" si="0"/>
        <v>11</v>
      </c>
      <c r="B17" s="455"/>
      <c r="C17" s="456" t="s">
        <v>1377</v>
      </c>
      <c r="D17" s="632">
        <v>5.8979999999999997</v>
      </c>
      <c r="E17" s="604">
        <v>5.8979999999999997</v>
      </c>
      <c r="F17" s="604">
        <v>0</v>
      </c>
      <c r="G17" s="604">
        <v>0</v>
      </c>
      <c r="H17" s="604">
        <f t="shared" si="3"/>
        <v>5.8979999999999997</v>
      </c>
      <c r="I17" s="604">
        <f t="shared" si="3"/>
        <v>5.8979999999999997</v>
      </c>
      <c r="J17" s="604">
        <v>0</v>
      </c>
      <c r="K17" s="604">
        <v>0</v>
      </c>
      <c r="L17" s="604">
        <v>0</v>
      </c>
      <c r="M17" s="605">
        <f t="shared" si="4"/>
        <v>0</v>
      </c>
      <c r="N17" s="606"/>
      <c r="O17" s="607">
        <v>0</v>
      </c>
      <c r="P17" s="605">
        <f t="shared" si="5"/>
        <v>5.8979999999999997</v>
      </c>
    </row>
    <row r="18" spans="1:16" s="152" customFormat="1" ht="12.75" customHeight="1" x14ac:dyDescent="0.25">
      <c r="A18" s="461">
        <f t="shared" si="0"/>
        <v>12</v>
      </c>
      <c r="B18" s="1301" t="s">
        <v>835</v>
      </c>
      <c r="C18" s="1302"/>
      <c r="D18" s="631">
        <f>SUM(D19:D25)</f>
        <v>11313.295</v>
      </c>
      <c r="E18" s="600">
        <f t="shared" ref="E18:P18" si="6">SUM(E19:E25)</f>
        <v>11290</v>
      </c>
      <c r="F18" s="600">
        <f t="shared" si="6"/>
        <v>4560</v>
      </c>
      <c r="G18" s="600">
        <f t="shared" si="6"/>
        <v>4558</v>
      </c>
      <c r="H18" s="600">
        <f t="shared" si="6"/>
        <v>15873.295</v>
      </c>
      <c r="I18" s="600">
        <f t="shared" si="6"/>
        <v>15848</v>
      </c>
      <c r="J18" s="600">
        <f t="shared" si="6"/>
        <v>0</v>
      </c>
      <c r="K18" s="600">
        <f t="shared" si="6"/>
        <v>0</v>
      </c>
      <c r="L18" s="600">
        <f t="shared" si="6"/>
        <v>0</v>
      </c>
      <c r="M18" s="601">
        <f>SUM(M19:M25)</f>
        <v>25.295000000000186</v>
      </c>
      <c r="N18" s="602"/>
      <c r="O18" s="603">
        <f t="shared" si="6"/>
        <v>0</v>
      </c>
      <c r="P18" s="601">
        <f t="shared" si="6"/>
        <v>15848</v>
      </c>
    </row>
    <row r="19" spans="1:16" ht="12.75" customHeight="1" x14ac:dyDescent="0.25">
      <c r="A19" s="545">
        <f>A18+1</f>
        <v>13</v>
      </c>
      <c r="B19" s="529" t="s">
        <v>729</v>
      </c>
      <c r="C19" s="530" t="s">
        <v>730</v>
      </c>
      <c r="D19" s="604">
        <v>430.01499999999999</v>
      </c>
      <c r="E19" s="604">
        <v>424</v>
      </c>
      <c r="F19" s="604">
        <v>0</v>
      </c>
      <c r="G19" s="604">
        <v>0</v>
      </c>
      <c r="H19" s="604">
        <f t="shared" ref="H19:I22" si="7">+D19+F19</f>
        <v>430.01499999999999</v>
      </c>
      <c r="I19" s="604">
        <f t="shared" si="7"/>
        <v>424</v>
      </c>
      <c r="J19" s="604">
        <v>0</v>
      </c>
      <c r="K19" s="604">
        <v>0</v>
      </c>
      <c r="L19" s="604">
        <v>0</v>
      </c>
      <c r="M19" s="605">
        <f t="shared" ref="M19:M22" si="8">+H19-I19</f>
        <v>6.0149999999999864</v>
      </c>
      <c r="N19" s="606"/>
      <c r="O19" s="607">
        <v>0</v>
      </c>
      <c r="P19" s="605">
        <f t="shared" si="5"/>
        <v>424</v>
      </c>
    </row>
    <row r="20" spans="1:16" ht="12.75" customHeight="1" x14ac:dyDescent="0.25">
      <c r="A20" s="467">
        <f>A19+1</f>
        <v>14</v>
      </c>
      <c r="B20" s="452" t="s">
        <v>731</v>
      </c>
      <c r="C20" s="453" t="s">
        <v>732</v>
      </c>
      <c r="D20" s="604">
        <v>0</v>
      </c>
      <c r="E20" s="604">
        <v>0</v>
      </c>
      <c r="F20" s="604">
        <v>0</v>
      </c>
      <c r="G20" s="604">
        <v>0</v>
      </c>
      <c r="H20" s="604">
        <f t="shared" si="7"/>
        <v>0</v>
      </c>
      <c r="I20" s="604">
        <f t="shared" si="7"/>
        <v>0</v>
      </c>
      <c r="J20" s="604">
        <v>0</v>
      </c>
      <c r="K20" s="604">
        <v>0</v>
      </c>
      <c r="L20" s="604">
        <v>0</v>
      </c>
      <c r="M20" s="605">
        <f t="shared" si="8"/>
        <v>0</v>
      </c>
      <c r="N20" s="606"/>
      <c r="O20" s="607">
        <v>0</v>
      </c>
      <c r="P20" s="605">
        <f t="shared" si="5"/>
        <v>0</v>
      </c>
    </row>
    <row r="21" spans="1:16" ht="12.75" customHeight="1" x14ac:dyDescent="0.25">
      <c r="A21" s="467">
        <f t="shared" si="0"/>
        <v>15</v>
      </c>
      <c r="B21" s="452" t="s">
        <v>739</v>
      </c>
      <c r="C21" s="453" t="s">
        <v>740</v>
      </c>
      <c r="D21" s="604">
        <v>0</v>
      </c>
      <c r="E21" s="604">
        <v>0</v>
      </c>
      <c r="F21" s="604">
        <v>0</v>
      </c>
      <c r="G21" s="604">
        <v>0</v>
      </c>
      <c r="H21" s="604">
        <f t="shared" si="7"/>
        <v>0</v>
      </c>
      <c r="I21" s="604">
        <f t="shared" si="7"/>
        <v>0</v>
      </c>
      <c r="J21" s="604">
        <v>0</v>
      </c>
      <c r="K21" s="604">
        <v>0</v>
      </c>
      <c r="L21" s="604">
        <v>0</v>
      </c>
      <c r="M21" s="605">
        <f t="shared" si="8"/>
        <v>0</v>
      </c>
      <c r="N21" s="606"/>
      <c r="O21" s="607">
        <v>0</v>
      </c>
      <c r="P21" s="605">
        <f t="shared" si="5"/>
        <v>0</v>
      </c>
    </row>
    <row r="22" spans="1:16" ht="12.75" customHeight="1" x14ac:dyDescent="0.25">
      <c r="A22" s="467">
        <f t="shared" si="0"/>
        <v>16</v>
      </c>
      <c r="B22" s="452" t="s">
        <v>741</v>
      </c>
      <c r="C22" s="453" t="s">
        <v>742</v>
      </c>
      <c r="D22" s="604">
        <v>3823</v>
      </c>
      <c r="E22" s="604">
        <v>3823</v>
      </c>
      <c r="F22" s="604">
        <v>4560</v>
      </c>
      <c r="G22" s="604">
        <v>4558</v>
      </c>
      <c r="H22" s="604">
        <f t="shared" si="7"/>
        <v>8383</v>
      </c>
      <c r="I22" s="604">
        <f t="shared" si="7"/>
        <v>8381</v>
      </c>
      <c r="J22" s="604">
        <v>0</v>
      </c>
      <c r="K22" s="604">
        <v>0</v>
      </c>
      <c r="L22" s="604">
        <v>0</v>
      </c>
      <c r="M22" s="605">
        <f t="shared" si="8"/>
        <v>2</v>
      </c>
      <c r="N22" s="606"/>
      <c r="O22" s="607">
        <v>0</v>
      </c>
      <c r="P22" s="605">
        <f t="shared" si="5"/>
        <v>8381</v>
      </c>
    </row>
    <row r="23" spans="1:16" ht="12.75" customHeight="1" x14ac:dyDescent="0.25">
      <c r="A23" s="467">
        <f t="shared" si="0"/>
        <v>17</v>
      </c>
      <c r="B23" s="452" t="s">
        <v>743</v>
      </c>
      <c r="C23" s="453" t="s">
        <v>744</v>
      </c>
      <c r="D23" s="632">
        <v>4746</v>
      </c>
      <c r="E23" s="604">
        <v>4746</v>
      </c>
      <c r="F23" s="604">
        <v>0</v>
      </c>
      <c r="G23" s="604">
        <v>0</v>
      </c>
      <c r="H23" s="604">
        <f t="shared" si="3"/>
        <v>4746</v>
      </c>
      <c r="I23" s="604">
        <f t="shared" si="3"/>
        <v>4746</v>
      </c>
      <c r="J23" s="604">
        <v>0</v>
      </c>
      <c r="K23" s="604">
        <v>0</v>
      </c>
      <c r="L23" s="604">
        <v>0</v>
      </c>
      <c r="M23" s="605">
        <f t="shared" si="4"/>
        <v>0</v>
      </c>
      <c r="N23" s="606"/>
      <c r="O23" s="607">
        <v>0</v>
      </c>
      <c r="P23" s="605">
        <f t="shared" si="5"/>
        <v>4746</v>
      </c>
    </row>
    <row r="24" spans="1:16" ht="12.75" customHeight="1" x14ac:dyDescent="0.25">
      <c r="A24" s="467">
        <f t="shared" si="0"/>
        <v>18</v>
      </c>
      <c r="B24" s="455" t="s">
        <v>733</v>
      </c>
      <c r="C24" s="456" t="s">
        <v>734</v>
      </c>
      <c r="D24" s="632">
        <v>0</v>
      </c>
      <c r="E24" s="604">
        <v>0</v>
      </c>
      <c r="F24" s="604">
        <v>0</v>
      </c>
      <c r="G24" s="604">
        <v>0</v>
      </c>
      <c r="H24" s="604">
        <f t="shared" si="3"/>
        <v>0</v>
      </c>
      <c r="I24" s="604">
        <f t="shared" si="3"/>
        <v>0</v>
      </c>
      <c r="J24" s="604">
        <v>0</v>
      </c>
      <c r="K24" s="604">
        <v>0</v>
      </c>
      <c r="L24" s="604">
        <v>0</v>
      </c>
      <c r="M24" s="605">
        <f t="shared" si="4"/>
        <v>0</v>
      </c>
      <c r="N24" s="606"/>
      <c r="O24" s="607">
        <v>0</v>
      </c>
      <c r="P24" s="605">
        <f t="shared" si="5"/>
        <v>0</v>
      </c>
    </row>
    <row r="25" spans="1:16" s="154" customFormat="1" ht="12.75" customHeight="1" x14ac:dyDescent="0.25">
      <c r="A25" s="467">
        <f t="shared" si="0"/>
        <v>19</v>
      </c>
      <c r="B25" s="455"/>
      <c r="C25" s="456" t="s">
        <v>1377</v>
      </c>
      <c r="D25" s="632">
        <v>2314.2800000000002</v>
      </c>
      <c r="E25" s="604">
        <v>2297</v>
      </c>
      <c r="F25" s="604">
        <v>0</v>
      </c>
      <c r="G25" s="604">
        <v>0</v>
      </c>
      <c r="H25" s="604">
        <f t="shared" si="3"/>
        <v>2314.2800000000002</v>
      </c>
      <c r="I25" s="604">
        <f t="shared" si="3"/>
        <v>2297</v>
      </c>
      <c r="J25" s="604">
        <v>0</v>
      </c>
      <c r="K25" s="604">
        <v>0</v>
      </c>
      <c r="L25" s="604">
        <v>0</v>
      </c>
      <c r="M25" s="605">
        <f t="shared" si="4"/>
        <v>17.2800000000002</v>
      </c>
      <c r="N25" s="606"/>
      <c r="O25" s="607">
        <v>0</v>
      </c>
      <c r="P25" s="605">
        <f t="shared" si="5"/>
        <v>2297</v>
      </c>
    </row>
    <row r="26" spans="1:16" s="155" customFormat="1" ht="12.75" customHeight="1" x14ac:dyDescent="0.25">
      <c r="A26" s="465">
        <f t="shared" si="0"/>
        <v>20</v>
      </c>
      <c r="B26" s="1306" t="s">
        <v>758</v>
      </c>
      <c r="C26" s="1307"/>
      <c r="D26" s="633">
        <f>+D27</f>
        <v>0</v>
      </c>
      <c r="E26" s="608">
        <f t="shared" ref="E26:P27" si="9">+E27</f>
        <v>0</v>
      </c>
      <c r="F26" s="608">
        <f t="shared" si="9"/>
        <v>0</v>
      </c>
      <c r="G26" s="608">
        <f t="shared" si="9"/>
        <v>0</v>
      </c>
      <c r="H26" s="608">
        <f t="shared" si="9"/>
        <v>0</v>
      </c>
      <c r="I26" s="608">
        <f t="shared" si="9"/>
        <v>0</v>
      </c>
      <c r="J26" s="608">
        <f t="shared" si="9"/>
        <v>0</v>
      </c>
      <c r="K26" s="608">
        <f t="shared" si="9"/>
        <v>0</v>
      </c>
      <c r="L26" s="608">
        <f t="shared" si="9"/>
        <v>0</v>
      </c>
      <c r="M26" s="609">
        <f t="shared" si="9"/>
        <v>0</v>
      </c>
      <c r="N26" s="598"/>
      <c r="O26" s="610">
        <f t="shared" si="9"/>
        <v>0</v>
      </c>
      <c r="P26" s="609">
        <f t="shared" si="9"/>
        <v>0</v>
      </c>
    </row>
    <row r="27" spans="1:16" ht="12.75" customHeight="1" x14ac:dyDescent="0.25">
      <c r="A27" s="461">
        <f t="shared" si="0"/>
        <v>21</v>
      </c>
      <c r="B27" s="1303" t="s">
        <v>836</v>
      </c>
      <c r="C27" s="1302"/>
      <c r="D27" s="631">
        <f>+D28</f>
        <v>0</v>
      </c>
      <c r="E27" s="600">
        <f t="shared" si="9"/>
        <v>0</v>
      </c>
      <c r="F27" s="600">
        <f t="shared" si="9"/>
        <v>0</v>
      </c>
      <c r="G27" s="600">
        <f t="shared" si="9"/>
        <v>0</v>
      </c>
      <c r="H27" s="600">
        <f t="shared" si="9"/>
        <v>0</v>
      </c>
      <c r="I27" s="600">
        <f t="shared" si="9"/>
        <v>0</v>
      </c>
      <c r="J27" s="600">
        <f t="shared" si="9"/>
        <v>0</v>
      </c>
      <c r="K27" s="600">
        <f t="shared" si="9"/>
        <v>0</v>
      </c>
      <c r="L27" s="600">
        <f t="shared" si="9"/>
        <v>0</v>
      </c>
      <c r="M27" s="601">
        <f t="shared" si="9"/>
        <v>0</v>
      </c>
      <c r="N27" s="602"/>
      <c r="O27" s="603">
        <f t="shared" si="9"/>
        <v>0</v>
      </c>
      <c r="P27" s="601">
        <f t="shared" si="9"/>
        <v>0</v>
      </c>
    </row>
    <row r="28" spans="1:16" ht="12.75" customHeight="1" x14ac:dyDescent="0.25">
      <c r="A28" s="467">
        <f t="shared" si="0"/>
        <v>22</v>
      </c>
      <c r="B28" s="452"/>
      <c r="C28" s="457" t="s">
        <v>749</v>
      </c>
      <c r="D28" s="632">
        <v>0</v>
      </c>
      <c r="E28" s="604">
        <v>0</v>
      </c>
      <c r="F28" s="604">
        <v>0</v>
      </c>
      <c r="G28" s="604">
        <v>0</v>
      </c>
      <c r="H28" s="604">
        <f t="shared" si="3"/>
        <v>0</v>
      </c>
      <c r="I28" s="604">
        <f t="shared" si="3"/>
        <v>0</v>
      </c>
      <c r="J28" s="604">
        <v>0</v>
      </c>
      <c r="K28" s="604">
        <v>0</v>
      </c>
      <c r="L28" s="604">
        <v>0</v>
      </c>
      <c r="M28" s="605">
        <f t="shared" si="4"/>
        <v>0</v>
      </c>
      <c r="N28" s="606"/>
      <c r="O28" s="607">
        <v>0</v>
      </c>
      <c r="P28" s="605">
        <f t="shared" si="5"/>
        <v>0</v>
      </c>
    </row>
    <row r="29" spans="1:16" ht="12.75" customHeight="1" x14ac:dyDescent="0.25">
      <c r="A29" s="465">
        <f t="shared" si="0"/>
        <v>23</v>
      </c>
      <c r="B29" s="1306" t="s">
        <v>756</v>
      </c>
      <c r="C29" s="1307"/>
      <c r="D29" s="633">
        <f t="shared" ref="D29:M29" si="10">+D30+D32</f>
        <v>190</v>
      </c>
      <c r="E29" s="608">
        <f t="shared" si="10"/>
        <v>190</v>
      </c>
      <c r="F29" s="608">
        <f t="shared" si="10"/>
        <v>0</v>
      </c>
      <c r="G29" s="608">
        <f t="shared" si="10"/>
        <v>0</v>
      </c>
      <c r="H29" s="608">
        <f t="shared" si="10"/>
        <v>190</v>
      </c>
      <c r="I29" s="608">
        <f t="shared" si="10"/>
        <v>190</v>
      </c>
      <c r="J29" s="608">
        <f t="shared" si="10"/>
        <v>0</v>
      </c>
      <c r="K29" s="608">
        <f t="shared" si="10"/>
        <v>0</v>
      </c>
      <c r="L29" s="608">
        <f t="shared" si="10"/>
        <v>0</v>
      </c>
      <c r="M29" s="609">
        <f t="shared" si="10"/>
        <v>0</v>
      </c>
      <c r="N29" s="598"/>
      <c r="O29" s="610">
        <f>+O30+O32</f>
        <v>0</v>
      </c>
      <c r="P29" s="609">
        <f>+P30+P32</f>
        <v>190</v>
      </c>
    </row>
    <row r="30" spans="1:16" ht="12.75" customHeight="1" x14ac:dyDescent="0.25">
      <c r="A30" s="461">
        <f t="shared" si="0"/>
        <v>24</v>
      </c>
      <c r="B30" s="1303" t="s">
        <v>1567</v>
      </c>
      <c r="C30" s="1302"/>
      <c r="D30" s="631">
        <f t="shared" ref="D30:M30" si="11">+D31</f>
        <v>180</v>
      </c>
      <c r="E30" s="600">
        <f t="shared" si="11"/>
        <v>180</v>
      </c>
      <c r="F30" s="600">
        <f t="shared" si="11"/>
        <v>0</v>
      </c>
      <c r="G30" s="600">
        <f t="shared" si="11"/>
        <v>0</v>
      </c>
      <c r="H30" s="600">
        <f t="shared" si="11"/>
        <v>180</v>
      </c>
      <c r="I30" s="600">
        <f t="shared" si="11"/>
        <v>180</v>
      </c>
      <c r="J30" s="600">
        <f t="shared" si="11"/>
        <v>0</v>
      </c>
      <c r="K30" s="600">
        <f t="shared" si="11"/>
        <v>0</v>
      </c>
      <c r="L30" s="600">
        <f t="shared" si="11"/>
        <v>0</v>
      </c>
      <c r="M30" s="601">
        <f t="shared" si="11"/>
        <v>0</v>
      </c>
      <c r="N30" s="602"/>
      <c r="O30" s="603">
        <f>+O31</f>
        <v>0</v>
      </c>
      <c r="P30" s="601">
        <f>+P31</f>
        <v>180</v>
      </c>
    </row>
    <row r="31" spans="1:16" ht="12.75" customHeight="1" x14ac:dyDescent="0.25">
      <c r="A31" s="467">
        <f>+A30+1</f>
        <v>25</v>
      </c>
      <c r="B31" s="1070"/>
      <c r="C31" s="1071" t="s">
        <v>1378</v>
      </c>
      <c r="D31" s="632">
        <v>180</v>
      </c>
      <c r="E31" s="604">
        <v>180</v>
      </c>
      <c r="F31" s="604">
        <v>0</v>
      </c>
      <c r="G31" s="604">
        <v>0</v>
      </c>
      <c r="H31" s="604">
        <f t="shared" si="3"/>
        <v>180</v>
      </c>
      <c r="I31" s="604">
        <f t="shared" si="3"/>
        <v>180</v>
      </c>
      <c r="J31" s="604">
        <v>0</v>
      </c>
      <c r="K31" s="604">
        <v>0</v>
      </c>
      <c r="L31" s="604">
        <v>0</v>
      </c>
      <c r="M31" s="605">
        <f t="shared" si="4"/>
        <v>0</v>
      </c>
      <c r="N31" s="1072"/>
      <c r="O31" s="607">
        <v>0</v>
      </c>
      <c r="P31" s="605">
        <f t="shared" si="5"/>
        <v>180</v>
      </c>
    </row>
    <row r="32" spans="1:16" ht="12.75" customHeight="1" x14ac:dyDescent="0.25">
      <c r="A32" s="461">
        <f>+A31+1</f>
        <v>26</v>
      </c>
      <c r="B32" s="1303" t="s">
        <v>1568</v>
      </c>
      <c r="C32" s="1302"/>
      <c r="D32" s="631">
        <f>D33</f>
        <v>10</v>
      </c>
      <c r="E32" s="600">
        <f t="shared" ref="E32:G32" si="12">E33</f>
        <v>10</v>
      </c>
      <c r="F32" s="600">
        <f t="shared" si="12"/>
        <v>0</v>
      </c>
      <c r="G32" s="600">
        <f t="shared" si="12"/>
        <v>0</v>
      </c>
      <c r="H32" s="600">
        <f>+D32+F32</f>
        <v>10</v>
      </c>
      <c r="I32" s="600">
        <f t="shared" si="3"/>
        <v>10</v>
      </c>
      <c r="J32" s="600">
        <v>0</v>
      </c>
      <c r="K32" s="600">
        <v>0</v>
      </c>
      <c r="L32" s="600">
        <v>0</v>
      </c>
      <c r="M32" s="601">
        <v>0</v>
      </c>
      <c r="N32" s="602"/>
      <c r="O32" s="603">
        <v>0</v>
      </c>
      <c r="P32" s="601">
        <f>+P33</f>
        <v>10</v>
      </c>
    </row>
    <row r="33" spans="1:21" ht="12.75" customHeight="1" x14ac:dyDescent="0.25">
      <c r="A33" s="467">
        <f>+A32+1</f>
        <v>27</v>
      </c>
      <c r="B33" s="1070"/>
      <c r="C33" s="1071" t="s">
        <v>1379</v>
      </c>
      <c r="D33" s="632">
        <v>10</v>
      </c>
      <c r="E33" s="604">
        <v>10</v>
      </c>
      <c r="F33" s="604">
        <v>0</v>
      </c>
      <c r="G33" s="604">
        <v>0</v>
      </c>
      <c r="H33" s="604">
        <f t="shared" si="3"/>
        <v>10</v>
      </c>
      <c r="I33" s="604">
        <f t="shared" si="3"/>
        <v>10</v>
      </c>
      <c r="J33" s="604">
        <v>0</v>
      </c>
      <c r="K33" s="604">
        <v>0</v>
      </c>
      <c r="L33" s="604">
        <v>0</v>
      </c>
      <c r="M33" s="605">
        <v>0</v>
      </c>
      <c r="N33" s="1072"/>
      <c r="O33" s="607">
        <v>0</v>
      </c>
      <c r="P33" s="605">
        <f t="shared" si="5"/>
        <v>10</v>
      </c>
    </row>
    <row r="34" spans="1:21" ht="12.75" customHeight="1" x14ac:dyDescent="0.25">
      <c r="A34" s="465">
        <f t="shared" ref="A34:A35" si="13">+A33+1</f>
        <v>28</v>
      </c>
      <c r="B34" s="1306" t="s">
        <v>759</v>
      </c>
      <c r="C34" s="1307"/>
      <c r="D34" s="633">
        <f>+D35+D38+D40</f>
        <v>8473</v>
      </c>
      <c r="E34" s="608">
        <f t="shared" ref="E34:M34" si="14">+E35+E38+E40</f>
        <v>8410</v>
      </c>
      <c r="F34" s="608">
        <f t="shared" si="14"/>
        <v>0</v>
      </c>
      <c r="G34" s="608">
        <f t="shared" si="14"/>
        <v>0</v>
      </c>
      <c r="H34" s="608">
        <f t="shared" si="14"/>
        <v>8473</v>
      </c>
      <c r="I34" s="608">
        <f t="shared" si="14"/>
        <v>8410</v>
      </c>
      <c r="J34" s="608">
        <f t="shared" si="14"/>
        <v>0</v>
      </c>
      <c r="K34" s="608">
        <f t="shared" si="14"/>
        <v>0</v>
      </c>
      <c r="L34" s="608">
        <f t="shared" si="14"/>
        <v>0</v>
      </c>
      <c r="M34" s="609">
        <f t="shared" si="14"/>
        <v>63</v>
      </c>
      <c r="N34" s="598"/>
      <c r="O34" s="610">
        <f t="shared" ref="O34:P34" si="15">+O35+O38+O40</f>
        <v>0</v>
      </c>
      <c r="P34" s="609">
        <f t="shared" si="15"/>
        <v>8410</v>
      </c>
      <c r="U34" s="1005"/>
    </row>
    <row r="35" spans="1:21" ht="12.75" customHeight="1" x14ac:dyDescent="0.25">
      <c r="A35" s="461">
        <f t="shared" si="13"/>
        <v>29</v>
      </c>
      <c r="B35" s="1303" t="s">
        <v>1380</v>
      </c>
      <c r="C35" s="1302"/>
      <c r="D35" s="631">
        <f>+D36+D37</f>
        <v>7475</v>
      </c>
      <c r="E35" s="600">
        <f t="shared" ref="E35:M35" si="16">+E36+E37</f>
        <v>7412</v>
      </c>
      <c r="F35" s="600">
        <f t="shared" si="16"/>
        <v>0</v>
      </c>
      <c r="G35" s="600">
        <f t="shared" si="16"/>
        <v>0</v>
      </c>
      <c r="H35" s="600">
        <f>+H36+H37</f>
        <v>7475</v>
      </c>
      <c r="I35" s="600">
        <f t="shared" si="16"/>
        <v>7412</v>
      </c>
      <c r="J35" s="600">
        <f t="shared" si="16"/>
        <v>0</v>
      </c>
      <c r="K35" s="600">
        <f t="shared" si="16"/>
        <v>0</v>
      </c>
      <c r="L35" s="600">
        <f t="shared" si="16"/>
        <v>0</v>
      </c>
      <c r="M35" s="601">
        <f t="shared" si="16"/>
        <v>63</v>
      </c>
      <c r="N35" s="602"/>
      <c r="O35" s="603">
        <f t="shared" ref="O35:P35" si="17">+O36+O37</f>
        <v>0</v>
      </c>
      <c r="P35" s="601">
        <f t="shared" si="17"/>
        <v>7412</v>
      </c>
    </row>
    <row r="36" spans="1:21" ht="12.75" customHeight="1" x14ac:dyDescent="0.25">
      <c r="A36" s="1073">
        <f>+A35+1</f>
        <v>30</v>
      </c>
      <c r="B36" s="1074"/>
      <c r="C36" s="456" t="s">
        <v>1381</v>
      </c>
      <c r="D36" s="632">
        <f>8466-998</f>
        <v>7468</v>
      </c>
      <c r="E36" s="604">
        <v>7468</v>
      </c>
      <c r="F36" s="604">
        <v>0</v>
      </c>
      <c r="G36" s="604">
        <v>0</v>
      </c>
      <c r="H36" s="604">
        <f t="shared" ref="H36:I38" si="18">+D36+F36</f>
        <v>7468</v>
      </c>
      <c r="I36" s="604">
        <f t="shared" si="18"/>
        <v>7468</v>
      </c>
      <c r="J36" s="604">
        <v>0</v>
      </c>
      <c r="K36" s="604">
        <v>0</v>
      </c>
      <c r="L36" s="604">
        <v>0</v>
      </c>
      <c r="M36" s="605">
        <f t="shared" ref="M36:M41" si="19">+H36-I36</f>
        <v>0</v>
      </c>
      <c r="N36" s="606"/>
      <c r="O36" s="607">
        <v>0</v>
      </c>
      <c r="P36" s="605">
        <f t="shared" ref="P36:P41" si="20">+I36+O36</f>
        <v>7468</v>
      </c>
    </row>
    <row r="37" spans="1:21" s="1122" customFormat="1" ht="12.75" customHeight="1" x14ac:dyDescent="0.25">
      <c r="A37" s="1075">
        <f>+A36+1</f>
        <v>31</v>
      </c>
      <c r="B37" s="1074"/>
      <c r="C37" s="456" t="s">
        <v>1382</v>
      </c>
      <c r="D37" s="632">
        <v>7</v>
      </c>
      <c r="E37" s="604">
        <f>7-63</f>
        <v>-56</v>
      </c>
      <c r="F37" s="604">
        <v>0</v>
      </c>
      <c r="G37" s="604">
        <v>0</v>
      </c>
      <c r="H37" s="604">
        <f t="shared" si="18"/>
        <v>7</v>
      </c>
      <c r="I37" s="604">
        <f t="shared" si="18"/>
        <v>-56</v>
      </c>
      <c r="J37" s="604">
        <v>0</v>
      </c>
      <c r="K37" s="604">
        <v>0</v>
      </c>
      <c r="L37" s="604">
        <v>0</v>
      </c>
      <c r="M37" s="605">
        <f t="shared" si="19"/>
        <v>63</v>
      </c>
      <c r="N37" s="1083"/>
      <c r="O37" s="607">
        <v>0</v>
      </c>
      <c r="P37" s="605">
        <f t="shared" si="20"/>
        <v>-56</v>
      </c>
    </row>
    <row r="38" spans="1:21" ht="12.75" customHeight="1" x14ac:dyDescent="0.25">
      <c r="A38" s="461">
        <f t="shared" ref="A38" si="21">+A37+1</f>
        <v>32</v>
      </c>
      <c r="B38" s="1303" t="s">
        <v>1565</v>
      </c>
      <c r="C38" s="1302"/>
      <c r="D38" s="631">
        <f>+D39</f>
        <v>0</v>
      </c>
      <c r="E38" s="600">
        <f t="shared" ref="E38:M40" si="22">+E39</f>
        <v>0</v>
      </c>
      <c r="F38" s="600">
        <f t="shared" si="22"/>
        <v>0</v>
      </c>
      <c r="G38" s="600">
        <f t="shared" si="22"/>
        <v>0</v>
      </c>
      <c r="H38" s="600">
        <f>+D38+F38</f>
        <v>0</v>
      </c>
      <c r="I38" s="600">
        <f t="shared" si="18"/>
        <v>0</v>
      </c>
      <c r="J38" s="600">
        <f t="shared" si="22"/>
        <v>0</v>
      </c>
      <c r="K38" s="600">
        <f t="shared" si="22"/>
        <v>0</v>
      </c>
      <c r="L38" s="600">
        <f t="shared" si="22"/>
        <v>0</v>
      </c>
      <c r="M38" s="601">
        <f t="shared" si="22"/>
        <v>0</v>
      </c>
      <c r="N38" s="602"/>
      <c r="O38" s="603">
        <f t="shared" ref="O38:O40" si="23">+O39</f>
        <v>0</v>
      </c>
      <c r="P38" s="601">
        <f>+P39</f>
        <v>0</v>
      </c>
    </row>
    <row r="39" spans="1:21" ht="12.75" customHeight="1" x14ac:dyDescent="0.25">
      <c r="A39" s="1075">
        <f>+A38+1</f>
        <v>33</v>
      </c>
      <c r="B39" s="1076"/>
      <c r="C39" s="456" t="s">
        <v>1566</v>
      </c>
      <c r="D39" s="638">
        <v>0</v>
      </c>
      <c r="E39" s="636">
        <v>0</v>
      </c>
      <c r="F39" s="636">
        <v>0</v>
      </c>
      <c r="G39" s="636">
        <v>0</v>
      </c>
      <c r="H39" s="636">
        <f t="shared" ref="H39:I40" si="24">+D39+F39</f>
        <v>0</v>
      </c>
      <c r="I39" s="636">
        <f t="shared" si="24"/>
        <v>0</v>
      </c>
      <c r="J39" s="636">
        <v>0</v>
      </c>
      <c r="K39" s="636">
        <v>0</v>
      </c>
      <c r="L39" s="636">
        <v>0</v>
      </c>
      <c r="M39" s="639">
        <f t="shared" ref="M39" si="25">+H39-I39</f>
        <v>0</v>
      </c>
      <c r="N39" s="606"/>
      <c r="O39" s="607">
        <v>0</v>
      </c>
      <c r="P39" s="605">
        <f t="shared" ref="P39" si="26">+I39+O39</f>
        <v>0</v>
      </c>
    </row>
    <row r="40" spans="1:21" ht="12.75" customHeight="1" x14ac:dyDescent="0.25">
      <c r="A40" s="461">
        <f t="shared" ref="A40" si="27">+A39+1</f>
        <v>34</v>
      </c>
      <c r="B40" s="1303" t="s">
        <v>1383</v>
      </c>
      <c r="C40" s="1302"/>
      <c r="D40" s="631">
        <f>+D41</f>
        <v>998</v>
      </c>
      <c r="E40" s="600">
        <f t="shared" si="22"/>
        <v>998</v>
      </c>
      <c r="F40" s="600">
        <f t="shared" si="22"/>
        <v>0</v>
      </c>
      <c r="G40" s="600">
        <f t="shared" si="22"/>
        <v>0</v>
      </c>
      <c r="H40" s="600">
        <f>+D40+F40</f>
        <v>998</v>
      </c>
      <c r="I40" s="600">
        <f t="shared" si="24"/>
        <v>998</v>
      </c>
      <c r="J40" s="600">
        <f t="shared" si="22"/>
        <v>0</v>
      </c>
      <c r="K40" s="600">
        <f t="shared" si="22"/>
        <v>0</v>
      </c>
      <c r="L40" s="600">
        <f t="shared" si="22"/>
        <v>0</v>
      </c>
      <c r="M40" s="601">
        <f t="shared" si="22"/>
        <v>0</v>
      </c>
      <c r="N40" s="602"/>
      <c r="O40" s="603">
        <f t="shared" si="23"/>
        <v>0</v>
      </c>
      <c r="P40" s="601">
        <f>+P41</f>
        <v>998</v>
      </c>
    </row>
    <row r="41" spans="1:21" ht="12.75" customHeight="1" thickBot="1" x14ac:dyDescent="0.3">
      <c r="A41" s="1075">
        <f>+A40+1</f>
        <v>35</v>
      </c>
      <c r="B41" s="1076"/>
      <c r="C41" s="456" t="s">
        <v>1384</v>
      </c>
      <c r="D41" s="638">
        <v>998</v>
      </c>
      <c r="E41" s="636">
        <v>998</v>
      </c>
      <c r="F41" s="636">
        <v>0</v>
      </c>
      <c r="G41" s="636">
        <v>0</v>
      </c>
      <c r="H41" s="636">
        <f t="shared" ref="H41:I41" si="28">+D41+F41</f>
        <v>998</v>
      </c>
      <c r="I41" s="636">
        <f t="shared" si="28"/>
        <v>998</v>
      </c>
      <c r="J41" s="636">
        <v>0</v>
      </c>
      <c r="K41" s="636">
        <v>0</v>
      </c>
      <c r="L41" s="636">
        <v>0</v>
      </c>
      <c r="M41" s="639">
        <f t="shared" si="19"/>
        <v>0</v>
      </c>
      <c r="N41" s="606"/>
      <c r="O41" s="607">
        <v>0</v>
      </c>
      <c r="P41" s="605">
        <f t="shared" si="20"/>
        <v>998</v>
      </c>
    </row>
    <row r="42" spans="1:21" s="481" customFormat="1" ht="13.5" customHeight="1" thickBot="1" x14ac:dyDescent="0.3">
      <c r="A42" s="1077">
        <f>+A41+1</f>
        <v>36</v>
      </c>
      <c r="B42" s="1304" t="s">
        <v>708</v>
      </c>
      <c r="C42" s="1305"/>
      <c r="D42" s="1078">
        <f t="shared" ref="D42:M42" si="29">+D7+D26+D29+D34</f>
        <v>521430.37400000001</v>
      </c>
      <c r="E42" s="1079">
        <f t="shared" si="29"/>
        <v>521344.07900000003</v>
      </c>
      <c r="F42" s="1079">
        <f t="shared" si="29"/>
        <v>20866</v>
      </c>
      <c r="G42" s="1079">
        <f t="shared" si="29"/>
        <v>20864</v>
      </c>
      <c r="H42" s="1079">
        <f t="shared" si="29"/>
        <v>542296.37400000007</v>
      </c>
      <c r="I42" s="1079">
        <f t="shared" si="29"/>
        <v>542208.07900000003</v>
      </c>
      <c r="J42" s="1079">
        <f t="shared" si="29"/>
        <v>0</v>
      </c>
      <c r="K42" s="1079">
        <f t="shared" si="29"/>
        <v>193350.86999999997</v>
      </c>
      <c r="L42" s="1079">
        <f t="shared" si="29"/>
        <v>0</v>
      </c>
      <c r="M42" s="1080">
        <f t="shared" si="29"/>
        <v>88.295000000000186</v>
      </c>
      <c r="N42" s="1081"/>
      <c r="O42" s="1082">
        <f>+O7+O26+O29+O34</f>
        <v>0</v>
      </c>
      <c r="P42" s="1080">
        <f>+P7+P26+P29+P34</f>
        <v>542208.07900000003</v>
      </c>
    </row>
    <row r="43" spans="1:21" s="481" customFormat="1" ht="13.5" customHeight="1" x14ac:dyDescent="0.25">
      <c r="A43" s="511"/>
      <c r="B43" s="517"/>
      <c r="C43" s="518"/>
      <c r="D43" s="463"/>
      <c r="E43" s="463"/>
      <c r="F43" s="463"/>
      <c r="G43" s="463"/>
      <c r="H43" s="463"/>
      <c r="I43" s="463"/>
      <c r="J43" s="463"/>
      <c r="K43" s="463"/>
      <c r="L43" s="463"/>
      <c r="M43" s="463"/>
      <c r="O43" s="463"/>
      <c r="P43" s="463"/>
    </row>
    <row r="44" spans="1:21" ht="22.5" customHeight="1" x14ac:dyDescent="0.25">
      <c r="A44" s="152" t="s">
        <v>616</v>
      </c>
    </row>
    <row r="45" spans="1:21" ht="57" customHeight="1" x14ac:dyDescent="0.25">
      <c r="A45" s="1280" t="s">
        <v>782</v>
      </c>
      <c r="B45" s="1280"/>
      <c r="C45" s="1280"/>
      <c r="D45" s="1280"/>
      <c r="E45" s="1280"/>
      <c r="F45" s="1280"/>
      <c r="G45" s="1280"/>
      <c r="H45" s="1280"/>
      <c r="I45" s="1280"/>
      <c r="J45" s="1280"/>
      <c r="K45" s="1280"/>
      <c r="L45" s="1280"/>
      <c r="M45" s="1280"/>
      <c r="N45" s="1280"/>
      <c r="O45" s="1280"/>
      <c r="P45" s="1280"/>
    </row>
    <row r="46" spans="1:21" ht="18" customHeight="1" x14ac:dyDescent="0.25">
      <c r="A46" s="1280" t="s">
        <v>871</v>
      </c>
      <c r="B46" s="1280"/>
      <c r="C46" s="1280"/>
      <c r="D46" s="1280"/>
      <c r="E46" s="1280"/>
      <c r="F46" s="1280"/>
      <c r="G46" s="1280"/>
      <c r="H46" s="1280"/>
      <c r="I46" s="1280"/>
      <c r="J46" s="1280"/>
      <c r="K46" s="1280"/>
      <c r="L46" s="1280"/>
      <c r="M46" s="1280"/>
      <c r="N46" s="1280"/>
      <c r="O46" s="1280"/>
      <c r="P46" s="1280"/>
    </row>
    <row r="47" spans="1:21" ht="33.75" customHeight="1" x14ac:dyDescent="0.25">
      <c r="A47" s="1280" t="s">
        <v>826</v>
      </c>
      <c r="B47" s="1280"/>
      <c r="C47" s="1280"/>
      <c r="D47" s="1280"/>
      <c r="E47" s="1280"/>
      <c r="F47" s="1280"/>
      <c r="G47" s="1280"/>
      <c r="H47" s="1280"/>
      <c r="I47" s="1280"/>
      <c r="J47" s="1280"/>
      <c r="K47" s="1280"/>
      <c r="L47" s="1280"/>
      <c r="M47" s="1280"/>
      <c r="N47" s="1280"/>
      <c r="O47" s="1280"/>
      <c r="P47" s="1280"/>
    </row>
    <row r="48" spans="1:21" ht="33.75" customHeight="1" x14ac:dyDescent="0.25">
      <c r="A48" s="1280" t="s">
        <v>1046</v>
      </c>
      <c r="B48" s="1280"/>
      <c r="C48" s="1280"/>
      <c r="D48" s="1280"/>
      <c r="E48" s="1280"/>
      <c r="F48" s="1280"/>
      <c r="G48" s="1280"/>
      <c r="H48" s="1280"/>
      <c r="I48" s="1280"/>
      <c r="J48" s="1280"/>
      <c r="K48" s="1280"/>
      <c r="L48" s="1280"/>
      <c r="M48" s="1280"/>
      <c r="N48" s="1280"/>
      <c r="O48" s="1280"/>
      <c r="P48" s="1280"/>
    </row>
    <row r="49" spans="1:16" ht="19.5" customHeight="1" x14ac:dyDescent="0.25">
      <c r="A49" s="1280" t="s">
        <v>1048</v>
      </c>
      <c r="B49" s="1280"/>
      <c r="C49" s="1280"/>
      <c r="D49" s="1280"/>
      <c r="E49" s="1280"/>
      <c r="F49" s="1280"/>
      <c r="G49" s="1280"/>
      <c r="H49" s="1280"/>
      <c r="I49" s="1280"/>
      <c r="J49" s="1280"/>
      <c r="K49" s="1280"/>
      <c r="L49" s="1280"/>
      <c r="M49" s="1280"/>
      <c r="N49" s="1280"/>
      <c r="O49" s="1280"/>
      <c r="P49" s="1280"/>
    </row>
    <row r="50" spans="1:16" ht="19.5" customHeight="1" x14ac:dyDescent="0.25">
      <c r="A50" s="659"/>
      <c r="B50" s="659"/>
      <c r="C50" s="659"/>
      <c r="D50" s="659"/>
      <c r="E50" s="659"/>
      <c r="F50" s="659"/>
      <c r="G50" s="659"/>
      <c r="H50" s="659"/>
      <c r="I50" s="659"/>
      <c r="J50" s="659"/>
      <c r="K50" s="659"/>
      <c r="L50" s="659"/>
      <c r="M50" s="659"/>
      <c r="N50" s="659"/>
      <c r="O50" s="659"/>
      <c r="P50" s="659"/>
    </row>
    <row r="51" spans="1:16" x14ac:dyDescent="0.25">
      <c r="A51" s="438" t="s">
        <v>1121</v>
      </c>
      <c r="C51" s="152"/>
    </row>
    <row r="52" spans="1:16" x14ac:dyDescent="0.25">
      <c r="C52" s="152"/>
    </row>
    <row r="53" spans="1:16" x14ac:dyDescent="0.25">
      <c r="C53" s="152"/>
    </row>
  </sheetData>
  <customSheetViews>
    <customSheetView guid="{2AF6EA2A-E5C5-45EB-B6C4-875AD1E4E056}" scale="89">
      <pageMargins left="0.19685039370078741" right="0.19685039370078741" top="0.59055118110236227" bottom="0.59055118110236227" header="0.31496062992125984" footer="0.31496062992125984"/>
      <printOptions horizontalCentered="1"/>
      <pageSetup paperSize="9" scale="71" orientation="landscape" r:id="rId1"/>
    </customSheetView>
  </customSheetViews>
  <mergeCells count="26">
    <mergeCell ref="A46:P46"/>
    <mergeCell ref="A49:P49"/>
    <mergeCell ref="B26:C26"/>
    <mergeCell ref="B29:C29"/>
    <mergeCell ref="A47:P47"/>
    <mergeCell ref="A48:P48"/>
    <mergeCell ref="B27:C27"/>
    <mergeCell ref="B30:C30"/>
    <mergeCell ref="B34:C34"/>
    <mergeCell ref="B35:C35"/>
    <mergeCell ref="B40:C40"/>
    <mergeCell ref="D4:E4"/>
    <mergeCell ref="A45:P45"/>
    <mergeCell ref="J4:L4"/>
    <mergeCell ref="P4:P5"/>
    <mergeCell ref="O4:O5"/>
    <mergeCell ref="M4:M5"/>
    <mergeCell ref="A4:A6"/>
    <mergeCell ref="B8:C8"/>
    <mergeCell ref="F4:G4"/>
    <mergeCell ref="H4:I4"/>
    <mergeCell ref="B4:C6"/>
    <mergeCell ref="B18:C18"/>
    <mergeCell ref="B38:C38"/>
    <mergeCell ref="B32:C32"/>
    <mergeCell ref="B42:C42"/>
  </mergeCells>
  <printOptions horizontalCentered="1"/>
  <pageMargins left="0.19685039370078741" right="0.19685039370078741" top="0.59055118110236227" bottom="0.59055118110236227" header="0.31496062992125984" footer="0.31496062992125984"/>
  <pageSetup paperSize="9" scale="71" orientation="landscape"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7">
    <tabColor rgb="FF92D050"/>
    <pageSetUpPr fitToPage="1"/>
  </sheetPr>
  <dimension ref="A1:P60"/>
  <sheetViews>
    <sheetView zoomScale="89" zoomScaleNormal="89" workbookViewId="0">
      <selection activeCell="T7" sqref="T7"/>
    </sheetView>
  </sheetViews>
  <sheetFormatPr defaultRowHeight="15" x14ac:dyDescent="0.25"/>
  <cols>
    <col min="1" max="1" width="5" style="460" customWidth="1"/>
    <col min="2" max="2" width="45.85546875" style="460" customWidth="1"/>
    <col min="3" max="3" width="12.7109375" style="460" customWidth="1"/>
    <col min="4" max="4" width="11.5703125" style="460" customWidth="1"/>
    <col min="5" max="5" width="11.28515625" style="460" customWidth="1"/>
    <col min="6" max="6" width="11.5703125" style="460" customWidth="1"/>
    <col min="7" max="7" width="10.85546875" style="460" customWidth="1"/>
    <col min="8" max="9" width="10.42578125" style="460" customWidth="1"/>
    <col min="10" max="10" width="12.5703125" style="460" customWidth="1"/>
    <col min="11" max="11" width="10.5703125" style="460" customWidth="1"/>
    <col min="12" max="12" width="11.42578125" style="460" customWidth="1"/>
    <col min="13" max="13" width="1.7109375" style="463" customWidth="1"/>
    <col min="14" max="14" width="11" style="460" customWidth="1"/>
    <col min="15" max="15" width="10.85546875" style="460" customWidth="1"/>
    <col min="16" max="240" width="9.140625" style="460"/>
    <col min="241" max="241" width="59.7109375" style="460" customWidth="1"/>
    <col min="242" max="248" width="10.5703125" style="460" customWidth="1"/>
    <col min="249" max="16384" width="9.140625" style="460"/>
  </cols>
  <sheetData>
    <row r="1" spans="1:16" ht="15.75" x14ac:dyDescent="0.25">
      <c r="A1" s="153" t="s">
        <v>1084</v>
      </c>
    </row>
    <row r="2" spans="1:16" ht="15.75" x14ac:dyDescent="0.25">
      <c r="A2" s="153"/>
      <c r="B2" s="152" t="s">
        <v>868</v>
      </c>
    </row>
    <row r="3" spans="1:16" ht="13.5" customHeight="1" thickBot="1" x14ac:dyDescent="0.3">
      <c r="B3" s="458"/>
      <c r="O3" s="464" t="s">
        <v>480</v>
      </c>
    </row>
    <row r="4" spans="1:16" s="152" customFormat="1" ht="38.25" customHeight="1" x14ac:dyDescent="0.25">
      <c r="A4" s="1317" t="s">
        <v>460</v>
      </c>
      <c r="B4" s="1320" t="s">
        <v>760</v>
      </c>
      <c r="C4" s="1323" t="s">
        <v>691</v>
      </c>
      <c r="D4" s="1324"/>
      <c r="E4" s="1324" t="s">
        <v>692</v>
      </c>
      <c r="F4" s="1324"/>
      <c r="G4" s="1310" t="s">
        <v>693</v>
      </c>
      <c r="H4" s="1311"/>
      <c r="I4" s="1312" t="s">
        <v>784</v>
      </c>
      <c r="J4" s="1312" t="s">
        <v>1050</v>
      </c>
      <c r="K4" s="1308" t="s">
        <v>859</v>
      </c>
      <c r="L4" s="1325" t="s">
        <v>750</v>
      </c>
      <c r="M4" s="387"/>
      <c r="N4" s="1327" t="s">
        <v>870</v>
      </c>
      <c r="O4" s="1314" t="s">
        <v>694</v>
      </c>
    </row>
    <row r="5" spans="1:16" s="152" customFormat="1" ht="13.5" customHeight="1" x14ac:dyDescent="0.25">
      <c r="A5" s="1318"/>
      <c r="B5" s="1321"/>
      <c r="C5" s="388" t="s">
        <v>753</v>
      </c>
      <c r="D5" s="389" t="s">
        <v>761</v>
      </c>
      <c r="E5" s="388" t="s">
        <v>618</v>
      </c>
      <c r="F5" s="389" t="s">
        <v>623</v>
      </c>
      <c r="G5" s="389" t="s">
        <v>618</v>
      </c>
      <c r="H5" s="487" t="s">
        <v>623</v>
      </c>
      <c r="I5" s="1313"/>
      <c r="J5" s="1313"/>
      <c r="K5" s="1309"/>
      <c r="L5" s="1326"/>
      <c r="M5" s="387"/>
      <c r="N5" s="1328"/>
      <c r="O5" s="1315"/>
    </row>
    <row r="6" spans="1:16" s="152" customFormat="1" ht="15" customHeight="1" thickBot="1" x14ac:dyDescent="0.3">
      <c r="A6" s="1319"/>
      <c r="B6" s="1322"/>
      <c r="C6" s="390" t="s">
        <v>539</v>
      </c>
      <c r="D6" s="391" t="s">
        <v>540</v>
      </c>
      <c r="E6" s="391" t="s">
        <v>541</v>
      </c>
      <c r="F6" s="391" t="s">
        <v>542</v>
      </c>
      <c r="G6" s="391" t="s">
        <v>620</v>
      </c>
      <c r="H6" s="488" t="s">
        <v>621</v>
      </c>
      <c r="I6" s="510" t="s">
        <v>757</v>
      </c>
      <c r="J6" s="510" t="s">
        <v>766</v>
      </c>
      <c r="K6" s="486" t="s">
        <v>545</v>
      </c>
      <c r="L6" s="392" t="s">
        <v>696</v>
      </c>
      <c r="M6" s="387"/>
      <c r="N6" s="509" t="s">
        <v>547</v>
      </c>
      <c r="O6" s="392" t="s">
        <v>763</v>
      </c>
    </row>
    <row r="7" spans="1:16" s="154" customFormat="1" ht="15" customHeight="1" x14ac:dyDescent="0.25">
      <c r="A7" s="465">
        <v>1</v>
      </c>
      <c r="B7" s="492" t="s">
        <v>622</v>
      </c>
      <c r="C7" s="1019">
        <f>+C8+C14</f>
        <v>176542</v>
      </c>
      <c r="D7" s="1019">
        <f t="shared" ref="D7:N7" si="0">+D8+D14</f>
        <v>176491</v>
      </c>
      <c r="E7" s="1019">
        <f t="shared" si="0"/>
        <v>17150</v>
      </c>
      <c r="F7" s="1019">
        <f t="shared" si="0"/>
        <v>17080</v>
      </c>
      <c r="G7" s="1019">
        <f t="shared" si="0"/>
        <v>193692</v>
      </c>
      <c r="H7" s="1020">
        <f t="shared" si="0"/>
        <v>193571</v>
      </c>
      <c r="I7" s="1021">
        <f t="shared" si="0"/>
        <v>0</v>
      </c>
      <c r="J7" s="1021">
        <f t="shared" si="0"/>
        <v>0</v>
      </c>
      <c r="K7" s="1022">
        <f t="shared" si="0"/>
        <v>1202</v>
      </c>
      <c r="L7" s="1023">
        <f t="shared" si="0"/>
        <v>121</v>
      </c>
      <c r="M7" s="618"/>
      <c r="N7" s="1024">
        <f t="shared" si="0"/>
        <v>0</v>
      </c>
      <c r="O7" s="1019">
        <f>+O8+O14</f>
        <v>193571</v>
      </c>
      <c r="P7" s="748"/>
    </row>
    <row r="8" spans="1:16" s="154" customFormat="1" ht="13.5" customHeight="1" x14ac:dyDescent="0.25">
      <c r="A8" s="522">
        <f>A7+1</f>
        <v>2</v>
      </c>
      <c r="B8" s="489" t="s">
        <v>837</v>
      </c>
      <c r="C8" s="1025">
        <f>C9+C10+C11</f>
        <v>138442</v>
      </c>
      <c r="D8" s="1025">
        <f t="shared" ref="D8:L8" si="1">D9+D10+D11</f>
        <v>138422</v>
      </c>
      <c r="E8" s="1025">
        <f t="shared" si="1"/>
        <v>17000</v>
      </c>
      <c r="F8" s="1025">
        <f t="shared" si="1"/>
        <v>17000</v>
      </c>
      <c r="G8" s="1025">
        <f t="shared" si="1"/>
        <v>155442</v>
      </c>
      <c r="H8" s="1026">
        <f t="shared" si="1"/>
        <v>155422</v>
      </c>
      <c r="I8" s="1027">
        <v>0</v>
      </c>
      <c r="J8" s="1028">
        <f t="shared" si="1"/>
        <v>0</v>
      </c>
      <c r="K8" s="1029">
        <f t="shared" si="1"/>
        <v>1001</v>
      </c>
      <c r="L8" s="1030">
        <f t="shared" si="1"/>
        <v>20</v>
      </c>
      <c r="M8" s="618"/>
      <c r="N8" s="1031">
        <v>0</v>
      </c>
      <c r="O8" s="1030">
        <f>O9+O10+O11</f>
        <v>155422</v>
      </c>
      <c r="P8" s="748"/>
    </row>
    <row r="9" spans="1:16" s="152" customFormat="1" ht="12.75" customHeight="1" x14ac:dyDescent="0.25">
      <c r="A9" s="467">
        <f t="shared" ref="A9:A46" si="2">A8+1</f>
        <v>3</v>
      </c>
      <c r="B9" s="490" t="s">
        <v>861</v>
      </c>
      <c r="C9" s="604">
        <v>0</v>
      </c>
      <c r="D9" s="604">
        <v>0</v>
      </c>
      <c r="E9" s="604">
        <v>0</v>
      </c>
      <c r="F9" s="604">
        <v>0</v>
      </c>
      <c r="G9" s="604">
        <f t="shared" ref="G9:H13" si="3">+C9+E9</f>
        <v>0</v>
      </c>
      <c r="H9" s="614">
        <f t="shared" si="3"/>
        <v>0</v>
      </c>
      <c r="I9" s="615">
        <v>0</v>
      </c>
      <c r="J9" s="634">
        <v>0</v>
      </c>
      <c r="K9" s="632">
        <v>0</v>
      </c>
      <c r="L9" s="605">
        <f>+G9-H9</f>
        <v>0</v>
      </c>
      <c r="M9" s="612"/>
      <c r="N9" s="607">
        <v>0</v>
      </c>
      <c r="O9" s="605">
        <f>H9+N9</f>
        <v>0</v>
      </c>
      <c r="P9" s="748"/>
    </row>
    <row r="10" spans="1:16" s="152" customFormat="1" ht="12.75" customHeight="1" x14ac:dyDescent="0.25">
      <c r="A10" s="467">
        <f t="shared" si="2"/>
        <v>4</v>
      </c>
      <c r="B10" s="490" t="s">
        <v>845</v>
      </c>
      <c r="C10" s="604">
        <v>138045</v>
      </c>
      <c r="D10" s="604">
        <v>138045</v>
      </c>
      <c r="E10" s="604">
        <v>17000</v>
      </c>
      <c r="F10" s="604">
        <v>17000</v>
      </c>
      <c r="G10" s="604">
        <f t="shared" si="3"/>
        <v>155045</v>
      </c>
      <c r="H10" s="614">
        <f t="shared" si="3"/>
        <v>155045</v>
      </c>
      <c r="I10" s="615">
        <v>0</v>
      </c>
      <c r="J10" s="634">
        <v>0</v>
      </c>
      <c r="K10" s="632">
        <v>1001</v>
      </c>
      <c r="L10" s="605">
        <f>+G10-H10</f>
        <v>0</v>
      </c>
      <c r="M10" s="612"/>
      <c r="N10" s="607">
        <v>0</v>
      </c>
      <c r="O10" s="605">
        <f>H10+N10</f>
        <v>155045</v>
      </c>
      <c r="P10" s="748"/>
    </row>
    <row r="11" spans="1:16" s="152" customFormat="1" ht="12.75" customHeight="1" x14ac:dyDescent="0.25">
      <c r="A11" s="467">
        <f t="shared" si="2"/>
        <v>5</v>
      </c>
      <c r="B11" s="490" t="s">
        <v>838</v>
      </c>
      <c r="C11" s="604">
        <f>C12+C13</f>
        <v>397</v>
      </c>
      <c r="D11" s="604">
        <f t="shared" ref="D11:F11" si="4">D12+D13</f>
        <v>377</v>
      </c>
      <c r="E11" s="604">
        <f t="shared" si="4"/>
        <v>0</v>
      </c>
      <c r="F11" s="604">
        <f t="shared" si="4"/>
        <v>0</v>
      </c>
      <c r="G11" s="604">
        <f t="shared" si="3"/>
        <v>397</v>
      </c>
      <c r="H11" s="614">
        <f t="shared" si="3"/>
        <v>377</v>
      </c>
      <c r="I11" s="615">
        <f>SUM(I12:I13)</f>
        <v>0</v>
      </c>
      <c r="J11" s="634">
        <f>SUM(J12:J13)</f>
        <v>0</v>
      </c>
      <c r="K11" s="632">
        <f>SUM(K12:K13)</f>
        <v>0</v>
      </c>
      <c r="L11" s="605">
        <f>+G11-H11</f>
        <v>20</v>
      </c>
      <c r="M11" s="612"/>
      <c r="N11" s="607">
        <f t="shared" ref="N11" si="5">+I11-J11</f>
        <v>0</v>
      </c>
      <c r="O11" s="605">
        <f>SUM(O12:O13)</f>
        <v>377</v>
      </c>
      <c r="P11" s="748"/>
    </row>
    <row r="12" spans="1:16" s="152" customFormat="1" ht="12.75" customHeight="1" x14ac:dyDescent="0.25">
      <c r="A12" s="467">
        <f t="shared" si="2"/>
        <v>6</v>
      </c>
      <c r="B12" s="491" t="s">
        <v>1355</v>
      </c>
      <c r="C12" s="604">
        <v>301</v>
      </c>
      <c r="D12" s="604">
        <v>301</v>
      </c>
      <c r="E12" s="604">
        <v>0</v>
      </c>
      <c r="F12" s="604">
        <v>0</v>
      </c>
      <c r="G12" s="604">
        <f t="shared" si="3"/>
        <v>301</v>
      </c>
      <c r="H12" s="614">
        <f t="shared" si="3"/>
        <v>301</v>
      </c>
      <c r="I12" s="615">
        <v>0</v>
      </c>
      <c r="J12" s="634">
        <v>0</v>
      </c>
      <c r="K12" s="632">
        <v>0</v>
      </c>
      <c r="L12" s="605">
        <f>+G12-H12</f>
        <v>0</v>
      </c>
      <c r="M12" s="612"/>
      <c r="N12" s="607">
        <v>0</v>
      </c>
      <c r="O12" s="605">
        <f>H12+N12</f>
        <v>301</v>
      </c>
      <c r="P12" s="748"/>
    </row>
    <row r="13" spans="1:16" s="152" customFormat="1" ht="12.75" customHeight="1" x14ac:dyDescent="0.25">
      <c r="A13" s="467">
        <f t="shared" si="2"/>
        <v>7</v>
      </c>
      <c r="B13" s="491" t="s">
        <v>1356</v>
      </c>
      <c r="C13" s="604">
        <v>96</v>
      </c>
      <c r="D13" s="604">
        <v>76</v>
      </c>
      <c r="E13" s="604">
        <v>0</v>
      </c>
      <c r="F13" s="604">
        <v>0</v>
      </c>
      <c r="G13" s="604">
        <f t="shared" si="3"/>
        <v>96</v>
      </c>
      <c r="H13" s="614">
        <f t="shared" si="3"/>
        <v>76</v>
      </c>
      <c r="I13" s="615">
        <v>0</v>
      </c>
      <c r="J13" s="634">
        <v>0</v>
      </c>
      <c r="K13" s="632">
        <v>0</v>
      </c>
      <c r="L13" s="605">
        <f>+G13-H13</f>
        <v>20</v>
      </c>
      <c r="M13" s="612"/>
      <c r="N13" s="607">
        <v>0</v>
      </c>
      <c r="O13" s="605">
        <f>H13+N13</f>
        <v>76</v>
      </c>
      <c r="P13" s="748"/>
    </row>
    <row r="14" spans="1:16" s="154" customFormat="1" ht="13.5" customHeight="1" x14ac:dyDescent="0.25">
      <c r="A14" s="522">
        <f t="shared" si="2"/>
        <v>8</v>
      </c>
      <c r="B14" s="489" t="s">
        <v>866</v>
      </c>
      <c r="C14" s="1025">
        <f t="shared" ref="C14:H14" si="6">C15+C16+C21+C22+C23</f>
        <v>38100</v>
      </c>
      <c r="D14" s="1025">
        <f t="shared" si="6"/>
        <v>38069</v>
      </c>
      <c r="E14" s="1025">
        <f t="shared" si="6"/>
        <v>150</v>
      </c>
      <c r="F14" s="1025">
        <f t="shared" si="6"/>
        <v>80</v>
      </c>
      <c r="G14" s="1025">
        <f t="shared" si="6"/>
        <v>38250</v>
      </c>
      <c r="H14" s="1026">
        <f t="shared" si="6"/>
        <v>38149</v>
      </c>
      <c r="I14" s="1028">
        <v>0</v>
      </c>
      <c r="J14" s="1028">
        <f>J15+J16+J21+J22+J23</f>
        <v>0</v>
      </c>
      <c r="K14" s="1029">
        <f>K15+K16+K21+K22+K23</f>
        <v>201</v>
      </c>
      <c r="L14" s="1030">
        <f>L15+L16+L21+L22+L23</f>
        <v>101</v>
      </c>
      <c r="M14" s="618"/>
      <c r="N14" s="1031">
        <f>N15+N16+N21+N22+N23</f>
        <v>0</v>
      </c>
      <c r="O14" s="1030">
        <f>O15+O16+O21+O22+O23</f>
        <v>38149</v>
      </c>
      <c r="P14" s="748"/>
    </row>
    <row r="15" spans="1:16" s="154" customFormat="1" ht="13.5" customHeight="1" x14ac:dyDescent="0.25">
      <c r="A15" s="482">
        <f t="shared" si="2"/>
        <v>9</v>
      </c>
      <c r="B15" s="493" t="s">
        <v>860</v>
      </c>
      <c r="C15" s="616">
        <v>0</v>
      </c>
      <c r="D15" s="617">
        <v>0</v>
      </c>
      <c r="E15" s="617">
        <v>0</v>
      </c>
      <c r="F15" s="617">
        <v>0</v>
      </c>
      <c r="G15" s="1032">
        <f>+C15+E15</f>
        <v>0</v>
      </c>
      <c r="H15" s="1033">
        <f>+D15+F15</f>
        <v>0</v>
      </c>
      <c r="I15" s="1034">
        <v>0</v>
      </c>
      <c r="J15" s="624">
        <v>0</v>
      </c>
      <c r="K15" s="616">
        <v>0</v>
      </c>
      <c r="L15" s="1035">
        <f>+G15-H15</f>
        <v>0</v>
      </c>
      <c r="M15" s="618"/>
      <c r="N15" s="619">
        <v>0</v>
      </c>
      <c r="O15" s="1035">
        <f>H15+N15</f>
        <v>0</v>
      </c>
      <c r="P15" s="748"/>
    </row>
    <row r="16" spans="1:16" s="154" customFormat="1" ht="12.75" customHeight="1" x14ac:dyDescent="0.25">
      <c r="A16" s="482">
        <f t="shared" si="2"/>
        <v>10</v>
      </c>
      <c r="B16" s="493" t="s">
        <v>839</v>
      </c>
      <c r="C16" s="616">
        <f>SUM(C17:C20)</f>
        <v>6796</v>
      </c>
      <c r="D16" s="617">
        <f>SUM(D17:D20)</f>
        <v>6765</v>
      </c>
      <c r="E16" s="617">
        <f>SUM(E17:E20)</f>
        <v>0</v>
      </c>
      <c r="F16" s="617">
        <f>SUM(F17:F20)</f>
        <v>0</v>
      </c>
      <c r="G16" s="1032">
        <f t="shared" ref="G16:H23" si="7">+C16+E16</f>
        <v>6796</v>
      </c>
      <c r="H16" s="1033">
        <f t="shared" si="7"/>
        <v>6765</v>
      </c>
      <c r="I16" s="1034">
        <v>0</v>
      </c>
      <c r="J16" s="624">
        <f>SUM(J17:J20)</f>
        <v>0</v>
      </c>
      <c r="K16" s="616">
        <f>SUM(K17:K20)</f>
        <v>201</v>
      </c>
      <c r="L16" s="1035">
        <f>SUM(L17:L20)</f>
        <v>31</v>
      </c>
      <c r="M16" s="618"/>
      <c r="N16" s="619">
        <f>SUM(N17:N20)</f>
        <v>0</v>
      </c>
      <c r="O16" s="1035">
        <f>SUM(O17:O20)</f>
        <v>6765</v>
      </c>
      <c r="P16" s="748"/>
    </row>
    <row r="17" spans="1:16" s="154" customFormat="1" ht="12.75" customHeight="1" x14ac:dyDescent="0.25">
      <c r="A17" s="467">
        <f>A16+1</f>
        <v>11</v>
      </c>
      <c r="B17" s="491" t="s">
        <v>1357</v>
      </c>
      <c r="C17" s="620">
        <v>603</v>
      </c>
      <c r="D17" s="621">
        <v>603</v>
      </c>
      <c r="E17" s="621">
        <v>0</v>
      </c>
      <c r="F17" s="621">
        <v>0</v>
      </c>
      <c r="G17" s="604">
        <f t="shared" si="7"/>
        <v>603</v>
      </c>
      <c r="H17" s="614">
        <f t="shared" si="7"/>
        <v>603</v>
      </c>
      <c r="I17" s="622">
        <v>0</v>
      </c>
      <c r="J17" s="622">
        <v>0</v>
      </c>
      <c r="K17" s="620">
        <v>0</v>
      </c>
      <c r="L17" s="605">
        <f>+G17-H17</f>
        <v>0</v>
      </c>
      <c r="M17" s="612"/>
      <c r="N17" s="623">
        <v>0</v>
      </c>
      <c r="O17" s="605">
        <f>H17+N17</f>
        <v>603</v>
      </c>
      <c r="P17" s="748"/>
    </row>
    <row r="18" spans="1:16" s="154" customFormat="1" ht="12.75" customHeight="1" x14ac:dyDescent="0.25">
      <c r="A18" s="467">
        <f>A17+1</f>
        <v>12</v>
      </c>
      <c r="B18" s="491" t="s">
        <v>1358</v>
      </c>
      <c r="C18" s="620">
        <v>260</v>
      </c>
      <c r="D18" s="621">
        <v>229</v>
      </c>
      <c r="E18" s="621">
        <v>0</v>
      </c>
      <c r="F18" s="621">
        <v>0</v>
      </c>
      <c r="G18" s="604">
        <f t="shared" si="7"/>
        <v>260</v>
      </c>
      <c r="H18" s="614">
        <f t="shared" si="7"/>
        <v>229</v>
      </c>
      <c r="I18" s="622">
        <v>0</v>
      </c>
      <c r="J18" s="622">
        <v>0</v>
      </c>
      <c r="K18" s="620">
        <v>0</v>
      </c>
      <c r="L18" s="605">
        <f>+G18-H18</f>
        <v>31</v>
      </c>
      <c r="M18" s="612"/>
      <c r="N18" s="623">
        <v>0</v>
      </c>
      <c r="O18" s="605">
        <f>H18+N18</f>
        <v>229</v>
      </c>
      <c r="P18" s="748"/>
    </row>
    <row r="19" spans="1:16" s="154" customFormat="1" ht="12.75" customHeight="1" x14ac:dyDescent="0.25">
      <c r="A19" s="467">
        <f>A18+1</f>
        <v>13</v>
      </c>
      <c r="B19" s="491" t="s">
        <v>1359</v>
      </c>
      <c r="C19" s="620">
        <v>661</v>
      </c>
      <c r="D19" s="621">
        <v>661</v>
      </c>
      <c r="E19" s="621">
        <v>0</v>
      </c>
      <c r="F19" s="621">
        <v>0</v>
      </c>
      <c r="G19" s="604">
        <f t="shared" si="7"/>
        <v>661</v>
      </c>
      <c r="H19" s="614">
        <f t="shared" si="7"/>
        <v>661</v>
      </c>
      <c r="I19" s="622">
        <v>0</v>
      </c>
      <c r="J19" s="622">
        <v>0</v>
      </c>
      <c r="K19" s="620">
        <v>0</v>
      </c>
      <c r="L19" s="605">
        <f>+G19-H19</f>
        <v>0</v>
      </c>
      <c r="M19" s="612"/>
      <c r="N19" s="623">
        <v>0</v>
      </c>
      <c r="O19" s="605">
        <f>H19+N19</f>
        <v>661</v>
      </c>
      <c r="P19" s="748"/>
    </row>
    <row r="20" spans="1:16" s="152" customFormat="1" ht="12.75" customHeight="1" x14ac:dyDescent="0.25">
      <c r="A20" s="467">
        <f>A19+1</f>
        <v>14</v>
      </c>
      <c r="B20" s="491" t="s">
        <v>1360</v>
      </c>
      <c r="C20" s="620">
        <v>5272</v>
      </c>
      <c r="D20" s="621">
        <v>5272</v>
      </c>
      <c r="E20" s="621">
        <v>0</v>
      </c>
      <c r="F20" s="621">
        <v>0</v>
      </c>
      <c r="G20" s="604">
        <f t="shared" si="7"/>
        <v>5272</v>
      </c>
      <c r="H20" s="614">
        <f t="shared" si="7"/>
        <v>5272</v>
      </c>
      <c r="I20" s="622">
        <v>0</v>
      </c>
      <c r="J20" s="622">
        <v>0</v>
      </c>
      <c r="K20" s="620">
        <v>201</v>
      </c>
      <c r="L20" s="605">
        <f>+G20-H20</f>
        <v>0</v>
      </c>
      <c r="M20" s="612"/>
      <c r="N20" s="623">
        <v>0</v>
      </c>
      <c r="O20" s="605">
        <f>H20+N20</f>
        <v>5272</v>
      </c>
      <c r="P20" s="748"/>
    </row>
    <row r="21" spans="1:16" s="154" customFormat="1" ht="12.75" customHeight="1" x14ac:dyDescent="0.25">
      <c r="A21" s="482">
        <f t="shared" si="2"/>
        <v>15</v>
      </c>
      <c r="B21" s="493" t="s">
        <v>840</v>
      </c>
      <c r="C21" s="616">
        <v>0</v>
      </c>
      <c r="D21" s="617">
        <v>0</v>
      </c>
      <c r="E21" s="617">
        <v>0</v>
      </c>
      <c r="F21" s="617">
        <v>0</v>
      </c>
      <c r="G21" s="1032">
        <f t="shared" si="7"/>
        <v>0</v>
      </c>
      <c r="H21" s="1033">
        <f t="shared" si="7"/>
        <v>0</v>
      </c>
      <c r="I21" s="624">
        <v>0</v>
      </c>
      <c r="J21" s="624">
        <v>0</v>
      </c>
      <c r="K21" s="616">
        <v>0</v>
      </c>
      <c r="L21" s="1035">
        <f t="shared" ref="L21:L23" si="8">+G21-H21</f>
        <v>0</v>
      </c>
      <c r="M21" s="618"/>
      <c r="N21" s="619">
        <v>0</v>
      </c>
      <c r="O21" s="1035">
        <f t="shared" ref="O21:O23" si="9">H21+N21</f>
        <v>0</v>
      </c>
      <c r="P21" s="748"/>
    </row>
    <row r="22" spans="1:16" s="154" customFormat="1" ht="12.75" customHeight="1" x14ac:dyDescent="0.25">
      <c r="A22" s="482">
        <f t="shared" si="2"/>
        <v>16</v>
      </c>
      <c r="B22" s="493" t="s">
        <v>841</v>
      </c>
      <c r="C22" s="616">
        <v>31304</v>
      </c>
      <c r="D22" s="617">
        <v>31304</v>
      </c>
      <c r="E22" s="617">
        <v>150</v>
      </c>
      <c r="F22" s="617">
        <v>80</v>
      </c>
      <c r="G22" s="1032">
        <f t="shared" si="7"/>
        <v>31454</v>
      </c>
      <c r="H22" s="1033">
        <f t="shared" si="7"/>
        <v>31384</v>
      </c>
      <c r="I22" s="624">
        <v>0</v>
      </c>
      <c r="J22" s="624">
        <v>0</v>
      </c>
      <c r="K22" s="616">
        <v>0</v>
      </c>
      <c r="L22" s="1035">
        <f t="shared" si="8"/>
        <v>70</v>
      </c>
      <c r="M22" s="618"/>
      <c r="N22" s="619">
        <v>0</v>
      </c>
      <c r="O22" s="1035">
        <f t="shared" si="9"/>
        <v>31384</v>
      </c>
      <c r="P22" s="748"/>
    </row>
    <row r="23" spans="1:16" s="154" customFormat="1" ht="12.75" customHeight="1" x14ac:dyDescent="0.25">
      <c r="A23" s="482">
        <f t="shared" si="2"/>
        <v>17</v>
      </c>
      <c r="B23" s="494" t="s">
        <v>842</v>
      </c>
      <c r="C23" s="616">
        <v>0</v>
      </c>
      <c r="D23" s="617">
        <v>0</v>
      </c>
      <c r="E23" s="617">
        <v>0</v>
      </c>
      <c r="F23" s="617">
        <v>0</v>
      </c>
      <c r="G23" s="1032">
        <f t="shared" si="7"/>
        <v>0</v>
      </c>
      <c r="H23" s="1033">
        <f t="shared" si="7"/>
        <v>0</v>
      </c>
      <c r="I23" s="624">
        <v>0</v>
      </c>
      <c r="J23" s="624">
        <v>0</v>
      </c>
      <c r="K23" s="616">
        <v>0</v>
      </c>
      <c r="L23" s="1035">
        <f t="shared" si="8"/>
        <v>0</v>
      </c>
      <c r="M23" s="618"/>
      <c r="N23" s="619">
        <v>0</v>
      </c>
      <c r="O23" s="1035">
        <f t="shared" si="9"/>
        <v>0</v>
      </c>
      <c r="P23" s="748"/>
    </row>
    <row r="24" spans="1:16" s="154" customFormat="1" ht="13.5" customHeight="1" x14ac:dyDescent="0.25">
      <c r="A24" s="465">
        <f t="shared" si="2"/>
        <v>18</v>
      </c>
      <c r="B24" s="492" t="s">
        <v>758</v>
      </c>
      <c r="C24" s="1036">
        <f>+C25+C28+C31+C33+C35</f>
        <v>52013</v>
      </c>
      <c r="D24" s="1037">
        <f t="shared" ref="D24:L24" si="10">+D25+D28+D31+D33+D35</f>
        <v>51666</v>
      </c>
      <c r="E24" s="1037">
        <f t="shared" si="10"/>
        <v>3070</v>
      </c>
      <c r="F24" s="1037">
        <f t="shared" si="10"/>
        <v>3056</v>
      </c>
      <c r="G24" s="1037">
        <f t="shared" si="10"/>
        <v>54908</v>
      </c>
      <c r="H24" s="1038">
        <f t="shared" si="10"/>
        <v>54547</v>
      </c>
      <c r="I24" s="1039">
        <f t="shared" si="10"/>
        <v>0</v>
      </c>
      <c r="J24" s="1039">
        <f t="shared" si="10"/>
        <v>13511</v>
      </c>
      <c r="K24" s="1040">
        <f t="shared" si="10"/>
        <v>181</v>
      </c>
      <c r="L24" s="1041">
        <f t="shared" si="10"/>
        <v>361</v>
      </c>
      <c r="M24" s="618"/>
      <c r="N24" s="1036">
        <f t="shared" ref="N24:O24" si="11">+N25+N28+N31+N33+N35</f>
        <v>0</v>
      </c>
      <c r="O24" s="1041">
        <f t="shared" si="11"/>
        <v>54722</v>
      </c>
      <c r="P24" s="748"/>
    </row>
    <row r="25" spans="1:16" s="152" customFormat="1" ht="12.75" customHeight="1" x14ac:dyDescent="0.25">
      <c r="A25" s="520">
        <f t="shared" si="2"/>
        <v>19</v>
      </c>
      <c r="B25" s="521" t="s">
        <v>843</v>
      </c>
      <c r="C25" s="1025">
        <f t="shared" ref="C25:L25" si="12">+C26+C27</f>
        <v>36905</v>
      </c>
      <c r="D25" s="1025">
        <f t="shared" si="12"/>
        <v>36642</v>
      </c>
      <c r="E25" s="1025">
        <f t="shared" si="12"/>
        <v>0</v>
      </c>
      <c r="F25" s="1025">
        <f t="shared" si="12"/>
        <v>0</v>
      </c>
      <c r="G25" s="1025">
        <f t="shared" si="12"/>
        <v>36905</v>
      </c>
      <c r="H25" s="1026">
        <f t="shared" si="12"/>
        <v>36642</v>
      </c>
      <c r="I25" s="1028">
        <f t="shared" si="12"/>
        <v>0</v>
      </c>
      <c r="J25" s="1028">
        <f t="shared" si="12"/>
        <v>5645</v>
      </c>
      <c r="K25" s="1029">
        <f t="shared" si="12"/>
        <v>181</v>
      </c>
      <c r="L25" s="1030">
        <f t="shared" si="12"/>
        <v>263</v>
      </c>
      <c r="M25" s="618"/>
      <c r="N25" s="1031">
        <f>+N26+N27</f>
        <v>0</v>
      </c>
      <c r="O25" s="1030">
        <f>+O26+O27</f>
        <v>36642</v>
      </c>
      <c r="P25" s="748"/>
    </row>
    <row r="26" spans="1:16" s="152" customFormat="1" ht="12.75" customHeight="1" x14ac:dyDescent="0.25">
      <c r="A26" s="467">
        <f t="shared" si="2"/>
        <v>20</v>
      </c>
      <c r="B26" s="1042" t="s">
        <v>1361</v>
      </c>
      <c r="C26" s="1043">
        <v>35063</v>
      </c>
      <c r="D26" s="1044">
        <v>35063</v>
      </c>
      <c r="E26" s="1044">
        <v>0</v>
      </c>
      <c r="F26" s="1044">
        <v>0</v>
      </c>
      <c r="G26" s="604">
        <f t="shared" ref="G26:H27" si="13">+C26+E26</f>
        <v>35063</v>
      </c>
      <c r="H26" s="614">
        <f t="shared" si="13"/>
        <v>35063</v>
      </c>
      <c r="I26" s="622">
        <v>0</v>
      </c>
      <c r="J26" s="1045">
        <v>5645</v>
      </c>
      <c r="K26" s="1043">
        <v>177</v>
      </c>
      <c r="L26" s="605">
        <f>+G26-H26</f>
        <v>0</v>
      </c>
      <c r="M26" s="612"/>
      <c r="N26" s="623">
        <v>0</v>
      </c>
      <c r="O26" s="605">
        <f t="shared" ref="O26:O30" si="14">H26+N26</f>
        <v>35063</v>
      </c>
      <c r="P26" s="748"/>
    </row>
    <row r="27" spans="1:16" s="152" customFormat="1" ht="12.75" customHeight="1" x14ac:dyDescent="0.25">
      <c r="A27" s="467">
        <f t="shared" si="2"/>
        <v>21</v>
      </c>
      <c r="B27" s="491" t="s">
        <v>1362</v>
      </c>
      <c r="C27" s="1043">
        <v>1842</v>
      </c>
      <c r="D27" s="1044">
        <v>1579</v>
      </c>
      <c r="E27" s="1044">
        <v>0</v>
      </c>
      <c r="F27" s="1044">
        <v>0</v>
      </c>
      <c r="G27" s="604">
        <f t="shared" si="13"/>
        <v>1842</v>
      </c>
      <c r="H27" s="614">
        <f t="shared" si="13"/>
        <v>1579</v>
      </c>
      <c r="I27" s="622">
        <v>0</v>
      </c>
      <c r="J27" s="1045">
        <v>0</v>
      </c>
      <c r="K27" s="1043">
        <v>4</v>
      </c>
      <c r="L27" s="605">
        <f>+G27-H27</f>
        <v>263</v>
      </c>
      <c r="M27" s="612"/>
      <c r="N27" s="623">
        <v>0</v>
      </c>
      <c r="O27" s="605">
        <f t="shared" si="14"/>
        <v>1579</v>
      </c>
      <c r="P27" s="748"/>
    </row>
    <row r="28" spans="1:16" s="152" customFormat="1" ht="12.75" customHeight="1" x14ac:dyDescent="0.25">
      <c r="A28" s="520">
        <f t="shared" si="2"/>
        <v>22</v>
      </c>
      <c r="B28" s="521" t="s">
        <v>844</v>
      </c>
      <c r="C28" s="1025">
        <f>SUM(C29:C30)</f>
        <v>10484</v>
      </c>
      <c r="D28" s="1025">
        <f t="shared" ref="D28:F28" si="15">SUM(D29:D30)</f>
        <v>10484</v>
      </c>
      <c r="E28" s="1025">
        <f t="shared" si="15"/>
        <v>0</v>
      </c>
      <c r="F28" s="1025">
        <f t="shared" si="15"/>
        <v>0</v>
      </c>
      <c r="G28" s="1025">
        <f t="shared" ref="G28:L28" si="16">SUM(G29:G29)</f>
        <v>10309</v>
      </c>
      <c r="H28" s="1026">
        <f t="shared" si="16"/>
        <v>10309</v>
      </c>
      <c r="I28" s="1028">
        <f t="shared" si="16"/>
        <v>0</v>
      </c>
      <c r="J28" s="1028">
        <f t="shared" ref="J28:K28" si="17">SUM(J29:J30)</f>
        <v>6722</v>
      </c>
      <c r="K28" s="1029">
        <f t="shared" si="17"/>
        <v>0</v>
      </c>
      <c r="L28" s="1030">
        <f t="shared" si="16"/>
        <v>0</v>
      </c>
      <c r="M28" s="618"/>
      <c r="N28" s="1031">
        <f t="shared" ref="N28:O28" si="18">SUM(N29:N30)</f>
        <v>0</v>
      </c>
      <c r="O28" s="1030">
        <f t="shared" si="18"/>
        <v>10484</v>
      </c>
      <c r="P28" s="748"/>
    </row>
    <row r="29" spans="1:16" s="152" customFormat="1" ht="12.75" customHeight="1" x14ac:dyDescent="0.25">
      <c r="A29" s="467">
        <f t="shared" si="2"/>
        <v>23</v>
      </c>
      <c r="B29" s="491" t="s">
        <v>1147</v>
      </c>
      <c r="C29" s="1046">
        <v>10309</v>
      </c>
      <c r="D29" s="1047">
        <v>10309</v>
      </c>
      <c r="E29" s="1047">
        <v>0</v>
      </c>
      <c r="F29" s="1047">
        <v>0</v>
      </c>
      <c r="G29" s="604">
        <f>+C29+E29</f>
        <v>10309</v>
      </c>
      <c r="H29" s="614">
        <f>+D29+F29</f>
        <v>10309</v>
      </c>
      <c r="I29" s="627">
        <v>0</v>
      </c>
      <c r="J29" s="1048">
        <v>6722</v>
      </c>
      <c r="K29" s="1046">
        <v>0</v>
      </c>
      <c r="L29" s="605">
        <f>+G29-H29</f>
        <v>0</v>
      </c>
      <c r="M29" s="612"/>
      <c r="N29" s="628">
        <v>0</v>
      </c>
      <c r="O29" s="605">
        <f t="shared" si="14"/>
        <v>10309</v>
      </c>
      <c r="P29" s="748"/>
    </row>
    <row r="30" spans="1:16" s="152" customFormat="1" ht="12.75" customHeight="1" x14ac:dyDescent="0.25">
      <c r="A30" s="467">
        <f t="shared" si="2"/>
        <v>24</v>
      </c>
      <c r="B30" s="491" t="s">
        <v>1363</v>
      </c>
      <c r="C30" s="1046">
        <v>175</v>
      </c>
      <c r="D30" s="1047">
        <v>175</v>
      </c>
      <c r="E30" s="1047">
        <v>0</v>
      </c>
      <c r="F30" s="1047">
        <v>0</v>
      </c>
      <c r="G30" s="604">
        <f>+C30+E30</f>
        <v>175</v>
      </c>
      <c r="H30" s="614">
        <f>+D30+F30</f>
        <v>175</v>
      </c>
      <c r="I30" s="627">
        <v>0</v>
      </c>
      <c r="J30" s="1048">
        <v>0</v>
      </c>
      <c r="K30" s="1046">
        <v>0</v>
      </c>
      <c r="L30" s="605">
        <f>+G30-H30</f>
        <v>0</v>
      </c>
      <c r="M30" s="612"/>
      <c r="N30" s="628">
        <v>0</v>
      </c>
      <c r="O30" s="605">
        <f t="shared" si="14"/>
        <v>175</v>
      </c>
      <c r="P30" s="748"/>
    </row>
    <row r="31" spans="1:16" s="152" customFormat="1" ht="12.75" customHeight="1" x14ac:dyDescent="0.25">
      <c r="A31" s="520">
        <f t="shared" si="2"/>
        <v>25</v>
      </c>
      <c r="B31" s="508" t="s">
        <v>1364</v>
      </c>
      <c r="C31" s="1025">
        <f t="shared" ref="C31:L31" si="19">C32</f>
        <v>2232</v>
      </c>
      <c r="D31" s="1025">
        <f t="shared" si="19"/>
        <v>2148</v>
      </c>
      <c r="E31" s="1025">
        <f t="shared" si="19"/>
        <v>0</v>
      </c>
      <c r="F31" s="1025">
        <f t="shared" si="19"/>
        <v>0</v>
      </c>
      <c r="G31" s="1025">
        <f t="shared" si="19"/>
        <v>2232</v>
      </c>
      <c r="H31" s="1026">
        <f t="shared" si="19"/>
        <v>2148</v>
      </c>
      <c r="I31" s="1028">
        <f t="shared" si="19"/>
        <v>0</v>
      </c>
      <c r="J31" s="1028">
        <f t="shared" si="19"/>
        <v>150</v>
      </c>
      <c r="K31" s="1029">
        <f t="shared" si="19"/>
        <v>0</v>
      </c>
      <c r="L31" s="1030">
        <f t="shared" si="19"/>
        <v>84</v>
      </c>
      <c r="M31" s="618"/>
      <c r="N31" s="1031">
        <f>N32</f>
        <v>0</v>
      </c>
      <c r="O31" s="1030">
        <f>O32</f>
        <v>2148</v>
      </c>
      <c r="P31" s="748"/>
    </row>
    <row r="32" spans="1:16" s="152" customFormat="1" ht="12.75" customHeight="1" x14ac:dyDescent="0.25">
      <c r="A32" s="467">
        <f t="shared" si="2"/>
        <v>26</v>
      </c>
      <c r="B32" s="491" t="s">
        <v>1365</v>
      </c>
      <c r="C32" s="625">
        <v>2232</v>
      </c>
      <c r="D32" s="626">
        <v>2148</v>
      </c>
      <c r="E32" s="626">
        <v>0</v>
      </c>
      <c r="F32" s="626">
        <v>0</v>
      </c>
      <c r="G32" s="604">
        <f>+C32+E32</f>
        <v>2232</v>
      </c>
      <c r="H32" s="614">
        <f>+D32+F32</f>
        <v>2148</v>
      </c>
      <c r="I32" s="627">
        <v>0</v>
      </c>
      <c r="J32" s="1048">
        <v>150</v>
      </c>
      <c r="K32" s="625">
        <v>0</v>
      </c>
      <c r="L32" s="605">
        <f>+G32-H32</f>
        <v>84</v>
      </c>
      <c r="M32" s="612"/>
      <c r="N32" s="628">
        <v>0</v>
      </c>
      <c r="O32" s="605">
        <f>H32+N32</f>
        <v>2148</v>
      </c>
      <c r="P32" s="748"/>
    </row>
    <row r="33" spans="1:16" s="152" customFormat="1" ht="12.75" customHeight="1" x14ac:dyDescent="0.25">
      <c r="A33" s="520">
        <f t="shared" si="2"/>
        <v>27</v>
      </c>
      <c r="B33" s="508" t="s">
        <v>1366</v>
      </c>
      <c r="C33" s="1025">
        <f>+C34</f>
        <v>570</v>
      </c>
      <c r="D33" s="1025">
        <f t="shared" ref="D33:O33" si="20">+D34</f>
        <v>570</v>
      </c>
      <c r="E33" s="1025">
        <f t="shared" si="20"/>
        <v>3070</v>
      </c>
      <c r="F33" s="1025">
        <f t="shared" si="20"/>
        <v>3056</v>
      </c>
      <c r="G33" s="1025">
        <f t="shared" si="20"/>
        <v>3640</v>
      </c>
      <c r="H33" s="1026">
        <f t="shared" si="20"/>
        <v>3626</v>
      </c>
      <c r="I33" s="1028">
        <f t="shared" si="20"/>
        <v>0</v>
      </c>
      <c r="J33" s="1028">
        <f t="shared" si="20"/>
        <v>0</v>
      </c>
      <c r="K33" s="1029">
        <f t="shared" si="20"/>
        <v>0</v>
      </c>
      <c r="L33" s="1030">
        <f t="shared" si="20"/>
        <v>14</v>
      </c>
      <c r="M33" s="618"/>
      <c r="N33" s="1031">
        <f t="shared" si="20"/>
        <v>0</v>
      </c>
      <c r="O33" s="1030">
        <f t="shared" si="20"/>
        <v>3626</v>
      </c>
      <c r="P33" s="748"/>
    </row>
    <row r="34" spans="1:16" s="152" customFormat="1" ht="12.75" customHeight="1" x14ac:dyDescent="0.25">
      <c r="A34" s="467">
        <f t="shared" si="2"/>
        <v>28</v>
      </c>
      <c r="B34" s="491" t="s">
        <v>1367</v>
      </c>
      <c r="C34" s="625">
        <v>570</v>
      </c>
      <c r="D34" s="626">
        <v>570</v>
      </c>
      <c r="E34" s="1047">
        <v>3070</v>
      </c>
      <c r="F34" s="1047">
        <v>3056</v>
      </c>
      <c r="G34" s="604">
        <f>+C34+E34</f>
        <v>3640</v>
      </c>
      <c r="H34" s="614">
        <f>+D34+F34</f>
        <v>3626</v>
      </c>
      <c r="I34" s="627">
        <v>0</v>
      </c>
      <c r="J34" s="627">
        <v>0</v>
      </c>
      <c r="K34" s="625">
        <v>0</v>
      </c>
      <c r="L34" s="605">
        <f>+G34-H34</f>
        <v>14</v>
      </c>
      <c r="M34" s="612"/>
      <c r="N34" s="628">
        <v>0</v>
      </c>
      <c r="O34" s="605">
        <f>H34+N34</f>
        <v>3626</v>
      </c>
      <c r="P34" s="748"/>
    </row>
    <row r="35" spans="1:16" s="152" customFormat="1" ht="12.75" customHeight="1" x14ac:dyDescent="0.25">
      <c r="A35" s="520">
        <f t="shared" si="2"/>
        <v>29</v>
      </c>
      <c r="B35" s="508" t="s">
        <v>1368</v>
      </c>
      <c r="C35" s="1025">
        <f>+C36</f>
        <v>1822</v>
      </c>
      <c r="D35" s="1025">
        <f t="shared" ref="D35:L35" si="21">+D36</f>
        <v>1822</v>
      </c>
      <c r="E35" s="1025">
        <f t="shared" si="21"/>
        <v>0</v>
      </c>
      <c r="F35" s="1025">
        <f t="shared" si="21"/>
        <v>0</v>
      </c>
      <c r="G35" s="1025">
        <f t="shared" si="21"/>
        <v>1822</v>
      </c>
      <c r="H35" s="1026">
        <f t="shared" si="21"/>
        <v>1822</v>
      </c>
      <c r="I35" s="1028">
        <f t="shared" si="21"/>
        <v>0</v>
      </c>
      <c r="J35" s="1028">
        <f t="shared" si="21"/>
        <v>994</v>
      </c>
      <c r="K35" s="1029">
        <f t="shared" si="21"/>
        <v>0</v>
      </c>
      <c r="L35" s="1030">
        <f t="shared" si="21"/>
        <v>0</v>
      </c>
      <c r="M35" s="618"/>
      <c r="N35" s="1031">
        <f>+N36</f>
        <v>0</v>
      </c>
      <c r="O35" s="1030">
        <f>+O36</f>
        <v>1822</v>
      </c>
      <c r="P35" s="748"/>
    </row>
    <row r="36" spans="1:16" s="152" customFormat="1" ht="12.75" customHeight="1" x14ac:dyDescent="0.25">
      <c r="A36" s="467">
        <f t="shared" si="2"/>
        <v>30</v>
      </c>
      <c r="B36" s="491" t="s">
        <v>1369</v>
      </c>
      <c r="C36" s="625">
        <v>1822</v>
      </c>
      <c r="D36" s="626">
        <v>1822</v>
      </c>
      <c r="E36" s="626">
        <v>0</v>
      </c>
      <c r="F36" s="626">
        <v>0</v>
      </c>
      <c r="G36" s="604">
        <f t="shared" ref="G36:H36" si="22">+C36+E36</f>
        <v>1822</v>
      </c>
      <c r="H36" s="614">
        <f t="shared" si="22"/>
        <v>1822</v>
      </c>
      <c r="I36" s="627">
        <v>0</v>
      </c>
      <c r="J36" s="1048">
        <v>994</v>
      </c>
      <c r="K36" s="625">
        <v>0</v>
      </c>
      <c r="L36" s="605">
        <f>+G36-H36</f>
        <v>0</v>
      </c>
      <c r="M36" s="612"/>
      <c r="N36" s="628">
        <v>0</v>
      </c>
      <c r="O36" s="605">
        <f>H36+N36</f>
        <v>1822</v>
      </c>
      <c r="P36" s="748"/>
    </row>
    <row r="37" spans="1:16" s="154" customFormat="1" ht="12.75" customHeight="1" x14ac:dyDescent="0.25">
      <c r="A37" s="465">
        <f t="shared" si="2"/>
        <v>31</v>
      </c>
      <c r="B37" s="492" t="s">
        <v>756</v>
      </c>
      <c r="C37" s="1036">
        <v>0</v>
      </c>
      <c r="D37" s="1037">
        <v>0</v>
      </c>
      <c r="E37" s="1037">
        <v>0</v>
      </c>
      <c r="F37" s="1037">
        <v>0</v>
      </c>
      <c r="G37" s="1037">
        <v>0</v>
      </c>
      <c r="H37" s="1038">
        <v>0</v>
      </c>
      <c r="I37" s="1039">
        <v>0</v>
      </c>
      <c r="J37" s="1039">
        <v>0</v>
      </c>
      <c r="K37" s="1040">
        <v>0</v>
      </c>
      <c r="L37" s="1041">
        <f>+L38+L40</f>
        <v>0</v>
      </c>
      <c r="M37" s="618"/>
      <c r="N37" s="1036">
        <v>0</v>
      </c>
      <c r="O37" s="1041">
        <f>H37+N37</f>
        <v>0</v>
      </c>
      <c r="P37" s="748"/>
    </row>
    <row r="38" spans="1:16" s="154" customFormat="1" ht="13.5" customHeight="1" x14ac:dyDescent="0.25">
      <c r="A38" s="465">
        <f t="shared" si="2"/>
        <v>32</v>
      </c>
      <c r="B38" s="492" t="s">
        <v>774</v>
      </c>
      <c r="C38" s="1036">
        <f t="shared" ref="C38:H38" si="23">+C39+C42</f>
        <v>11959</v>
      </c>
      <c r="D38" s="1037">
        <f t="shared" si="23"/>
        <v>11959</v>
      </c>
      <c r="E38" s="1037">
        <f t="shared" si="23"/>
        <v>0</v>
      </c>
      <c r="F38" s="1037">
        <f t="shared" si="23"/>
        <v>0</v>
      </c>
      <c r="G38" s="1037">
        <f t="shared" si="23"/>
        <v>11959</v>
      </c>
      <c r="H38" s="1038">
        <f t="shared" si="23"/>
        <v>11959</v>
      </c>
      <c r="I38" s="1039">
        <v>100</v>
      </c>
      <c r="J38" s="1039">
        <f>+J39+J42</f>
        <v>0</v>
      </c>
      <c r="K38" s="1040">
        <f>+K39+K42</f>
        <v>0</v>
      </c>
      <c r="L38" s="1041">
        <f>+L39+L42</f>
        <v>0</v>
      </c>
      <c r="M38" s="618"/>
      <c r="N38" s="1036">
        <f t="shared" ref="N38:O38" si="24">+N39+N42</f>
        <v>0</v>
      </c>
      <c r="O38" s="1041">
        <f t="shared" si="24"/>
        <v>11959</v>
      </c>
      <c r="P38" s="748"/>
    </row>
    <row r="39" spans="1:16" s="154" customFormat="1" ht="13.5" customHeight="1" x14ac:dyDescent="0.25">
      <c r="A39" s="520">
        <f t="shared" si="2"/>
        <v>33</v>
      </c>
      <c r="B39" s="521" t="s">
        <v>1370</v>
      </c>
      <c r="C39" s="1025">
        <f>SUM(C40:C41)</f>
        <v>11249</v>
      </c>
      <c r="D39" s="1025">
        <f t="shared" ref="D39:H39" si="25">SUM(D40:D41)</f>
        <v>11249</v>
      </c>
      <c r="E39" s="1025">
        <f t="shared" si="25"/>
        <v>0</v>
      </c>
      <c r="F39" s="1025">
        <f t="shared" si="25"/>
        <v>0</v>
      </c>
      <c r="G39" s="1025">
        <f t="shared" si="25"/>
        <v>11249</v>
      </c>
      <c r="H39" s="1026">
        <f t="shared" si="25"/>
        <v>11249</v>
      </c>
      <c r="I39" s="1028">
        <f t="shared" ref="I39" si="26">+I40</f>
        <v>100</v>
      </c>
      <c r="J39" s="1028">
        <f t="shared" ref="J39:L39" si="27">SUM(J40:J41)</f>
        <v>0</v>
      </c>
      <c r="K39" s="1029">
        <f t="shared" si="27"/>
        <v>0</v>
      </c>
      <c r="L39" s="1030">
        <f t="shared" si="27"/>
        <v>0</v>
      </c>
      <c r="M39" s="618"/>
      <c r="N39" s="1031">
        <f t="shared" ref="N39:O39" si="28">SUM(N40:N41)</f>
        <v>0</v>
      </c>
      <c r="O39" s="1030">
        <f t="shared" si="28"/>
        <v>11249</v>
      </c>
      <c r="P39" s="748"/>
    </row>
    <row r="40" spans="1:16" s="154" customFormat="1" ht="13.5" customHeight="1" x14ac:dyDescent="0.25">
      <c r="A40" s="467">
        <f t="shared" si="2"/>
        <v>34</v>
      </c>
      <c r="B40" s="1049" t="s">
        <v>1371</v>
      </c>
      <c r="C40" s="1043">
        <v>2221</v>
      </c>
      <c r="D40" s="1044">
        <v>2221</v>
      </c>
      <c r="E40" s="1044">
        <v>0</v>
      </c>
      <c r="F40" s="1044">
        <v>0</v>
      </c>
      <c r="G40" s="604">
        <f>+C40+E40</f>
        <v>2221</v>
      </c>
      <c r="H40" s="614">
        <f>+D40+F40</f>
        <v>2221</v>
      </c>
      <c r="I40" s="622">
        <v>100</v>
      </c>
      <c r="J40" s="622">
        <v>0</v>
      </c>
      <c r="K40" s="620">
        <v>0</v>
      </c>
      <c r="L40" s="605">
        <f>+G40-H40</f>
        <v>0</v>
      </c>
      <c r="M40" s="612"/>
      <c r="N40" s="623">
        <v>0</v>
      </c>
      <c r="O40" s="605">
        <f>H40+N40</f>
        <v>2221</v>
      </c>
      <c r="P40" s="748"/>
    </row>
    <row r="41" spans="1:16" s="154" customFormat="1" ht="13.5" customHeight="1" x14ac:dyDescent="0.25">
      <c r="A41" s="467">
        <f t="shared" si="2"/>
        <v>35</v>
      </c>
      <c r="B41" s="1049" t="s">
        <v>1372</v>
      </c>
      <c r="C41" s="1043">
        <v>9028</v>
      </c>
      <c r="D41" s="1044">
        <v>9028</v>
      </c>
      <c r="E41" s="1044">
        <v>0</v>
      </c>
      <c r="F41" s="1044">
        <v>0</v>
      </c>
      <c r="G41" s="604">
        <f>+C41+E41</f>
        <v>9028</v>
      </c>
      <c r="H41" s="614">
        <f>+D41+F41</f>
        <v>9028</v>
      </c>
      <c r="I41" s="622">
        <v>100</v>
      </c>
      <c r="J41" s="622">
        <v>0</v>
      </c>
      <c r="K41" s="620">
        <v>0</v>
      </c>
      <c r="L41" s="605">
        <f>+G41-H41</f>
        <v>0</v>
      </c>
      <c r="M41" s="612"/>
      <c r="N41" s="623">
        <v>0</v>
      </c>
      <c r="O41" s="605">
        <f>H41+N41</f>
        <v>9028</v>
      </c>
      <c r="P41" s="748"/>
    </row>
    <row r="42" spans="1:16" s="154" customFormat="1" ht="13.5" customHeight="1" x14ac:dyDescent="0.25">
      <c r="A42" s="520">
        <f>A40+1</f>
        <v>35</v>
      </c>
      <c r="B42" s="521" t="s">
        <v>1373</v>
      </c>
      <c r="C42" s="1025">
        <f>SUM(C43:C45)</f>
        <v>710</v>
      </c>
      <c r="D42" s="1025">
        <f t="shared" ref="D42:K42" si="29">SUM(D43:D45)</f>
        <v>710</v>
      </c>
      <c r="E42" s="1025">
        <f t="shared" si="29"/>
        <v>0</v>
      </c>
      <c r="F42" s="1025">
        <f t="shared" si="29"/>
        <v>0</v>
      </c>
      <c r="G42" s="1025">
        <f t="shared" si="29"/>
        <v>710</v>
      </c>
      <c r="H42" s="1026">
        <f t="shared" si="29"/>
        <v>710</v>
      </c>
      <c r="I42" s="1028">
        <v>100</v>
      </c>
      <c r="J42" s="1028">
        <f t="shared" si="29"/>
        <v>0</v>
      </c>
      <c r="K42" s="1029">
        <f t="shared" si="29"/>
        <v>0</v>
      </c>
      <c r="L42" s="1030">
        <f t="shared" ref="L42" si="30">+L45</f>
        <v>0</v>
      </c>
      <c r="M42" s="618"/>
      <c r="N42" s="1031">
        <f>SUM(N43:N45)</f>
        <v>0</v>
      </c>
      <c r="O42" s="1030">
        <f>SUM(O43:O45)</f>
        <v>710</v>
      </c>
      <c r="P42" s="748"/>
    </row>
    <row r="43" spans="1:16" s="154" customFormat="1" ht="13.5" customHeight="1" x14ac:dyDescent="0.25">
      <c r="A43" s="467">
        <f>A42+1</f>
        <v>36</v>
      </c>
      <c r="B43" s="1049" t="s">
        <v>1374</v>
      </c>
      <c r="C43" s="1043">
        <v>113</v>
      </c>
      <c r="D43" s="1044">
        <v>113</v>
      </c>
      <c r="E43" s="1044">
        <v>0</v>
      </c>
      <c r="F43" s="1044">
        <v>0</v>
      </c>
      <c r="G43" s="604">
        <f t="shared" ref="G43:H45" si="31">+C43+E43</f>
        <v>113</v>
      </c>
      <c r="H43" s="614">
        <f t="shared" si="31"/>
        <v>113</v>
      </c>
      <c r="I43" s="622">
        <v>100</v>
      </c>
      <c r="J43" s="622">
        <v>0</v>
      </c>
      <c r="K43" s="620">
        <v>0</v>
      </c>
      <c r="L43" s="605">
        <f>+G43-H43</f>
        <v>0</v>
      </c>
      <c r="M43" s="612"/>
      <c r="N43" s="623">
        <v>0</v>
      </c>
      <c r="O43" s="605">
        <f>H43+N43</f>
        <v>113</v>
      </c>
      <c r="P43" s="748"/>
    </row>
    <row r="44" spans="1:16" s="152" customFormat="1" ht="12.75" customHeight="1" x14ac:dyDescent="0.25">
      <c r="A44" s="467">
        <f>A43+1</f>
        <v>37</v>
      </c>
      <c r="B44" s="1049" t="s">
        <v>1375</v>
      </c>
      <c r="C44" s="1043">
        <v>121</v>
      </c>
      <c r="D44" s="1044">
        <v>121</v>
      </c>
      <c r="E44" s="1044">
        <v>0</v>
      </c>
      <c r="F44" s="1044">
        <v>0</v>
      </c>
      <c r="G44" s="604">
        <f t="shared" si="31"/>
        <v>121</v>
      </c>
      <c r="H44" s="614">
        <f t="shared" si="31"/>
        <v>121</v>
      </c>
      <c r="I44" s="622">
        <v>100</v>
      </c>
      <c r="J44" s="622">
        <v>0</v>
      </c>
      <c r="K44" s="620">
        <v>0</v>
      </c>
      <c r="L44" s="605">
        <f>+G44-H44</f>
        <v>0</v>
      </c>
      <c r="M44" s="612"/>
      <c r="N44" s="623">
        <v>0</v>
      </c>
      <c r="O44" s="605">
        <f>H44+N44</f>
        <v>121</v>
      </c>
      <c r="P44" s="748"/>
    </row>
    <row r="45" spans="1:16" s="1069" customFormat="1" ht="12.75" customHeight="1" thickBot="1" x14ac:dyDescent="0.3">
      <c r="A45" s="1113">
        <f>A44+1</f>
        <v>38</v>
      </c>
      <c r="B45" s="1114" t="s">
        <v>1376</v>
      </c>
      <c r="C45" s="1115">
        <v>476</v>
      </c>
      <c r="D45" s="1116">
        <v>476</v>
      </c>
      <c r="E45" s="1116">
        <v>0</v>
      </c>
      <c r="F45" s="1116">
        <v>0</v>
      </c>
      <c r="G45" s="604">
        <f t="shared" si="31"/>
        <v>476</v>
      </c>
      <c r="H45" s="614">
        <f t="shared" si="31"/>
        <v>476</v>
      </c>
      <c r="I45" s="1117">
        <v>100</v>
      </c>
      <c r="J45" s="1117">
        <v>0</v>
      </c>
      <c r="K45" s="1115">
        <v>0</v>
      </c>
      <c r="L45" s="605">
        <f>+G45-H45</f>
        <v>0</v>
      </c>
      <c r="M45" s="1118"/>
      <c r="N45" s="1119">
        <v>0</v>
      </c>
      <c r="O45" s="605">
        <f>H45+N45</f>
        <v>476</v>
      </c>
      <c r="P45" s="1068"/>
    </row>
    <row r="46" spans="1:16" s="152" customFormat="1" ht="13.5" customHeight="1" thickBot="1" x14ac:dyDescent="0.3">
      <c r="A46" s="1050">
        <f t="shared" si="2"/>
        <v>39</v>
      </c>
      <c r="B46" s="495" t="s">
        <v>708</v>
      </c>
      <c r="C46" s="1051">
        <f t="shared" ref="C46:L46" si="32">+C7+C24+C37+C38</f>
        <v>240514</v>
      </c>
      <c r="D46" s="1052">
        <f t="shared" si="32"/>
        <v>240116</v>
      </c>
      <c r="E46" s="1052">
        <f t="shared" si="32"/>
        <v>20220</v>
      </c>
      <c r="F46" s="1052">
        <f t="shared" si="32"/>
        <v>20136</v>
      </c>
      <c r="G46" s="1052">
        <f t="shared" si="32"/>
        <v>260559</v>
      </c>
      <c r="H46" s="1053">
        <f t="shared" si="32"/>
        <v>260077</v>
      </c>
      <c r="I46" s="1054">
        <f t="shared" si="32"/>
        <v>100</v>
      </c>
      <c r="J46" s="1054">
        <f t="shared" si="32"/>
        <v>13511</v>
      </c>
      <c r="K46" s="1055">
        <f t="shared" si="32"/>
        <v>1383</v>
      </c>
      <c r="L46" s="1056">
        <f t="shared" si="32"/>
        <v>482</v>
      </c>
      <c r="M46" s="1057"/>
      <c r="N46" s="1051">
        <f>+N7+N24+N37+N38</f>
        <v>0</v>
      </c>
      <c r="O46" s="1056">
        <f>+O7+O24+O37+O38</f>
        <v>260252</v>
      </c>
      <c r="P46" s="748"/>
    </row>
    <row r="47" spans="1:16" s="481" customFormat="1" ht="13.5" customHeight="1" x14ac:dyDescent="0.25">
      <c r="A47" s="479"/>
      <c r="B47" s="480"/>
      <c r="C47" s="463"/>
      <c r="D47" s="463"/>
      <c r="E47" s="463"/>
      <c r="F47" s="463"/>
      <c r="G47" s="463"/>
      <c r="H47" s="463"/>
      <c r="I47" s="463"/>
      <c r="J47" s="463"/>
      <c r="K47" s="463"/>
      <c r="L47" s="463"/>
      <c r="M47" s="463"/>
      <c r="N47" s="463"/>
      <c r="O47" s="463"/>
    </row>
    <row r="48" spans="1:16" ht="22.5" customHeight="1" x14ac:dyDescent="0.25">
      <c r="A48" s="152" t="s">
        <v>616</v>
      </c>
      <c r="M48" s="460"/>
    </row>
    <row r="49" spans="1:15" ht="56.25" customHeight="1" x14ac:dyDescent="0.25">
      <c r="A49" s="1280" t="s">
        <v>862</v>
      </c>
      <c r="B49" s="1316"/>
      <c r="C49" s="1316"/>
      <c r="D49" s="1316"/>
      <c r="E49" s="1316"/>
      <c r="F49" s="1316"/>
      <c r="G49" s="1316"/>
      <c r="H49" s="1316"/>
      <c r="I49" s="1316"/>
      <c r="J49" s="1316"/>
      <c r="K49" s="1316"/>
      <c r="L49" s="1316"/>
      <c r="M49" s="1316"/>
      <c r="N49" s="1316"/>
      <c r="O49" s="1316"/>
    </row>
    <row r="50" spans="1:15" ht="30" customHeight="1" x14ac:dyDescent="0.25">
      <c r="A50" s="1280" t="s">
        <v>762</v>
      </c>
      <c r="B50" s="1316"/>
      <c r="C50" s="1316"/>
      <c r="D50" s="1316"/>
      <c r="E50" s="1316"/>
      <c r="F50" s="1316"/>
      <c r="G50" s="1316"/>
      <c r="H50" s="1316"/>
      <c r="I50" s="1316"/>
      <c r="J50" s="1316"/>
      <c r="K50" s="1316"/>
      <c r="L50" s="1316"/>
      <c r="M50" s="1316"/>
      <c r="N50" s="1316"/>
      <c r="O50" s="1316"/>
    </row>
    <row r="51" spans="1:15" ht="34.5" customHeight="1" x14ac:dyDescent="0.25">
      <c r="A51" s="1280" t="s">
        <v>827</v>
      </c>
      <c r="B51" s="1316"/>
      <c r="C51" s="1316"/>
      <c r="D51" s="1316"/>
      <c r="E51" s="1316"/>
      <c r="F51" s="1316"/>
      <c r="G51" s="1316"/>
      <c r="H51" s="1316"/>
      <c r="I51" s="1316"/>
      <c r="J51" s="1316"/>
      <c r="K51" s="1316"/>
      <c r="L51" s="1316"/>
      <c r="M51" s="1316"/>
      <c r="N51" s="1316"/>
      <c r="O51" s="1316"/>
    </row>
    <row r="52" spans="1:15" ht="27.75" customHeight="1" x14ac:dyDescent="0.25">
      <c r="A52" s="1280" t="s">
        <v>783</v>
      </c>
      <c r="B52" s="1316"/>
      <c r="C52" s="1316"/>
      <c r="D52" s="1316"/>
      <c r="E52" s="1316"/>
      <c r="F52" s="1316"/>
      <c r="G52" s="1316"/>
      <c r="H52" s="1316"/>
      <c r="I52" s="1316"/>
      <c r="J52" s="1316"/>
      <c r="K52" s="1316"/>
      <c r="L52" s="1316"/>
      <c r="M52" s="1316"/>
      <c r="N52" s="1316"/>
      <c r="O52" s="1316"/>
    </row>
    <row r="53" spans="1:15" x14ac:dyDescent="0.25">
      <c r="A53" s="1280" t="s">
        <v>863</v>
      </c>
      <c r="B53" s="1316"/>
      <c r="C53" s="1316"/>
      <c r="D53" s="1316"/>
      <c r="E53" s="1316"/>
      <c r="F53" s="1316"/>
      <c r="G53" s="1316"/>
      <c r="H53" s="1316"/>
      <c r="I53" s="1316"/>
      <c r="J53" s="1316"/>
      <c r="K53" s="1316"/>
      <c r="L53" s="1316"/>
      <c r="M53" s="1316"/>
      <c r="N53" s="1316"/>
      <c r="O53" s="1316"/>
    </row>
    <row r="54" spans="1:15" ht="26.25" customHeight="1" x14ac:dyDescent="0.25">
      <c r="A54" s="1280" t="s">
        <v>864</v>
      </c>
      <c r="B54" s="1316"/>
      <c r="C54" s="1316"/>
      <c r="D54" s="1316"/>
      <c r="E54" s="1316"/>
      <c r="F54" s="1316"/>
      <c r="G54" s="1316"/>
      <c r="H54" s="1316"/>
      <c r="I54" s="1316"/>
      <c r="J54" s="1316"/>
      <c r="K54" s="1316"/>
      <c r="L54" s="1316"/>
      <c r="M54" s="1316"/>
      <c r="N54" s="1316"/>
      <c r="O54" s="1316"/>
    </row>
    <row r="55" spans="1:15" ht="19.5" customHeight="1" x14ac:dyDescent="0.25">
      <c r="A55" s="1280" t="s">
        <v>872</v>
      </c>
      <c r="B55" s="1316"/>
      <c r="C55" s="1316"/>
      <c r="D55" s="1316"/>
      <c r="E55" s="1316"/>
      <c r="F55" s="1316"/>
      <c r="G55" s="1316"/>
      <c r="H55" s="1316"/>
      <c r="I55" s="1316"/>
      <c r="J55" s="1316"/>
      <c r="K55" s="1316"/>
      <c r="L55" s="1316"/>
      <c r="M55" s="1316"/>
      <c r="N55" s="1316"/>
      <c r="O55" s="1316"/>
    </row>
    <row r="56" spans="1:15" ht="17.25" customHeight="1" x14ac:dyDescent="0.25">
      <c r="A56" s="1280" t="s">
        <v>865</v>
      </c>
      <c r="B56" s="1280"/>
      <c r="C56" s="1280"/>
      <c r="D56" s="1280"/>
      <c r="E56" s="1280"/>
      <c r="F56" s="1280"/>
      <c r="G56" s="1280"/>
      <c r="H56" s="1280"/>
      <c r="I56" s="1280"/>
      <c r="J56" s="1280"/>
      <c r="K56" s="1280"/>
      <c r="L56" s="1280"/>
      <c r="M56" s="1280"/>
      <c r="N56" s="1280"/>
      <c r="O56" s="1280"/>
    </row>
    <row r="57" spans="1:15" s="152" customFormat="1" ht="12.75" x14ac:dyDescent="0.25">
      <c r="M57" s="483"/>
    </row>
    <row r="58" spans="1:15" s="152" customFormat="1" ht="12.75" x14ac:dyDescent="0.25">
      <c r="A58" s="152" t="s">
        <v>1121</v>
      </c>
      <c r="M58" s="483"/>
    </row>
    <row r="59" spans="1:15" s="152" customFormat="1" ht="12.75" x14ac:dyDescent="0.25">
      <c r="M59" s="483"/>
    </row>
    <row r="60" spans="1:15" x14ac:dyDescent="0.25">
      <c r="A60" s="506"/>
    </row>
  </sheetData>
  <customSheetViews>
    <customSheetView guid="{2AF6EA2A-E5C5-45EB-B6C4-875AD1E4E056}" scale="89" fitToPage="1">
      <pageMargins left="0.19685039370078741" right="0.19685039370078741" top="0.59055118110236227" bottom="0.59055118110236227" header="0.31496062992125984" footer="0.31496062992125984"/>
      <printOptions horizontalCentered="1"/>
      <pageSetup paperSize="9" scale="64" orientation="landscape" r:id="rId1"/>
    </customSheetView>
  </customSheetViews>
  <mergeCells count="19">
    <mergeCell ref="N4:N5"/>
    <mergeCell ref="I4:I5"/>
    <mergeCell ref="E4:F4"/>
    <mergeCell ref="K4:K5"/>
    <mergeCell ref="G4:H4"/>
    <mergeCell ref="J4:J5"/>
    <mergeCell ref="O4:O5"/>
    <mergeCell ref="A56:O56"/>
    <mergeCell ref="A53:O53"/>
    <mergeCell ref="A54:O54"/>
    <mergeCell ref="A55:O55"/>
    <mergeCell ref="A49:O49"/>
    <mergeCell ref="A52:O52"/>
    <mergeCell ref="A50:O50"/>
    <mergeCell ref="A51:O51"/>
    <mergeCell ref="A4:A6"/>
    <mergeCell ref="B4:B6"/>
    <mergeCell ref="C4:D4"/>
    <mergeCell ref="L4:L5"/>
  </mergeCells>
  <printOptions horizontalCentered="1"/>
  <pageMargins left="0.19685039370078741" right="0.19685039370078741" top="0.59055118110236227" bottom="0.59055118110236227" header="0.31496062992125984" footer="0.31496062992125984"/>
  <pageSetup paperSize="9" scale="64"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44</vt:i4>
      </vt:variant>
      <vt:variant>
        <vt:lpstr>Pojmenované oblasti</vt:lpstr>
      </vt:variant>
      <vt:variant>
        <vt:i4>10</vt:i4>
      </vt:variant>
    </vt:vector>
  </HeadingPairs>
  <TitlesOfParts>
    <vt:vector size="54" baseType="lpstr">
      <vt:lpstr>1</vt:lpstr>
      <vt:lpstr>2</vt:lpstr>
      <vt:lpstr>2a</vt:lpstr>
      <vt:lpstr>2b</vt:lpstr>
      <vt:lpstr>3</vt:lpstr>
      <vt:lpstr>4</vt:lpstr>
      <vt:lpstr>5 </vt:lpstr>
      <vt:lpstr>5.a</vt:lpstr>
      <vt:lpstr>5.b</vt:lpstr>
      <vt:lpstr>5.c</vt:lpstr>
      <vt:lpstr>5.d</vt:lpstr>
      <vt:lpstr>5.e navíc do kap.3.1.2</vt:lpstr>
      <vt:lpstr>6</vt:lpstr>
      <vt:lpstr>7</vt:lpstr>
      <vt:lpstr>8</vt:lpstr>
      <vt:lpstr>9</vt:lpstr>
      <vt:lpstr>10.ab</vt:lpstr>
      <vt:lpstr>10 c</vt:lpstr>
      <vt:lpstr>10 d</vt:lpstr>
      <vt:lpstr>10 e</vt:lpstr>
      <vt:lpstr>10 f</vt:lpstr>
      <vt:lpstr>10 g</vt:lpstr>
      <vt:lpstr>11</vt:lpstr>
      <vt:lpstr>11.a</vt:lpstr>
      <vt:lpstr>11.b</vt:lpstr>
      <vt:lpstr>11.c</vt:lpstr>
      <vt:lpstr>11.d</vt:lpstr>
      <vt:lpstr>11.e</vt:lpstr>
      <vt:lpstr>11.f</vt:lpstr>
      <vt:lpstr>11.g</vt:lpstr>
      <vt:lpstr>12.a</vt:lpstr>
      <vt:lpstr>12.b</vt:lpstr>
      <vt:lpstr>12.c</vt:lpstr>
      <vt:lpstr>12.d</vt:lpstr>
      <vt:lpstr>12.e</vt:lpstr>
      <vt:lpstr>12.f</vt:lpstr>
      <vt:lpstr>13.ab</vt:lpstr>
      <vt:lpstr>13.cd</vt:lpstr>
      <vt:lpstr>13.ef</vt:lpstr>
      <vt:lpstr>13.g</vt:lpstr>
      <vt:lpstr>13.h</vt:lpstr>
      <vt:lpstr>13.i</vt:lpstr>
      <vt:lpstr>13.j</vt:lpstr>
      <vt:lpstr>13.k</vt:lpstr>
      <vt:lpstr>'1'!Názvy_tisku</vt:lpstr>
      <vt:lpstr>'5 '!Názvy_tisku</vt:lpstr>
      <vt:lpstr>'1'!Oblast_tisku</vt:lpstr>
      <vt:lpstr>'11.b'!Oblast_tisku</vt:lpstr>
      <vt:lpstr>'2'!Oblast_tisku</vt:lpstr>
      <vt:lpstr>'2a'!Oblast_tisku</vt:lpstr>
      <vt:lpstr>'2b'!Oblast_tisku</vt:lpstr>
      <vt:lpstr>'3'!Oblast_tisku</vt:lpstr>
      <vt:lpstr>'6'!Oblast_tisku</vt:lpstr>
      <vt:lpstr>'8'!Oblast_tisku</vt:lpstr>
    </vt:vector>
  </TitlesOfParts>
  <Company>Ministerstvo školství, mládeže a tělovýchovy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machackova</dc:creator>
  <cp:lastModifiedBy>Denksteinová Lenka</cp:lastModifiedBy>
  <cp:lastPrinted>2016-03-01T15:12:29Z</cp:lastPrinted>
  <dcterms:created xsi:type="dcterms:W3CDTF">2010-10-08T09:48:15Z</dcterms:created>
  <dcterms:modified xsi:type="dcterms:W3CDTF">2016-07-07T05:53:42Z</dcterms:modified>
</cp:coreProperties>
</file>