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555" windowWidth="19035" windowHeight="7650" tabRatio="823" activeTab="15"/>
  </bookViews>
  <sheets>
    <sheet name="1" sheetId="1" r:id="rId1"/>
    <sheet name="2" sheetId="2" r:id="rId2"/>
    <sheet name="3-podklady A.S. " sheetId="28" state="hidden" r:id="rId3"/>
    <sheet name="3" sheetId="3" r:id="rId4"/>
    <sheet name="Náklady A.S." sheetId="27" state="hidden" r:id="rId5"/>
    <sheet name="Výnosy A.S." sheetId="26" state="hidden" r:id="rId6"/>
    <sheet name="4" sheetId="4" r:id="rId7"/>
    <sheet name="5 podklady A.S." sheetId="23" state="hidden" r:id="rId8"/>
    <sheet name="5 " sheetId="5" r:id="rId9"/>
    <sheet name="5.a" sheetId="6" r:id="rId10"/>
    <sheet name="5.b" sheetId="7" r:id="rId11"/>
    <sheet name="5.c" sheetId="8" r:id="rId12"/>
    <sheet name="5.d" sheetId="9" r:id="rId13"/>
    <sheet name="6" sheetId="10" r:id="rId14"/>
    <sheet name="7" sheetId="11" r:id="rId15"/>
    <sheet name="8" sheetId="29" r:id="rId16"/>
    <sheet name="9-podklady A.S." sheetId="25" state="hidden" r:id="rId17"/>
    <sheet name="9" sheetId="13" r:id="rId18"/>
    <sheet name="10" sheetId="14" r:id="rId19"/>
    <sheet name="11 podklady A.S." sheetId="24" state="hidden" r:id="rId20"/>
    <sheet name="11" sheetId="15" r:id="rId21"/>
    <sheet name="11.a" sheetId="16" r:id="rId22"/>
    <sheet name="11.b" sheetId="17" r:id="rId23"/>
    <sheet name="11.c" sheetId="18" r:id="rId24"/>
    <sheet name="11.d" sheetId="19" r:id="rId25"/>
    <sheet name="11.e" sheetId="20" r:id="rId26"/>
    <sheet name="11.f" sheetId="21" r:id="rId27"/>
    <sheet name="11.g" sheetId="22" r:id="rId28"/>
  </sheets>
  <externalReferences>
    <externalReference r:id="rId29"/>
  </externalReferences>
  <definedNames>
    <definedName name="_xlnm._FilterDatabase" localSheetId="8" hidden="1">'5 '!$A$4:$I$38</definedName>
    <definedName name="_xlnm.Print_Titles" localSheetId="0">'1'!$5:$5</definedName>
    <definedName name="_xlnm.Print_Titles" localSheetId="8">'5 '!$6:$8</definedName>
    <definedName name="_xlnm.Print_Area" localSheetId="0">'1'!$A$1:$E$147</definedName>
    <definedName name="_xlnm.Print_Area" localSheetId="22">'11.b'!$A$1:$C$26</definedName>
    <definedName name="_xlnm.Print_Area" localSheetId="1">'2'!$A$1:$E$99</definedName>
    <definedName name="_xlnm.Print_Area" localSheetId="3">'3'!$A$2:$D$15</definedName>
    <definedName name="_xlnm.Print_Area" localSheetId="13">'6'!$A$2:$F$31</definedName>
    <definedName name="_xlnm.Print_Area" localSheetId="15">'8'!$A$1:$Z$38</definedName>
    <definedName name="Z_2AF6EA2A_E5C5_45EB_B6C4_875AD1E4E056_.wvu.FilterData" localSheetId="8" hidden="1">'5 '!$A$4:$I$38</definedName>
    <definedName name="Z_2AF6EA2A_E5C5_45EB_B6C4_875AD1E4E056_.wvu.PrintArea" localSheetId="0" hidden="1">'1'!$A$1:$E$147</definedName>
    <definedName name="Z_2AF6EA2A_E5C5_45EB_B6C4_875AD1E4E056_.wvu.PrintArea" localSheetId="22" hidden="1">'11.b'!$A$1:$C$26</definedName>
    <definedName name="Z_2AF6EA2A_E5C5_45EB_B6C4_875AD1E4E056_.wvu.PrintArea" localSheetId="1" hidden="1">'2'!$A$1:$E$99</definedName>
    <definedName name="Z_2AF6EA2A_E5C5_45EB_B6C4_875AD1E4E056_.wvu.PrintArea" localSheetId="3" hidden="1">'3'!$A$2:$D$15</definedName>
    <definedName name="Z_2AF6EA2A_E5C5_45EB_B6C4_875AD1E4E056_.wvu.PrintArea" localSheetId="13" hidden="1">'6'!$A$2:$F$31</definedName>
    <definedName name="Z_2AF6EA2A_E5C5_45EB_B6C4_875AD1E4E056_.wvu.PrintArea" localSheetId="15" hidden="1">'8'!$A$1:$Z$38</definedName>
    <definedName name="Z_2AF6EA2A_E5C5_45EB_B6C4_875AD1E4E056_.wvu.PrintTitles" localSheetId="0" hidden="1">'1'!$5:$5</definedName>
    <definedName name="Z_2AF6EA2A_E5C5_45EB_B6C4_875AD1E4E056_.wvu.PrintTitles" localSheetId="8" hidden="1">'5 '!$6:$8</definedName>
  </definedNames>
  <calcPr calcId="145621"/>
  <customWorkbookViews>
    <customWorkbookView name="Uldrichová Marie – osobní zobrazení" guid="{2AF6EA2A-E5C5-45EB-B6C4-875AD1E4E056}" mergeInterval="0" personalView="1" maximized="1" windowWidth="1676" windowHeight="755" tabRatio="823" activeSheetId="10"/>
  </customWorkbookViews>
</workbook>
</file>

<file path=xl/calcChain.xml><?xml version="1.0" encoding="utf-8"?>
<calcChain xmlns="http://schemas.openxmlformats.org/spreadsheetml/2006/main">
  <c r="H31" i="29" l="1"/>
  <c r="L30" i="29"/>
  <c r="K30" i="29"/>
  <c r="L29" i="29"/>
  <c r="M29" i="29" s="1"/>
  <c r="K29" i="29"/>
  <c r="J29" i="29"/>
  <c r="L28" i="29"/>
  <c r="M28" i="29" s="1"/>
  <c r="K28" i="29"/>
  <c r="J28" i="29"/>
  <c r="G28" i="29"/>
  <c r="L27" i="29"/>
  <c r="M27" i="29" s="1"/>
  <c r="K27" i="29"/>
  <c r="J27" i="29"/>
  <c r="G27" i="29"/>
  <c r="I26" i="29"/>
  <c r="I31" i="29" s="1"/>
  <c r="J31" i="29" s="1"/>
  <c r="H26" i="29"/>
  <c r="F26" i="29"/>
  <c r="F31" i="29" s="1"/>
  <c r="E26" i="29"/>
  <c r="K26" i="29" s="1"/>
  <c r="K31" i="29" s="1"/>
  <c r="M25" i="29"/>
  <c r="L25" i="29"/>
  <c r="K25" i="29"/>
  <c r="G25" i="29"/>
  <c r="K24" i="29"/>
  <c r="L23" i="29"/>
  <c r="M23" i="29" s="1"/>
  <c r="K23" i="29"/>
  <c r="J23" i="29"/>
  <c r="G23" i="29"/>
  <c r="L22" i="29"/>
  <c r="M22" i="29" s="1"/>
  <c r="K22" i="29"/>
  <c r="J22" i="29"/>
  <c r="G22" i="29"/>
  <c r="L21" i="29"/>
  <c r="M21" i="29" s="1"/>
  <c r="K21" i="29"/>
  <c r="G21" i="29"/>
  <c r="X14" i="29"/>
  <c r="W14" i="29"/>
  <c r="V14" i="29"/>
  <c r="U14" i="29"/>
  <c r="T14" i="29"/>
  <c r="S14" i="29"/>
  <c r="R14" i="29"/>
  <c r="Q14" i="29"/>
  <c r="P14" i="29"/>
  <c r="O14" i="29"/>
  <c r="N14" i="29"/>
  <c r="M14" i="29"/>
  <c r="L14" i="29"/>
  <c r="K14" i="29"/>
  <c r="J14" i="29"/>
  <c r="I14" i="29"/>
  <c r="H14" i="29"/>
  <c r="G14" i="29"/>
  <c r="F14" i="29"/>
  <c r="E14" i="29"/>
  <c r="Z13" i="29"/>
  <c r="Y13" i="29"/>
  <c r="Z12" i="29"/>
  <c r="Z14" i="29" s="1"/>
  <c r="Y12" i="29"/>
  <c r="Z11" i="29"/>
  <c r="Y11" i="29"/>
  <c r="Z10" i="29"/>
  <c r="Y10" i="29"/>
  <c r="Z9" i="29"/>
  <c r="Y9" i="29"/>
  <c r="Y14" i="29" s="1"/>
  <c r="G31" i="29" l="1"/>
  <c r="E31" i="29"/>
  <c r="G26" i="29"/>
  <c r="L26" i="29"/>
  <c r="J26" i="29"/>
  <c r="L31" i="29" l="1"/>
  <c r="M31" i="29" s="1"/>
  <c r="M26" i="29"/>
  <c r="K155" i="24" l="1"/>
  <c r="I155" i="24"/>
  <c r="K154" i="24"/>
  <c r="K146" i="24" s="1"/>
  <c r="L153" i="24"/>
  <c r="K153" i="24"/>
  <c r="J153" i="24"/>
  <c r="I153" i="24"/>
  <c r="M153" i="24" s="1"/>
  <c r="L152" i="24"/>
  <c r="K152" i="24"/>
  <c r="J152" i="24"/>
  <c r="L151" i="24"/>
  <c r="K151" i="24"/>
  <c r="J151" i="24"/>
  <c r="I151" i="24"/>
  <c r="M151" i="24" s="1"/>
  <c r="L150" i="24"/>
  <c r="K150" i="24"/>
  <c r="J150" i="24"/>
  <c r="I150" i="24"/>
  <c r="M150" i="24" s="1"/>
  <c r="L149" i="24"/>
  <c r="K149" i="24"/>
  <c r="I149" i="24"/>
  <c r="L148" i="24"/>
  <c r="K148" i="24"/>
  <c r="J148" i="24"/>
  <c r="I148" i="24"/>
  <c r="M148" i="24" s="1"/>
  <c r="L147" i="24"/>
  <c r="K147" i="24"/>
  <c r="J147" i="24"/>
  <c r="I147" i="24"/>
  <c r="M147" i="24" s="1"/>
  <c r="B147" i="24"/>
  <c r="B148" i="24" s="1"/>
  <c r="B149" i="24" s="1"/>
  <c r="B150" i="24" s="1"/>
  <c r="B151" i="24" s="1"/>
  <c r="B154" i="24" s="1"/>
  <c r="B155" i="24" s="1"/>
  <c r="L139" i="24"/>
  <c r="L155" i="24" s="1"/>
  <c r="J139" i="24"/>
  <c r="M139" i="24" s="1"/>
  <c r="L138" i="24"/>
  <c r="L130" i="24" s="1"/>
  <c r="J138" i="24"/>
  <c r="J154" i="24" s="1"/>
  <c r="I138" i="24"/>
  <c r="M138" i="24" s="1"/>
  <c r="M137" i="24"/>
  <c r="M136" i="24"/>
  <c r="M135" i="24"/>
  <c r="M134" i="24"/>
  <c r="M133" i="24"/>
  <c r="J133" i="24"/>
  <c r="J149" i="24" s="1"/>
  <c r="M132" i="24"/>
  <c r="J132" i="24"/>
  <c r="M131" i="24"/>
  <c r="B131" i="24"/>
  <c r="B132" i="24" s="1"/>
  <c r="B133" i="24" s="1"/>
  <c r="B134" i="24" s="1"/>
  <c r="B135" i="24" s="1"/>
  <c r="B138" i="24" s="1"/>
  <c r="B139" i="24" s="1"/>
  <c r="K130" i="24"/>
  <c r="J130" i="24"/>
  <c r="N124" i="24"/>
  <c r="M123" i="24"/>
  <c r="M122" i="24"/>
  <c r="M121" i="24"/>
  <c r="M120" i="24"/>
  <c r="I120" i="24"/>
  <c r="I152" i="24" s="1"/>
  <c r="M152" i="24" s="1"/>
  <c r="M119" i="24"/>
  <c r="M118" i="24"/>
  <c r="M117" i="24"/>
  <c r="M116" i="24"/>
  <c r="B116" i="24"/>
  <c r="B117" i="24" s="1"/>
  <c r="B118" i="24" s="1"/>
  <c r="B119" i="24" s="1"/>
  <c r="B122" i="24" s="1"/>
  <c r="B123" i="24" s="1"/>
  <c r="M115" i="24"/>
  <c r="B115" i="24"/>
  <c r="M114" i="24"/>
  <c r="L114" i="24"/>
  <c r="K114" i="24"/>
  <c r="J114" i="24"/>
  <c r="I114" i="24"/>
  <c r="K115" i="15"/>
  <c r="J115" i="15"/>
  <c r="I115" i="15"/>
  <c r="H115" i="15"/>
  <c r="L115" i="15" s="1"/>
  <c r="K114" i="15"/>
  <c r="K106" i="15" s="1"/>
  <c r="J114" i="15"/>
  <c r="K113" i="15"/>
  <c r="J113" i="15"/>
  <c r="I113" i="15"/>
  <c r="H113" i="15"/>
  <c r="L113" i="15" s="1"/>
  <c r="K112" i="15"/>
  <c r="J112" i="15"/>
  <c r="I112" i="15"/>
  <c r="H112" i="15"/>
  <c r="L112" i="15" s="1"/>
  <c r="K111" i="15"/>
  <c r="J111" i="15"/>
  <c r="I111" i="15"/>
  <c r="H111" i="15"/>
  <c r="L111" i="15" s="1"/>
  <c r="K110" i="15"/>
  <c r="J110" i="15"/>
  <c r="I110" i="15"/>
  <c r="H110" i="15"/>
  <c r="L110" i="15" s="1"/>
  <c r="K109" i="15"/>
  <c r="J109" i="15"/>
  <c r="I109" i="15"/>
  <c r="H109" i="15"/>
  <c r="L109" i="15" s="1"/>
  <c r="K108" i="15"/>
  <c r="J108" i="15"/>
  <c r="I108" i="15"/>
  <c r="H108" i="15"/>
  <c r="L108" i="15" s="1"/>
  <c r="K107" i="15"/>
  <c r="J107" i="15"/>
  <c r="I107" i="15"/>
  <c r="H107" i="15"/>
  <c r="A107" i="15"/>
  <c r="A108" i="15" s="1"/>
  <c r="A109" i="15" s="1"/>
  <c r="A110" i="15" s="1"/>
  <c r="A111" i="15" s="1"/>
  <c r="A114" i="15" s="1"/>
  <c r="A115" i="15" s="1"/>
  <c r="J106" i="15"/>
  <c r="L99" i="15"/>
  <c r="K99" i="15"/>
  <c r="I99" i="15"/>
  <c r="K98" i="15"/>
  <c r="I98" i="15"/>
  <c r="I114" i="15" s="1"/>
  <c r="H98" i="15"/>
  <c r="H114" i="15" s="1"/>
  <c r="L97" i="15"/>
  <c r="L96" i="15"/>
  <c r="L95" i="15"/>
  <c r="L94" i="15"/>
  <c r="I93" i="15"/>
  <c r="L93" i="15" s="1"/>
  <c r="I92" i="15"/>
  <c r="L92" i="15" s="1"/>
  <c r="L91" i="15"/>
  <c r="A91" i="15"/>
  <c r="A92" i="15" s="1"/>
  <c r="A93" i="15" s="1"/>
  <c r="A94" i="15" s="1"/>
  <c r="A95" i="15" s="1"/>
  <c r="A98" i="15" s="1"/>
  <c r="A99" i="15" s="1"/>
  <c r="K90" i="15"/>
  <c r="J90" i="15"/>
  <c r="H90" i="15"/>
  <c r="M84" i="15"/>
  <c r="L83" i="15"/>
  <c r="L82" i="15"/>
  <c r="L81" i="15"/>
  <c r="H80" i="15"/>
  <c r="L80" i="15" s="1"/>
  <c r="L79" i="15"/>
  <c r="L78" i="15"/>
  <c r="L77" i="15"/>
  <c r="L76" i="15"/>
  <c r="L75" i="15"/>
  <c r="A75" i="15"/>
  <c r="A76" i="15" s="1"/>
  <c r="A77" i="15" s="1"/>
  <c r="A78" i="15" s="1"/>
  <c r="A79" i="15" s="1"/>
  <c r="A82" i="15" s="1"/>
  <c r="A83" i="15" s="1"/>
  <c r="K74" i="15"/>
  <c r="J74" i="15"/>
  <c r="I74" i="15"/>
  <c r="H74" i="15"/>
  <c r="L154" i="24" l="1"/>
  <c r="L98" i="15"/>
  <c r="I130" i="24"/>
  <c r="H106" i="15"/>
  <c r="L107" i="15"/>
  <c r="I106" i="15"/>
  <c r="L74" i="15"/>
  <c r="M130" i="24"/>
  <c r="L146" i="24"/>
  <c r="M149" i="24"/>
  <c r="M155" i="24"/>
  <c r="J155" i="24"/>
  <c r="J146" i="24" s="1"/>
  <c r="I154" i="24"/>
  <c r="L114" i="15"/>
  <c r="L106" i="15" s="1"/>
  <c r="L90" i="15"/>
  <c r="I90" i="15"/>
  <c r="I146" i="24" l="1"/>
  <c r="M154" i="24"/>
  <c r="M146" i="24" s="1"/>
  <c r="P96" i="27" l="1"/>
  <c r="Q96" i="27"/>
  <c r="G96" i="27"/>
  <c r="E96" i="27"/>
  <c r="E145" i="27" s="1"/>
  <c r="G145" i="27"/>
  <c r="E128" i="27"/>
  <c r="P128" i="27" s="1"/>
  <c r="R97" i="26"/>
  <c r="E97" i="26"/>
  <c r="P34" i="27"/>
  <c r="P43" i="27"/>
  <c r="P91" i="27"/>
  <c r="P140" i="27"/>
  <c r="Q140" i="27"/>
  <c r="P141" i="27"/>
  <c r="Q141" i="27"/>
  <c r="P142" i="27"/>
  <c r="Q142" i="27"/>
  <c r="P143" i="27"/>
  <c r="Q143" i="27"/>
  <c r="P144" i="27"/>
  <c r="Q144" i="27"/>
  <c r="Q12" i="27"/>
  <c r="P12" i="27"/>
  <c r="M143" i="27"/>
  <c r="M145" i="27" s="1"/>
  <c r="O143" i="27"/>
  <c r="O145" i="27" s="1"/>
  <c r="A179" i="27"/>
  <c r="A180" i="27" s="1"/>
  <c r="A181" i="27" s="1"/>
  <c r="A182" i="27" s="1"/>
  <c r="A183" i="27" s="1"/>
  <c r="A184" i="27" s="1"/>
  <c r="A185" i="27" s="1"/>
  <c r="A186" i="27" s="1"/>
  <c r="A187" i="27" s="1"/>
  <c r="A188" i="27" s="1"/>
  <c r="A189" i="27" s="1"/>
  <c r="A190" i="27" s="1"/>
  <c r="A191" i="27" s="1"/>
  <c r="A192" i="27" s="1"/>
  <c r="A193" i="27" s="1"/>
  <c r="A194" i="27" s="1"/>
  <c r="A195" i="27" s="1"/>
  <c r="A196" i="27" s="1"/>
  <c r="A197" i="27" s="1"/>
  <c r="A198" i="27" s="1"/>
  <c r="A199" i="27" s="1"/>
  <c r="A200" i="27" s="1"/>
  <c r="A201" i="27" s="1"/>
  <c r="A202" i="27" s="1"/>
  <c r="A203" i="27" s="1"/>
  <c r="A204" i="27" s="1"/>
  <c r="A205" i="27" s="1"/>
  <c r="A206" i="27" s="1"/>
  <c r="A207" i="27" s="1"/>
  <c r="A208" i="27" s="1"/>
  <c r="A209" i="27" s="1"/>
  <c r="A210" i="27" s="1"/>
  <c r="A211" i="27" s="1"/>
  <c r="A212" i="27" s="1"/>
  <c r="A213" i="27" s="1"/>
  <c r="A214" i="27" s="1"/>
  <c r="A215" i="27" s="1"/>
  <c r="A216" i="27" s="1"/>
  <c r="A217" i="27" s="1"/>
  <c r="A218" i="27" s="1"/>
  <c r="A219" i="27" s="1"/>
  <c r="A220" i="27" s="1"/>
  <c r="A221" i="27" s="1"/>
  <c r="A222" i="27" s="1"/>
  <c r="A223" i="27" s="1"/>
  <c r="A224" i="27" s="1"/>
  <c r="A225" i="27" s="1"/>
  <c r="A226" i="27" s="1"/>
  <c r="A227" i="27" s="1"/>
  <c r="A228" i="27" s="1"/>
  <c r="A229" i="27" s="1"/>
  <c r="A230" i="27" s="1"/>
  <c r="A231" i="27" s="1"/>
  <c r="A232" i="27" s="1"/>
  <c r="A233" i="27" s="1"/>
  <c r="A234" i="27" s="1"/>
  <c r="A235" i="27" s="1"/>
  <c r="A236" i="27" s="1"/>
  <c r="A237" i="27" s="1"/>
  <c r="A238" i="27" s="1"/>
  <c r="A239" i="27" s="1"/>
  <c r="A240" i="27" s="1"/>
  <c r="A241" i="27" s="1"/>
  <c r="A242" i="27" s="1"/>
  <c r="A243" i="27" s="1"/>
  <c r="A244" i="27" s="1"/>
  <c r="A245" i="27" s="1"/>
  <c r="A246" i="27" s="1"/>
  <c r="A247" i="27" s="1"/>
  <c r="A248" i="27" s="1"/>
  <c r="A249" i="27" s="1"/>
  <c r="A250" i="27" s="1"/>
  <c r="A251" i="27" s="1"/>
  <c r="A252" i="27" s="1"/>
  <c r="A253" i="27" s="1"/>
  <c r="A254" i="27" s="1"/>
  <c r="A255" i="27" s="1"/>
  <c r="A256" i="27" s="1"/>
  <c r="A257" i="27" s="1"/>
  <c r="A258" i="27" s="1"/>
  <c r="A259" i="27" s="1"/>
  <c r="A260" i="27" s="1"/>
  <c r="A261" i="27" s="1"/>
  <c r="A262" i="27" s="1"/>
  <c r="A263" i="27" s="1"/>
  <c r="A264" i="27" s="1"/>
  <c r="A265" i="27" s="1"/>
  <c r="A266" i="27" s="1"/>
  <c r="A267" i="27" s="1"/>
  <c r="A268" i="27" s="1"/>
  <c r="A269" i="27" s="1"/>
  <c r="A270" i="27" s="1"/>
  <c r="A271" i="27" s="1"/>
  <c r="A272" i="27" s="1"/>
  <c r="A273" i="27" s="1"/>
  <c r="A274" i="27" s="1"/>
  <c r="A275" i="27" s="1"/>
  <c r="A276" i="27" s="1"/>
  <c r="A277" i="27" s="1"/>
  <c r="A278" i="27" s="1"/>
  <c r="A279" i="27" s="1"/>
  <c r="A280" i="27" s="1"/>
  <c r="A281" i="27" s="1"/>
  <c r="A282" i="27" s="1"/>
  <c r="A283" i="27" s="1"/>
  <c r="A284" i="27" s="1"/>
  <c r="A285" i="27" s="1"/>
  <c r="A286" i="27" s="1"/>
  <c r="A287" i="27" s="1"/>
  <c r="A288" i="27" s="1"/>
  <c r="M288" i="27"/>
  <c r="O286" i="27"/>
  <c r="O288" i="27" s="1"/>
  <c r="M286" i="27"/>
  <c r="AD272" i="27"/>
  <c r="W272" i="27"/>
  <c r="V272" i="27" s="1"/>
  <c r="Y271" i="27"/>
  <c r="X271" i="27" s="1"/>
  <c r="V271" i="27"/>
  <c r="Y270" i="27"/>
  <c r="X270" i="27" s="1"/>
  <c r="Z270" i="27" s="1"/>
  <c r="V270" i="27"/>
  <c r="Y269" i="27"/>
  <c r="X269" i="27"/>
  <c r="V269" i="27"/>
  <c r="Y268" i="27"/>
  <c r="X268" i="27"/>
  <c r="V268" i="27"/>
  <c r="Y267" i="27"/>
  <c r="X267" i="27" s="1"/>
  <c r="V267" i="27"/>
  <c r="Y266" i="27"/>
  <c r="X266" i="27" s="1"/>
  <c r="Z266" i="27" s="1"/>
  <c r="V266" i="27"/>
  <c r="Y265" i="27"/>
  <c r="X265" i="27" s="1"/>
  <c r="V265" i="27"/>
  <c r="Y264" i="27"/>
  <c r="X264" i="27"/>
  <c r="Z264" i="27" s="1"/>
  <c r="V264" i="27"/>
  <c r="Y263" i="27"/>
  <c r="X263" i="27" s="1"/>
  <c r="V263" i="27"/>
  <c r="Z262" i="27"/>
  <c r="Y262" i="27"/>
  <c r="X262" i="27"/>
  <c r="V262" i="27"/>
  <c r="Y261" i="27"/>
  <c r="X261" i="27" s="1"/>
  <c r="V261" i="27"/>
  <c r="Y260" i="27"/>
  <c r="X260" i="27"/>
  <c r="Z260" i="27" s="1"/>
  <c r="V260" i="27"/>
  <c r="Y259" i="27"/>
  <c r="X259" i="27" s="1"/>
  <c r="V259" i="27"/>
  <c r="Z258" i="27"/>
  <c r="Y258" i="27"/>
  <c r="X258" i="27"/>
  <c r="V258" i="27"/>
  <c r="I238" i="27"/>
  <c r="I218" i="27"/>
  <c r="I210" i="27"/>
  <c r="H287" i="27"/>
  <c r="G287" i="27"/>
  <c r="F287" i="27"/>
  <c r="E287" i="27" s="1"/>
  <c r="H285" i="27"/>
  <c r="G285" i="27" s="1"/>
  <c r="F285" i="27"/>
  <c r="E285" i="27"/>
  <c r="H284" i="27"/>
  <c r="F284" i="27"/>
  <c r="E284" i="27" s="1"/>
  <c r="H283" i="27"/>
  <c r="G283" i="27" s="1"/>
  <c r="F283" i="27"/>
  <c r="E283" i="27"/>
  <c r="H281" i="27"/>
  <c r="G281" i="27" s="1"/>
  <c r="F281" i="27"/>
  <c r="E281" i="27"/>
  <c r="I281" i="27" s="1"/>
  <c r="H280" i="27"/>
  <c r="G280" i="27" s="1"/>
  <c r="F280" i="27"/>
  <c r="E280" i="27" s="1"/>
  <c r="H279" i="27"/>
  <c r="G279" i="27"/>
  <c r="F279" i="27"/>
  <c r="E279" i="27" s="1"/>
  <c r="H278" i="27"/>
  <c r="G278" i="27"/>
  <c r="F278" i="27"/>
  <c r="E278" i="27" s="1"/>
  <c r="H277" i="27"/>
  <c r="G277" i="27" s="1"/>
  <c r="F277" i="27"/>
  <c r="E277" i="27"/>
  <c r="H276" i="27"/>
  <c r="G276" i="27" s="1"/>
  <c r="F276" i="27"/>
  <c r="E276" i="27" s="1"/>
  <c r="H275" i="27"/>
  <c r="G275" i="27" s="1"/>
  <c r="F275" i="27"/>
  <c r="E275" i="27"/>
  <c r="H274" i="27"/>
  <c r="G274" i="27" s="1"/>
  <c r="F274" i="27"/>
  <c r="E274" i="27" s="1"/>
  <c r="H273" i="27"/>
  <c r="G273" i="27" s="1"/>
  <c r="F273" i="27"/>
  <c r="E273" i="27" s="1"/>
  <c r="I273" i="27" s="1"/>
  <c r="H272" i="27"/>
  <c r="G272" i="27" s="1"/>
  <c r="F272" i="27"/>
  <c r="E272" i="27"/>
  <c r="I272" i="27" s="1"/>
  <c r="H271" i="27"/>
  <c r="G271" i="27" s="1"/>
  <c r="F271" i="27"/>
  <c r="E271" i="27"/>
  <c r="H270" i="27"/>
  <c r="G270" i="27" s="1"/>
  <c r="F270" i="27"/>
  <c r="E270" i="27" s="1"/>
  <c r="H269" i="27"/>
  <c r="G269" i="27" s="1"/>
  <c r="F269" i="27"/>
  <c r="E269" i="27" s="1"/>
  <c r="I269" i="27" s="1"/>
  <c r="H268" i="27"/>
  <c r="G268" i="27" s="1"/>
  <c r="F268" i="27"/>
  <c r="E268" i="27" s="1"/>
  <c r="I268" i="27" s="1"/>
  <c r="H267" i="27"/>
  <c r="G267" i="27"/>
  <c r="F267" i="27"/>
  <c r="E267" i="27" s="1"/>
  <c r="I267" i="27" s="1"/>
  <c r="H266" i="27"/>
  <c r="G266" i="27" s="1"/>
  <c r="I266" i="27" s="1"/>
  <c r="F266" i="27"/>
  <c r="E266" i="27" s="1"/>
  <c r="H265" i="27"/>
  <c r="G265" i="27" s="1"/>
  <c r="F265" i="27"/>
  <c r="E265" i="27" s="1"/>
  <c r="I265" i="27" s="1"/>
  <c r="H264" i="27"/>
  <c r="G264" i="27" s="1"/>
  <c r="F264" i="27"/>
  <c r="E264" i="27" s="1"/>
  <c r="H263" i="27"/>
  <c r="G263" i="27" s="1"/>
  <c r="F263" i="27"/>
  <c r="E263" i="27" s="1"/>
  <c r="H262" i="27"/>
  <c r="G262" i="27"/>
  <c r="F262" i="27"/>
  <c r="E262" i="27" s="1"/>
  <c r="H261" i="27"/>
  <c r="G261" i="27" s="1"/>
  <c r="F261" i="27"/>
  <c r="E261" i="27"/>
  <c r="I261" i="27" s="1"/>
  <c r="H260" i="27"/>
  <c r="G260" i="27" s="1"/>
  <c r="F260" i="27"/>
  <c r="E260" i="27"/>
  <c r="H259" i="27"/>
  <c r="G259" i="27" s="1"/>
  <c r="I259" i="27" s="1"/>
  <c r="F259" i="27"/>
  <c r="E259" i="27"/>
  <c r="H258" i="27"/>
  <c r="G258" i="27" s="1"/>
  <c r="I258" i="27" s="1"/>
  <c r="F258" i="27"/>
  <c r="E258" i="27" s="1"/>
  <c r="H257" i="27"/>
  <c r="G257" i="27" s="1"/>
  <c r="F257" i="27"/>
  <c r="E257" i="27" s="1"/>
  <c r="I257" i="27" s="1"/>
  <c r="H256" i="27"/>
  <c r="G256" i="27" s="1"/>
  <c r="F256" i="27"/>
  <c r="E256" i="27"/>
  <c r="I256" i="27" s="1"/>
  <c r="H255" i="27"/>
  <c r="G255" i="27" s="1"/>
  <c r="F255" i="27"/>
  <c r="E255" i="27"/>
  <c r="H254" i="27"/>
  <c r="G254" i="27" s="1"/>
  <c r="I254" i="27" s="1"/>
  <c r="F254" i="27"/>
  <c r="E254" i="27" s="1"/>
  <c r="H252" i="27"/>
  <c r="G252" i="27" s="1"/>
  <c r="F252" i="27"/>
  <c r="E252" i="27" s="1"/>
  <c r="I252" i="27" s="1"/>
  <c r="H251" i="27"/>
  <c r="G251" i="27" s="1"/>
  <c r="F251" i="27"/>
  <c r="H250" i="27"/>
  <c r="G250" i="27" s="1"/>
  <c r="I250" i="27" s="1"/>
  <c r="F250" i="27"/>
  <c r="E250" i="27" s="1"/>
  <c r="H249" i="27"/>
  <c r="G249" i="27"/>
  <c r="F249" i="27"/>
  <c r="E249" i="27" s="1"/>
  <c r="H248" i="27"/>
  <c r="G248" i="27" s="1"/>
  <c r="F248" i="27"/>
  <c r="E248" i="27" s="1"/>
  <c r="I248" i="27" s="1"/>
  <c r="H246" i="27"/>
  <c r="G246" i="27" s="1"/>
  <c r="F246" i="27"/>
  <c r="E246" i="27" s="1"/>
  <c r="H245" i="27"/>
  <c r="G245" i="27"/>
  <c r="F245" i="27"/>
  <c r="E245" i="27"/>
  <c r="H244" i="27"/>
  <c r="G244" i="27" s="1"/>
  <c r="F244" i="27"/>
  <c r="E244" i="27" s="1"/>
  <c r="I244" i="27" s="1"/>
  <c r="H243" i="27"/>
  <c r="G243" i="27"/>
  <c r="F243" i="27"/>
  <c r="E243" i="27" s="1"/>
  <c r="G242" i="27"/>
  <c r="F242" i="27"/>
  <c r="E242" i="27"/>
  <c r="I242" i="27" s="1"/>
  <c r="G241" i="27"/>
  <c r="F241" i="27"/>
  <c r="E241" i="27"/>
  <c r="I241" i="27" s="1"/>
  <c r="H240" i="27"/>
  <c r="H239" i="27"/>
  <c r="G239" i="27" s="1"/>
  <c r="F239" i="27"/>
  <c r="E239" i="27"/>
  <c r="I239" i="27" s="1"/>
  <c r="H238" i="27"/>
  <c r="G238" i="27" s="1"/>
  <c r="F238" i="27"/>
  <c r="F240" i="27" s="1"/>
  <c r="E238" i="27"/>
  <c r="H236" i="27"/>
  <c r="G236" i="27" s="1"/>
  <c r="I236" i="27" s="1"/>
  <c r="F236" i="27"/>
  <c r="E236" i="27" s="1"/>
  <c r="H235" i="27"/>
  <c r="G235" i="27" s="1"/>
  <c r="F235" i="27"/>
  <c r="E235" i="27" s="1"/>
  <c r="I235" i="27" s="1"/>
  <c r="H234" i="27"/>
  <c r="G234" i="27" s="1"/>
  <c r="F234" i="27"/>
  <c r="E234" i="27"/>
  <c r="I234" i="27" s="1"/>
  <c r="H233" i="27"/>
  <c r="G233" i="27" s="1"/>
  <c r="F233" i="27"/>
  <c r="E233" i="27" s="1"/>
  <c r="I233" i="27" s="1"/>
  <c r="H231" i="27"/>
  <c r="G231" i="27" s="1"/>
  <c r="F231" i="27"/>
  <c r="E231" i="27"/>
  <c r="H230" i="27"/>
  <c r="G230" i="27" s="1"/>
  <c r="F230" i="27"/>
  <c r="E230" i="27"/>
  <c r="H229" i="27"/>
  <c r="G229" i="27" s="1"/>
  <c r="F229" i="27"/>
  <c r="E229" i="27" s="1"/>
  <c r="H228" i="27"/>
  <c r="G228" i="27" s="1"/>
  <c r="F228" i="27"/>
  <c r="E228" i="27" s="1"/>
  <c r="I228" i="27" s="1"/>
  <c r="H227" i="27"/>
  <c r="G227" i="27" s="1"/>
  <c r="F227" i="27"/>
  <c r="E227" i="27"/>
  <c r="H226" i="27"/>
  <c r="G226" i="27" s="1"/>
  <c r="I226" i="27" s="1"/>
  <c r="F226" i="27"/>
  <c r="E226" i="27" s="1"/>
  <c r="H225" i="27"/>
  <c r="G225" i="27"/>
  <c r="F225" i="27"/>
  <c r="E225" i="27" s="1"/>
  <c r="I225" i="27" s="1"/>
  <c r="H224" i="27"/>
  <c r="G224" i="27"/>
  <c r="F224" i="27"/>
  <c r="E224" i="27" s="1"/>
  <c r="H223" i="27"/>
  <c r="G223" i="27" s="1"/>
  <c r="F223" i="27"/>
  <c r="E223" i="27" s="1"/>
  <c r="H222" i="27"/>
  <c r="G222" i="27" s="1"/>
  <c r="F222" i="27"/>
  <c r="E222" i="27" s="1"/>
  <c r="I222" i="27" s="1"/>
  <c r="H221" i="27"/>
  <c r="G221" i="27" s="1"/>
  <c r="F221" i="27"/>
  <c r="E221" i="27"/>
  <c r="I221" i="27" s="1"/>
  <c r="H220" i="27"/>
  <c r="G220" i="27" s="1"/>
  <c r="F220" i="27"/>
  <c r="E220" i="27" s="1"/>
  <c r="H219" i="27"/>
  <c r="G219" i="27" s="1"/>
  <c r="F219" i="27"/>
  <c r="E219" i="27" s="1"/>
  <c r="I219" i="27" s="1"/>
  <c r="H218" i="27"/>
  <c r="G218" i="27" s="1"/>
  <c r="F218" i="27"/>
  <c r="E218" i="27" s="1"/>
  <c r="H217" i="27"/>
  <c r="G217" i="27" s="1"/>
  <c r="F217" i="27"/>
  <c r="E217" i="27" s="1"/>
  <c r="H216" i="27"/>
  <c r="G216" i="27" s="1"/>
  <c r="F216" i="27"/>
  <c r="E216" i="27" s="1"/>
  <c r="H215" i="27"/>
  <c r="G215" i="27" s="1"/>
  <c r="F215" i="27"/>
  <c r="E215" i="27" s="1"/>
  <c r="H214" i="27"/>
  <c r="G214" i="27" s="1"/>
  <c r="F214" i="27"/>
  <c r="E214" i="27" s="1"/>
  <c r="I214" i="27" s="1"/>
  <c r="H213" i="27"/>
  <c r="G213" i="27" s="1"/>
  <c r="F213" i="27"/>
  <c r="E213" i="27" s="1"/>
  <c r="H212" i="27"/>
  <c r="G212" i="27"/>
  <c r="I212" i="27" s="1"/>
  <c r="F212" i="27"/>
  <c r="E212" i="27" s="1"/>
  <c r="H211" i="27"/>
  <c r="G211" i="27" s="1"/>
  <c r="F211" i="27"/>
  <c r="E211" i="27"/>
  <c r="I211" i="27" s="1"/>
  <c r="H210" i="27"/>
  <c r="G210" i="27" s="1"/>
  <c r="F210" i="27"/>
  <c r="E210" i="27" s="1"/>
  <c r="H209" i="27"/>
  <c r="G209" i="27"/>
  <c r="F209" i="27"/>
  <c r="E209" i="27"/>
  <c r="H208" i="27"/>
  <c r="G208" i="27" s="1"/>
  <c r="F208" i="27"/>
  <c r="E208" i="27" s="1"/>
  <c r="I208" i="27" s="1"/>
  <c r="H207" i="27"/>
  <c r="G207" i="27" s="1"/>
  <c r="F207" i="27"/>
  <c r="E207" i="27"/>
  <c r="I207" i="27" s="1"/>
  <c r="H206" i="27"/>
  <c r="G206" i="27" s="1"/>
  <c r="I206" i="27" s="1"/>
  <c r="F206" i="27"/>
  <c r="E206" i="27"/>
  <c r="H205" i="27"/>
  <c r="G205" i="27"/>
  <c r="F205" i="27"/>
  <c r="E205" i="27"/>
  <c r="H204" i="27"/>
  <c r="G204" i="27" s="1"/>
  <c r="F204" i="27"/>
  <c r="E204" i="27" s="1"/>
  <c r="I204" i="27" s="1"/>
  <c r="H203" i="27"/>
  <c r="G203" i="27" s="1"/>
  <c r="F203" i="27"/>
  <c r="E203" i="27"/>
  <c r="I203" i="27" s="1"/>
  <c r="H202" i="27"/>
  <c r="G202" i="27" s="1"/>
  <c r="I202" i="27" s="1"/>
  <c r="F202" i="27"/>
  <c r="E202" i="27"/>
  <c r="H201" i="27"/>
  <c r="G201" i="27"/>
  <c r="F201" i="27"/>
  <c r="E201" i="27"/>
  <c r="H200" i="27"/>
  <c r="G200" i="27"/>
  <c r="F200" i="27"/>
  <c r="E200" i="27" s="1"/>
  <c r="H199" i="27"/>
  <c r="G199" i="27"/>
  <c r="F199" i="27"/>
  <c r="E199" i="27" s="1"/>
  <c r="I199" i="27" s="1"/>
  <c r="H198" i="27"/>
  <c r="G198" i="27" s="1"/>
  <c r="F198" i="27"/>
  <c r="E198" i="27" s="1"/>
  <c r="I198" i="27" s="1"/>
  <c r="H197" i="27"/>
  <c r="G197" i="27"/>
  <c r="F197" i="27"/>
  <c r="E197" i="27" s="1"/>
  <c r="H196" i="27"/>
  <c r="G196" i="27" s="1"/>
  <c r="F196" i="27"/>
  <c r="E196" i="27" s="1"/>
  <c r="I196" i="27" s="1"/>
  <c r="H195" i="27"/>
  <c r="G195" i="27" s="1"/>
  <c r="I195" i="27" s="1"/>
  <c r="F195" i="27"/>
  <c r="E195" i="27"/>
  <c r="H194" i="27"/>
  <c r="G194" i="27" s="1"/>
  <c r="F194" i="27"/>
  <c r="E194" i="27" s="1"/>
  <c r="I194" i="27" s="1"/>
  <c r="H193" i="27"/>
  <c r="G193" i="27"/>
  <c r="F193" i="27"/>
  <c r="E193" i="27" s="1"/>
  <c r="I193" i="27" s="1"/>
  <c r="H192" i="27"/>
  <c r="G192" i="27" s="1"/>
  <c r="F192" i="27"/>
  <c r="E192" i="27" s="1"/>
  <c r="H191" i="27"/>
  <c r="G191" i="27" s="1"/>
  <c r="F191" i="27"/>
  <c r="E191" i="27" s="1"/>
  <c r="I191" i="27" s="1"/>
  <c r="H190" i="27"/>
  <c r="G190" i="27" s="1"/>
  <c r="E190" i="27"/>
  <c r="H189" i="27"/>
  <c r="G189" i="27" s="1"/>
  <c r="F189" i="27"/>
  <c r="E189" i="27" s="1"/>
  <c r="H188" i="27"/>
  <c r="G188" i="27" s="1"/>
  <c r="F188" i="27"/>
  <c r="E188" i="27"/>
  <c r="H187" i="27"/>
  <c r="G187" i="27" s="1"/>
  <c r="F187" i="27"/>
  <c r="E187" i="27" s="1"/>
  <c r="H186" i="27"/>
  <c r="F186" i="27"/>
  <c r="E186" i="27" s="1"/>
  <c r="H184" i="27"/>
  <c r="G184" i="27"/>
  <c r="F184" i="27"/>
  <c r="E184" i="27" s="1"/>
  <c r="I184" i="27" s="1"/>
  <c r="H183" i="27"/>
  <c r="G183" i="27" s="1"/>
  <c r="F183" i="27"/>
  <c r="H181" i="27"/>
  <c r="G181" i="27" s="1"/>
  <c r="F181" i="27"/>
  <c r="E181" i="27"/>
  <c r="H180" i="27"/>
  <c r="G180" i="27"/>
  <c r="F180" i="27"/>
  <c r="E180" i="27" s="1"/>
  <c r="H179" i="27"/>
  <c r="G179" i="27"/>
  <c r="F179" i="27"/>
  <c r="E179" i="27" s="1"/>
  <c r="I179" i="27" s="1"/>
  <c r="H178" i="27"/>
  <c r="G178" i="27"/>
  <c r="F178" i="27"/>
  <c r="E178" i="27"/>
  <c r="I178" i="27" s="1"/>
  <c r="H176" i="27"/>
  <c r="G176" i="27" s="1"/>
  <c r="F176" i="27"/>
  <c r="E176" i="27"/>
  <c r="I176" i="27" s="1"/>
  <c r="H175" i="27"/>
  <c r="G175" i="27" s="1"/>
  <c r="F175" i="27"/>
  <c r="H173" i="27"/>
  <c r="G173" i="27" s="1"/>
  <c r="F173" i="27"/>
  <c r="E173" i="27"/>
  <c r="I173" i="27" s="1"/>
  <c r="H172" i="27"/>
  <c r="G172" i="27" s="1"/>
  <c r="F172" i="27"/>
  <c r="E172" i="27"/>
  <c r="H171" i="27"/>
  <c r="G171" i="27" s="1"/>
  <c r="I171" i="27" s="1"/>
  <c r="F171" i="27"/>
  <c r="E171" i="27"/>
  <c r="H169" i="27"/>
  <c r="G169" i="27"/>
  <c r="I169" i="27" s="1"/>
  <c r="E169" i="27"/>
  <c r="H168" i="27"/>
  <c r="G168" i="27" s="1"/>
  <c r="F168" i="27"/>
  <c r="E168" i="27" s="1"/>
  <c r="I168" i="27" s="1"/>
  <c r="H167" i="27"/>
  <c r="G167" i="27" s="1"/>
  <c r="I167" i="27" s="1"/>
  <c r="F167" i="27"/>
  <c r="E167" i="27" s="1"/>
  <c r="H166" i="27"/>
  <c r="G166" i="27"/>
  <c r="F166" i="27"/>
  <c r="H164" i="27"/>
  <c r="G164" i="27"/>
  <c r="F164" i="27"/>
  <c r="E164" i="27" s="1"/>
  <c r="I164" i="27" s="1"/>
  <c r="H163" i="27"/>
  <c r="G163" i="27" s="1"/>
  <c r="I163" i="27" s="1"/>
  <c r="F163" i="27"/>
  <c r="E163" i="27"/>
  <c r="H162" i="27"/>
  <c r="G162" i="27" s="1"/>
  <c r="F162" i="27"/>
  <c r="E162" i="27" s="1"/>
  <c r="I162" i="27" s="1"/>
  <c r="H161" i="27"/>
  <c r="G161" i="27" s="1"/>
  <c r="F161" i="27"/>
  <c r="E161" i="27"/>
  <c r="I161" i="27" s="1"/>
  <c r="H160" i="27"/>
  <c r="G160" i="27" s="1"/>
  <c r="F160" i="27"/>
  <c r="E160" i="27" s="1"/>
  <c r="H159" i="27"/>
  <c r="G159" i="27" s="1"/>
  <c r="F159" i="27"/>
  <c r="E159" i="27" s="1"/>
  <c r="I159" i="27" s="1"/>
  <c r="H158" i="27"/>
  <c r="G158" i="27" s="1"/>
  <c r="F158" i="27"/>
  <c r="E158" i="27" s="1"/>
  <c r="A158" i="27"/>
  <c r="A159" i="27" s="1"/>
  <c r="A160" i="27" s="1"/>
  <c r="A161" i="27" s="1"/>
  <c r="A162" i="27" s="1"/>
  <c r="A163" i="27" s="1"/>
  <c r="A164" i="27" s="1"/>
  <c r="A165" i="27" s="1"/>
  <c r="A166" i="27" s="1"/>
  <c r="A167" i="27" s="1"/>
  <c r="A168" i="27" s="1"/>
  <c r="A169" i="27" s="1"/>
  <c r="A170" i="27" s="1"/>
  <c r="A171" i="27" s="1"/>
  <c r="A172" i="27" s="1"/>
  <c r="A173" i="27" s="1"/>
  <c r="A174" i="27" s="1"/>
  <c r="A175" i="27" s="1"/>
  <c r="A176" i="27" s="1"/>
  <c r="A177" i="27" s="1"/>
  <c r="A178" i="27" s="1"/>
  <c r="H157" i="27"/>
  <c r="G157" i="27" s="1"/>
  <c r="F157" i="27"/>
  <c r="G237" i="27" l="1"/>
  <c r="I276" i="27"/>
  <c r="I279" i="27"/>
  <c r="I192" i="27"/>
  <c r="I209" i="27"/>
  <c r="I216" i="27"/>
  <c r="I231" i="27"/>
  <c r="H253" i="27"/>
  <c r="I277" i="27"/>
  <c r="I285" i="27"/>
  <c r="Z259" i="27"/>
  <c r="Z261" i="27"/>
  <c r="Z265" i="27"/>
  <c r="F177" i="27"/>
  <c r="I180" i="27"/>
  <c r="I187" i="27"/>
  <c r="I189" i="27"/>
  <c r="I197" i="27"/>
  <c r="I200" i="27"/>
  <c r="I220" i="27"/>
  <c r="I227" i="27"/>
  <c r="I230" i="27"/>
  <c r="I262" i="27"/>
  <c r="I280" i="27"/>
  <c r="Z267" i="27"/>
  <c r="Z269" i="27"/>
  <c r="Z271" i="27"/>
  <c r="G170" i="27"/>
  <c r="H182" i="27"/>
  <c r="G182" i="27" s="1"/>
  <c r="I246" i="27"/>
  <c r="I270" i="27"/>
  <c r="F286" i="27"/>
  <c r="Z268" i="27"/>
  <c r="I158" i="27"/>
  <c r="I181" i="27"/>
  <c r="I190" i="27"/>
  <c r="I201" i="27"/>
  <c r="I205" i="27"/>
  <c r="I215" i="27"/>
  <c r="I223" i="27"/>
  <c r="G253" i="27"/>
  <c r="I275" i="27"/>
  <c r="I283" i="27"/>
  <c r="Z263" i="27"/>
  <c r="I237" i="27"/>
  <c r="H170" i="27"/>
  <c r="I172" i="27"/>
  <c r="I217" i="27"/>
  <c r="I271" i="27"/>
  <c r="I240" i="27"/>
  <c r="F165" i="27"/>
  <c r="I160" i="27"/>
  <c r="E174" i="27"/>
  <c r="I188" i="27"/>
  <c r="I224" i="27"/>
  <c r="I243" i="27"/>
  <c r="I255" i="27"/>
  <c r="I260" i="27"/>
  <c r="I264" i="27"/>
  <c r="I274" i="27"/>
  <c r="E286" i="27"/>
  <c r="H174" i="27"/>
  <c r="I213" i="27"/>
  <c r="I229" i="27"/>
  <c r="E237" i="27"/>
  <c r="G247" i="27"/>
  <c r="I249" i="27"/>
  <c r="I263" i="27"/>
  <c r="I278" i="27"/>
  <c r="I287" i="27"/>
  <c r="H232" i="27"/>
  <c r="H247" i="27"/>
  <c r="F237" i="27"/>
  <c r="E240" i="27"/>
  <c r="E247" i="27"/>
  <c r="I247" i="27" s="1"/>
  <c r="G177" i="27"/>
  <c r="I245" i="27"/>
  <c r="F170" i="27"/>
  <c r="E166" i="27"/>
  <c r="I166" i="27" s="1"/>
  <c r="I170" i="27" s="1"/>
  <c r="G174" i="27"/>
  <c r="G165" i="27"/>
  <c r="H165" i="27"/>
  <c r="G240" i="27"/>
  <c r="F253" i="27"/>
  <c r="E251" i="27"/>
  <c r="I251" i="27" s="1"/>
  <c r="I253" i="27" s="1"/>
  <c r="H177" i="27"/>
  <c r="F247" i="27"/>
  <c r="G282" i="27"/>
  <c r="E157" i="27"/>
  <c r="I157" i="27" s="1"/>
  <c r="F174" i="27"/>
  <c r="E175" i="27"/>
  <c r="I175" i="27" s="1"/>
  <c r="E183" i="27"/>
  <c r="I183" i="27" s="1"/>
  <c r="F185" i="27"/>
  <c r="E185" i="27" s="1"/>
  <c r="H185" i="27"/>
  <c r="G185" i="27" s="1"/>
  <c r="G186" i="27"/>
  <c r="H282" i="27"/>
  <c r="E182" i="27"/>
  <c r="I182" i="27" s="1"/>
  <c r="F232" i="27"/>
  <c r="E232" i="27"/>
  <c r="E282" i="27"/>
  <c r="F282" i="27"/>
  <c r="F182" i="27"/>
  <c r="H237" i="27"/>
  <c r="G284" i="27"/>
  <c r="I284" i="27" s="1"/>
  <c r="H286" i="27"/>
  <c r="U80" i="24"/>
  <c r="U78" i="24"/>
  <c r="T78" i="24"/>
  <c r="AG78" i="24"/>
  <c r="AE77" i="24"/>
  <c r="AB77" i="24"/>
  <c r="V77" i="24"/>
  <c r="AH77" i="24" s="1"/>
  <c r="U77" i="24"/>
  <c r="T77" i="24" s="1"/>
  <c r="AH76" i="24"/>
  <c r="AG76" i="24"/>
  <c r="V76" i="24"/>
  <c r="T76" i="24"/>
  <c r="X76" i="24" s="1"/>
  <c r="AB75" i="24"/>
  <c r="U75" i="24" s="1"/>
  <c r="T75" i="24" s="1"/>
  <c r="V75" i="24"/>
  <c r="AH75" i="24" s="1"/>
  <c r="AB74" i="24"/>
  <c r="U74" i="24" s="1"/>
  <c r="T74" i="24" s="1"/>
  <c r="V74" i="24"/>
  <c r="AH74" i="24" s="1"/>
  <c r="AB73" i="24"/>
  <c r="U73" i="24" s="1"/>
  <c r="T73" i="24" s="1"/>
  <c r="V73" i="24"/>
  <c r="AH73" i="24" s="1"/>
  <c r="AB72" i="24"/>
  <c r="U72" i="24" s="1"/>
  <c r="T72" i="24" s="1"/>
  <c r="V72" i="24"/>
  <c r="AH72" i="24" s="1"/>
  <c r="AB71" i="24"/>
  <c r="U71" i="24" s="1"/>
  <c r="T71" i="24" s="1"/>
  <c r="V71" i="24"/>
  <c r="AH71" i="24" s="1"/>
  <c r="P71" i="24"/>
  <c r="P72" i="24" s="1"/>
  <c r="P73" i="24" s="1"/>
  <c r="P74" i="24" s="1"/>
  <c r="P75" i="24" s="1"/>
  <c r="P76" i="24" s="1"/>
  <c r="P77" i="24" s="1"/>
  <c r="S12" i="26"/>
  <c r="S13" i="26"/>
  <c r="S14" i="26"/>
  <c r="S15" i="26"/>
  <c r="S16" i="26"/>
  <c r="S17" i="26"/>
  <c r="S18" i="26"/>
  <c r="S19" i="26"/>
  <c r="S20" i="26"/>
  <c r="S21" i="26"/>
  <c r="S22" i="26"/>
  <c r="S23" i="26"/>
  <c r="S24" i="26"/>
  <c r="S25" i="26"/>
  <c r="S26" i="26"/>
  <c r="S27" i="26"/>
  <c r="S28" i="26"/>
  <c r="S29" i="26"/>
  <c r="S30" i="26"/>
  <c r="S31" i="26"/>
  <c r="S32" i="26"/>
  <c r="S33" i="26"/>
  <c r="S34" i="26"/>
  <c r="S35" i="26"/>
  <c r="S36" i="26"/>
  <c r="S56" i="26"/>
  <c r="S57" i="26"/>
  <c r="S58" i="26"/>
  <c r="S59" i="26"/>
  <c r="S60" i="26"/>
  <c r="S61" i="26"/>
  <c r="S62" i="26"/>
  <c r="S63" i="26"/>
  <c r="S64" i="26"/>
  <c r="S65" i="26"/>
  <c r="S66" i="26"/>
  <c r="S67" i="26"/>
  <c r="S68" i="26"/>
  <c r="S69" i="26"/>
  <c r="S71" i="26"/>
  <c r="S72" i="26"/>
  <c r="S73" i="26"/>
  <c r="S74" i="26"/>
  <c r="S75" i="26"/>
  <c r="S76" i="26"/>
  <c r="S77" i="26"/>
  <c r="S78" i="26"/>
  <c r="S79" i="26"/>
  <c r="S80" i="26"/>
  <c r="S81" i="26"/>
  <c r="S82" i="26"/>
  <c r="S83" i="26"/>
  <c r="S84" i="26"/>
  <c r="S85" i="26"/>
  <c r="S86" i="26"/>
  <c r="S87" i="26"/>
  <c r="S88" i="26"/>
  <c r="S89" i="26"/>
  <c r="S90" i="26"/>
  <c r="S91" i="26"/>
  <c r="S92" i="26"/>
  <c r="S93" i="26"/>
  <c r="S94" i="26"/>
  <c r="S95" i="26"/>
  <c r="S11" i="26"/>
  <c r="R12" i="26"/>
  <c r="R13" i="26"/>
  <c r="R14" i="26"/>
  <c r="R15" i="26"/>
  <c r="R16" i="26"/>
  <c r="R17" i="26"/>
  <c r="R18" i="26"/>
  <c r="R19" i="26"/>
  <c r="R20" i="26"/>
  <c r="R21" i="26"/>
  <c r="R22" i="26"/>
  <c r="R23" i="26"/>
  <c r="R24" i="26"/>
  <c r="R25" i="26"/>
  <c r="R26" i="26"/>
  <c r="R27" i="26"/>
  <c r="R28" i="26"/>
  <c r="R29" i="26"/>
  <c r="R30" i="26"/>
  <c r="R31" i="26"/>
  <c r="R32" i="26"/>
  <c r="R33" i="26"/>
  <c r="R34" i="26"/>
  <c r="R35" i="26"/>
  <c r="R36" i="26"/>
  <c r="R56" i="26"/>
  <c r="R57" i="26"/>
  <c r="R58" i="26"/>
  <c r="R59" i="26"/>
  <c r="R60" i="26"/>
  <c r="R61" i="26"/>
  <c r="R62" i="26"/>
  <c r="R63" i="26"/>
  <c r="R64" i="26"/>
  <c r="R65" i="26"/>
  <c r="R66" i="26"/>
  <c r="R67" i="26"/>
  <c r="R68" i="26"/>
  <c r="R69"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11" i="26"/>
  <c r="I282" i="27" l="1"/>
  <c r="I286" i="27"/>
  <c r="G232" i="27"/>
  <c r="I186" i="27"/>
  <c r="I232" i="27" s="1"/>
  <c r="F288" i="27"/>
  <c r="I185" i="27"/>
  <c r="I165" i="27"/>
  <c r="I174" i="27"/>
  <c r="H288" i="27"/>
  <c r="E253" i="27"/>
  <c r="E165" i="27"/>
  <c r="G286" i="27"/>
  <c r="E177" i="27"/>
  <c r="I177" i="27" s="1"/>
  <c r="E170" i="27"/>
  <c r="AG72" i="24"/>
  <c r="X72" i="24"/>
  <c r="AG74" i="24"/>
  <c r="X74" i="24"/>
  <c r="AG71" i="24"/>
  <c r="X71" i="24"/>
  <c r="AG73" i="24"/>
  <c r="X73" i="24"/>
  <c r="AG75" i="24"/>
  <c r="X75" i="24"/>
  <c r="X77" i="24"/>
  <c r="AG77" i="24"/>
  <c r="G208" i="26"/>
  <c r="E208" i="26"/>
  <c r="H204" i="26"/>
  <c r="P203" i="26"/>
  <c r="M203" i="26"/>
  <c r="F203" i="26" s="1"/>
  <c r="E203" i="26" s="1"/>
  <c r="I203" i="26" s="1"/>
  <c r="G203" i="26"/>
  <c r="P202" i="26"/>
  <c r="M202" i="26"/>
  <c r="F202" i="26" s="1"/>
  <c r="E202" i="26" s="1"/>
  <c r="I202" i="26" s="1"/>
  <c r="G202" i="26"/>
  <c r="P201" i="26"/>
  <c r="M201" i="26"/>
  <c r="F201" i="26" s="1"/>
  <c r="E201" i="26" s="1"/>
  <c r="G201" i="26"/>
  <c r="P200" i="26"/>
  <c r="M200" i="26"/>
  <c r="F200" i="26" s="1"/>
  <c r="E200" i="26" s="1"/>
  <c r="I200" i="26" s="1"/>
  <c r="G200" i="26"/>
  <c r="P199" i="26"/>
  <c r="M199" i="26"/>
  <c r="F199" i="26" s="1"/>
  <c r="E199" i="26" s="1"/>
  <c r="I199" i="26" s="1"/>
  <c r="G199" i="26"/>
  <c r="P198" i="26"/>
  <c r="M198" i="26"/>
  <c r="F198" i="26" s="1"/>
  <c r="E198" i="26" s="1"/>
  <c r="I198" i="26" s="1"/>
  <c r="G198" i="26"/>
  <c r="P197" i="26"/>
  <c r="M197" i="26"/>
  <c r="F197" i="26" s="1"/>
  <c r="E197" i="26" s="1"/>
  <c r="G197" i="26"/>
  <c r="P196" i="26"/>
  <c r="M196" i="26"/>
  <c r="F196" i="26" s="1"/>
  <c r="E196" i="26" s="1"/>
  <c r="I196" i="26" s="1"/>
  <c r="G196" i="26"/>
  <c r="P195" i="26"/>
  <c r="M195" i="26"/>
  <c r="F195" i="26" s="1"/>
  <c r="E195" i="26" s="1"/>
  <c r="I195" i="26" s="1"/>
  <c r="G195" i="26"/>
  <c r="P194" i="26"/>
  <c r="M194" i="26"/>
  <c r="F194" i="26" s="1"/>
  <c r="E194" i="26" s="1"/>
  <c r="I194" i="26" s="1"/>
  <c r="G194" i="26"/>
  <c r="P193" i="26"/>
  <c r="M193" i="26"/>
  <c r="F193" i="26" s="1"/>
  <c r="E193" i="26" s="1"/>
  <c r="G193" i="26"/>
  <c r="P192" i="26"/>
  <c r="M192" i="26"/>
  <c r="F192" i="26" s="1"/>
  <c r="E192" i="26" s="1"/>
  <c r="I192" i="26" s="1"/>
  <c r="G192" i="26"/>
  <c r="P191" i="26"/>
  <c r="M191" i="26"/>
  <c r="F191" i="26" s="1"/>
  <c r="E191" i="26" s="1"/>
  <c r="I191" i="26" s="1"/>
  <c r="G191" i="26"/>
  <c r="P190" i="26"/>
  <c r="M190" i="26"/>
  <c r="F190" i="26" s="1"/>
  <c r="E190" i="26" s="1"/>
  <c r="I190" i="26" s="1"/>
  <c r="G190" i="26"/>
  <c r="P189" i="26"/>
  <c r="M189" i="26"/>
  <c r="G189" i="26"/>
  <c r="P188" i="26"/>
  <c r="M188" i="26"/>
  <c r="F188" i="26" s="1"/>
  <c r="E188" i="26" s="1"/>
  <c r="I188" i="26" s="1"/>
  <c r="G188" i="26"/>
  <c r="P187" i="26"/>
  <c r="M187" i="26"/>
  <c r="F187" i="26" s="1"/>
  <c r="E187" i="26" s="1"/>
  <c r="I187" i="26" s="1"/>
  <c r="G187" i="26"/>
  <c r="P186" i="26"/>
  <c r="M186" i="26"/>
  <c r="F186" i="26" s="1"/>
  <c r="G186" i="26"/>
  <c r="P185" i="26"/>
  <c r="G185" i="26"/>
  <c r="I185" i="26" s="1"/>
  <c r="E185" i="26"/>
  <c r="P184" i="26"/>
  <c r="G184" i="26"/>
  <c r="F184" i="26"/>
  <c r="E184" i="26" s="1"/>
  <c r="P183" i="26"/>
  <c r="H183" i="26"/>
  <c r="P182" i="26"/>
  <c r="M182" i="26"/>
  <c r="G182" i="26"/>
  <c r="F182" i="26"/>
  <c r="E182" i="26" s="1"/>
  <c r="I182" i="26" s="1"/>
  <c r="P181" i="26"/>
  <c r="M181" i="26"/>
  <c r="G181" i="26"/>
  <c r="G183" i="26" s="1"/>
  <c r="P180" i="26"/>
  <c r="M180" i="26"/>
  <c r="F180" i="26" s="1"/>
  <c r="G180" i="26"/>
  <c r="P179" i="26"/>
  <c r="P178" i="26"/>
  <c r="M178" i="26"/>
  <c r="F178" i="26" s="1"/>
  <c r="G178" i="26"/>
  <c r="E178" i="26"/>
  <c r="I178" i="26" s="1"/>
  <c r="P177" i="26"/>
  <c r="G177" i="26"/>
  <c r="E177" i="26"/>
  <c r="P176" i="26"/>
  <c r="M176" i="26"/>
  <c r="F176" i="26" s="1"/>
  <c r="G176" i="26"/>
  <c r="E176" i="26"/>
  <c r="I176" i="26" s="1"/>
  <c r="P175" i="26"/>
  <c r="M175" i="26"/>
  <c r="G175" i="26"/>
  <c r="F175" i="26"/>
  <c r="E175" i="26" s="1"/>
  <c r="I175" i="26" s="1"/>
  <c r="P174" i="26"/>
  <c r="H174" i="26" s="1"/>
  <c r="G174" i="26" s="1"/>
  <c r="M174" i="26"/>
  <c r="F174" i="26" s="1"/>
  <c r="E174" i="26" s="1"/>
  <c r="P173" i="26"/>
  <c r="M173" i="26"/>
  <c r="F173" i="26" s="1"/>
  <c r="E173" i="26" s="1"/>
  <c r="I173" i="26" s="1"/>
  <c r="G173" i="26"/>
  <c r="P172" i="26"/>
  <c r="M172" i="26"/>
  <c r="F172" i="26" s="1"/>
  <c r="E172" i="26" s="1"/>
  <c r="I172" i="26" s="1"/>
  <c r="G172" i="26"/>
  <c r="P171" i="26"/>
  <c r="M171" i="26"/>
  <c r="F171" i="26" s="1"/>
  <c r="E171" i="26" s="1"/>
  <c r="I171" i="26" s="1"/>
  <c r="G171" i="26"/>
  <c r="P170" i="26"/>
  <c r="M170" i="26"/>
  <c r="F170" i="26" s="1"/>
  <c r="E170" i="26" s="1"/>
  <c r="I170" i="26" s="1"/>
  <c r="G170" i="26"/>
  <c r="G169" i="26"/>
  <c r="E169" i="26"/>
  <c r="I169" i="26" s="1"/>
  <c r="P168" i="26"/>
  <c r="H168" i="26"/>
  <c r="G168" i="26"/>
  <c r="I168" i="26" s="1"/>
  <c r="E168" i="26"/>
  <c r="P167" i="26"/>
  <c r="H167" i="26" s="1"/>
  <c r="G167" i="26" s="1"/>
  <c r="E167" i="26"/>
  <c r="P166" i="26"/>
  <c r="H166" i="26" s="1"/>
  <c r="G166" i="26" s="1"/>
  <c r="M166" i="26"/>
  <c r="F166" i="26"/>
  <c r="E166" i="26" s="1"/>
  <c r="M165" i="26"/>
  <c r="F165" i="26" s="1"/>
  <c r="E165" i="26" s="1"/>
  <c r="I165" i="26" s="1"/>
  <c r="G165" i="26"/>
  <c r="M164" i="26"/>
  <c r="F164" i="26" s="1"/>
  <c r="E164" i="26" s="1"/>
  <c r="I164" i="26" s="1"/>
  <c r="G164" i="26"/>
  <c r="P163" i="26"/>
  <c r="H163" i="26" s="1"/>
  <c r="G163" i="26" s="1"/>
  <c r="I163" i="26" s="1"/>
  <c r="E163" i="26"/>
  <c r="P162" i="26"/>
  <c r="H162" i="26" s="1"/>
  <c r="G162" i="26" s="1"/>
  <c r="I162" i="26" s="1"/>
  <c r="E162" i="26"/>
  <c r="M161" i="26"/>
  <c r="F161" i="26" s="1"/>
  <c r="E161" i="26" s="1"/>
  <c r="I161" i="26" s="1"/>
  <c r="G161" i="26"/>
  <c r="P160" i="26"/>
  <c r="H160" i="26"/>
  <c r="P159" i="26"/>
  <c r="M159" i="26"/>
  <c r="F159" i="26" s="1"/>
  <c r="E159" i="26" s="1"/>
  <c r="G159" i="26"/>
  <c r="G158" i="26"/>
  <c r="I158" i="26" s="1"/>
  <c r="E158" i="26"/>
  <c r="M157" i="26"/>
  <c r="F157" i="26" s="1"/>
  <c r="E157" i="26" s="1"/>
  <c r="G157" i="26"/>
  <c r="M156" i="26"/>
  <c r="F156" i="26" s="1"/>
  <c r="E156" i="26" s="1"/>
  <c r="G156" i="26"/>
  <c r="M155" i="26"/>
  <c r="F155" i="26" s="1"/>
  <c r="E155" i="26" s="1"/>
  <c r="G155" i="26"/>
  <c r="I155" i="26" s="1"/>
  <c r="M154" i="26"/>
  <c r="F154" i="26" s="1"/>
  <c r="G154" i="26"/>
  <c r="E154" i="26"/>
  <c r="I154" i="26" s="1"/>
  <c r="M153" i="26"/>
  <c r="G153" i="26"/>
  <c r="P152" i="26"/>
  <c r="M152" i="26"/>
  <c r="F152" i="26" s="1"/>
  <c r="E152" i="26" s="1"/>
  <c r="H152" i="26"/>
  <c r="G152" i="26" s="1"/>
  <c r="P150" i="26"/>
  <c r="H150" i="26" s="1"/>
  <c r="G150" i="26"/>
  <c r="I150" i="26" s="1"/>
  <c r="E150" i="26"/>
  <c r="P149" i="26"/>
  <c r="H149" i="26"/>
  <c r="G149" i="26"/>
  <c r="E149" i="26"/>
  <c r="P148" i="26"/>
  <c r="M148" i="26"/>
  <c r="H148" i="26"/>
  <c r="H151" i="26" s="1"/>
  <c r="P147" i="26"/>
  <c r="H147" i="26" s="1"/>
  <c r="G147" i="26" s="1"/>
  <c r="E147" i="26"/>
  <c r="I147" i="26" s="1"/>
  <c r="M146" i="26"/>
  <c r="F146" i="26" s="1"/>
  <c r="E146" i="26" s="1"/>
  <c r="I146" i="26" s="1"/>
  <c r="G146" i="26"/>
  <c r="M145" i="26"/>
  <c r="F145" i="26" s="1"/>
  <c r="E145" i="26" s="1"/>
  <c r="I145" i="26" s="1"/>
  <c r="G145" i="26"/>
  <c r="P144" i="26"/>
  <c r="H144" i="26"/>
  <c r="G144" i="26"/>
  <c r="I144" i="26" s="1"/>
  <c r="E144" i="26"/>
  <c r="P142" i="26"/>
  <c r="H142" i="26"/>
  <c r="G142" i="26" s="1"/>
  <c r="E142" i="26"/>
  <c r="P141" i="26"/>
  <c r="H141" i="26"/>
  <c r="G141" i="26" s="1"/>
  <c r="E141" i="26"/>
  <c r="P140" i="26"/>
  <c r="H140" i="26" s="1"/>
  <c r="G140" i="26" s="1"/>
  <c r="E140" i="26"/>
  <c r="P139" i="26"/>
  <c r="H139" i="26" s="1"/>
  <c r="G139" i="26"/>
  <c r="E139" i="26"/>
  <c r="I139" i="26" s="1"/>
  <c r="P138" i="26"/>
  <c r="H138" i="26"/>
  <c r="G138" i="26" s="1"/>
  <c r="E138" i="26"/>
  <c r="I138" i="26" s="1"/>
  <c r="P137" i="26"/>
  <c r="H137" i="26" s="1"/>
  <c r="G137" i="26" s="1"/>
  <c r="E137" i="26"/>
  <c r="M136" i="26"/>
  <c r="F136" i="26" s="1"/>
  <c r="E136" i="26" s="1"/>
  <c r="I136" i="26" s="1"/>
  <c r="G136" i="26"/>
  <c r="M135" i="26"/>
  <c r="F135" i="26" s="1"/>
  <c r="E135" i="26" s="1"/>
  <c r="I135" i="26" s="1"/>
  <c r="G135" i="26"/>
  <c r="M134" i="26"/>
  <c r="F134" i="26" s="1"/>
  <c r="E134" i="26" s="1"/>
  <c r="G134" i="26"/>
  <c r="P133" i="26"/>
  <c r="H133" i="26" s="1"/>
  <c r="G133" i="26" s="1"/>
  <c r="M133" i="26"/>
  <c r="F133" i="26"/>
  <c r="E133" i="26"/>
  <c r="P132" i="26"/>
  <c r="H132" i="26" s="1"/>
  <c r="G132" i="26" s="1"/>
  <c r="M132" i="26"/>
  <c r="F132" i="26"/>
  <c r="E132" i="26"/>
  <c r="P131" i="26"/>
  <c r="H131" i="26" s="1"/>
  <c r="G131" i="26" s="1"/>
  <c r="M131" i="26"/>
  <c r="F131" i="26"/>
  <c r="E131" i="26"/>
  <c r="M130" i="26"/>
  <c r="F130" i="26" s="1"/>
  <c r="G130" i="26"/>
  <c r="E130" i="26"/>
  <c r="I130" i="26" s="1"/>
  <c r="P129" i="26"/>
  <c r="H129" i="26" s="1"/>
  <c r="G129" i="26" s="1"/>
  <c r="E129" i="26"/>
  <c r="P128" i="26"/>
  <c r="H128" i="26" s="1"/>
  <c r="G128" i="26" s="1"/>
  <c r="E128" i="26"/>
  <c r="P127" i="26"/>
  <c r="H127" i="26" s="1"/>
  <c r="G127" i="26" s="1"/>
  <c r="E127" i="26"/>
  <c r="P126" i="26"/>
  <c r="H126" i="26"/>
  <c r="G126" i="26" s="1"/>
  <c r="E126" i="26"/>
  <c r="G125" i="26"/>
  <c r="E125" i="26"/>
  <c r="P124" i="26"/>
  <c r="H124" i="26" s="1"/>
  <c r="G124" i="26" s="1"/>
  <c r="M124" i="26"/>
  <c r="F124" i="26" s="1"/>
  <c r="E124" i="26" s="1"/>
  <c r="P123" i="26"/>
  <c r="H123" i="26" s="1"/>
  <c r="M123" i="26"/>
  <c r="F123" i="26"/>
  <c r="A122" i="26"/>
  <c r="A123" i="26" s="1"/>
  <c r="A124" i="26" s="1"/>
  <c r="A125" i="26" s="1"/>
  <c r="A126" i="26" s="1"/>
  <c r="A127" i="26" s="1"/>
  <c r="A128" i="26" s="1"/>
  <c r="A129" i="26" s="1"/>
  <c r="A130" i="26" s="1"/>
  <c r="A131" i="26" s="1"/>
  <c r="A132" i="26" s="1"/>
  <c r="A133" i="26" s="1"/>
  <c r="A134" i="26" s="1"/>
  <c r="A135" i="26" s="1"/>
  <c r="A136" i="26" s="1"/>
  <c r="A137" i="26" s="1"/>
  <c r="A138" i="26" s="1"/>
  <c r="A139" i="26" s="1"/>
  <c r="A140" i="26" s="1"/>
  <c r="A141" i="26" s="1"/>
  <c r="A142" i="26" s="1"/>
  <c r="A143" i="26" s="1"/>
  <c r="A144" i="26" s="1"/>
  <c r="A145" i="26" s="1"/>
  <c r="A146" i="26" s="1"/>
  <c r="A147" i="26" s="1"/>
  <c r="A148" i="26" s="1"/>
  <c r="A149" i="26" s="1"/>
  <c r="A150" i="26" s="1"/>
  <c r="A151" i="26" s="1"/>
  <c r="A152" i="26" s="1"/>
  <c r="A153" i="26" s="1"/>
  <c r="A154" i="26" s="1"/>
  <c r="A155" i="26" s="1"/>
  <c r="A156" i="26" s="1"/>
  <c r="A157" i="26" s="1"/>
  <c r="A158" i="26" s="1"/>
  <c r="A159" i="26" s="1"/>
  <c r="A160" i="26" s="1"/>
  <c r="A161" i="26" s="1"/>
  <c r="A162" i="26" s="1"/>
  <c r="A163" i="26" s="1"/>
  <c r="A164" i="26" s="1"/>
  <c r="A165" i="26" s="1"/>
  <c r="A166" i="26" s="1"/>
  <c r="A167" i="26" s="1"/>
  <c r="A168" i="26" s="1"/>
  <c r="A169" i="26" s="1"/>
  <c r="A170" i="26" s="1"/>
  <c r="A171" i="26" s="1"/>
  <c r="A172" i="26" s="1"/>
  <c r="A173" i="26" s="1"/>
  <c r="A174" i="26" s="1"/>
  <c r="A175" i="26" s="1"/>
  <c r="A176" i="26" s="1"/>
  <c r="A177" i="26" s="1"/>
  <c r="A178" i="26" s="1"/>
  <c r="A179" i="26" s="1"/>
  <c r="A180" i="26" s="1"/>
  <c r="A181" i="26" s="1"/>
  <c r="A182" i="26" s="1"/>
  <c r="A183" i="26" s="1"/>
  <c r="A184" i="26" s="1"/>
  <c r="A185" i="26" s="1"/>
  <c r="A186" i="26" s="1"/>
  <c r="A187" i="26" s="1"/>
  <c r="A188" i="26" s="1"/>
  <c r="A189" i="26" s="1"/>
  <c r="A190" i="26" s="1"/>
  <c r="A191" i="26" s="1"/>
  <c r="A192" i="26" s="1"/>
  <c r="A193" i="26" s="1"/>
  <c r="A194" i="26" s="1"/>
  <c r="A195" i="26" s="1"/>
  <c r="A196" i="26" s="1"/>
  <c r="A197" i="26" s="1"/>
  <c r="A198" i="26" s="1"/>
  <c r="A199" i="26" s="1"/>
  <c r="A200" i="26" s="1"/>
  <c r="A201" i="26" s="1"/>
  <c r="A202" i="26" s="1"/>
  <c r="A203" i="26" s="1"/>
  <c r="A204" i="26" s="1"/>
  <c r="A205" i="26" s="1"/>
  <c r="P121" i="26"/>
  <c r="M121" i="26"/>
  <c r="H121" i="26"/>
  <c r="G121" i="26" s="1"/>
  <c r="E121" i="26"/>
  <c r="I121" i="26" s="1"/>
  <c r="A121" i="26"/>
  <c r="P120" i="26"/>
  <c r="M120" i="26"/>
  <c r="M122" i="26" s="1"/>
  <c r="F120" i="26"/>
  <c r="E120" i="26" s="1"/>
  <c r="D39" i="28"/>
  <c r="C39" i="28"/>
  <c r="B39" i="28"/>
  <c r="E45" i="11"/>
  <c r="E44" i="11"/>
  <c r="E42" i="11"/>
  <c r="H48" i="11"/>
  <c r="L38" i="11"/>
  <c r="L40" i="11" s="1"/>
  <c r="D38" i="11"/>
  <c r="K40" i="11"/>
  <c r="J40" i="11"/>
  <c r="J45" i="11"/>
  <c r="J44" i="11"/>
  <c r="J43" i="11"/>
  <c r="J42" i="11"/>
  <c r="D45" i="11"/>
  <c r="D44" i="11"/>
  <c r="D42" i="11"/>
  <c r="G288" i="27" l="1"/>
  <c r="I288" i="27"/>
  <c r="E288" i="27"/>
  <c r="F143" i="26"/>
  <c r="I152" i="26"/>
  <c r="M179" i="26"/>
  <c r="G204" i="26"/>
  <c r="I193" i="26"/>
  <c r="F122" i="26"/>
  <c r="E122" i="26" s="1"/>
  <c r="I134" i="26"/>
  <c r="I157" i="26"/>
  <c r="I137" i="26"/>
  <c r="I142" i="26"/>
  <c r="I166" i="26"/>
  <c r="I197" i="26"/>
  <c r="I201" i="26"/>
  <c r="I125" i="26"/>
  <c r="I167" i="26"/>
  <c r="I177" i="26"/>
  <c r="I129" i="26"/>
  <c r="I140" i="26"/>
  <c r="G148" i="26"/>
  <c r="G151" i="26" s="1"/>
  <c r="G160" i="26"/>
  <c r="I124" i="26"/>
  <c r="H143" i="26"/>
  <c r="M151" i="26"/>
  <c r="F148" i="26"/>
  <c r="E186" i="26"/>
  <c r="I186" i="26" s="1"/>
  <c r="G123" i="26"/>
  <c r="G143" i="26" s="1"/>
  <c r="I131" i="26"/>
  <c r="I156" i="26"/>
  <c r="P205" i="26"/>
  <c r="I126" i="26"/>
  <c r="I128" i="26"/>
  <c r="I149" i="26"/>
  <c r="I174" i="26"/>
  <c r="H120" i="26"/>
  <c r="E123" i="26"/>
  <c r="M143" i="26"/>
  <c r="I127" i="26"/>
  <c r="I133" i="26"/>
  <c r="I141" i="26"/>
  <c r="H179" i="26"/>
  <c r="F189" i="26"/>
  <c r="E189" i="26" s="1"/>
  <c r="I189" i="26" s="1"/>
  <c r="M204" i="26"/>
  <c r="I132" i="26"/>
  <c r="F153" i="26"/>
  <c r="M160" i="26"/>
  <c r="I159" i="26"/>
  <c r="E179" i="26"/>
  <c r="F179" i="26"/>
  <c r="M183" i="26"/>
  <c r="F181" i="26"/>
  <c r="E181" i="26" s="1"/>
  <c r="G179" i="26"/>
  <c r="E180" i="26"/>
  <c r="I180" i="26" s="1"/>
  <c r="E204" i="26"/>
  <c r="I184" i="26"/>
  <c r="B53" i="28"/>
  <c r="B49" i="28"/>
  <c r="B45" i="28"/>
  <c r="I204" i="26" l="1"/>
  <c r="I179" i="26"/>
  <c r="E143" i="26"/>
  <c r="I123" i="26"/>
  <c r="E148" i="26"/>
  <c r="F151" i="26"/>
  <c r="I181" i="26"/>
  <c r="E183" i="26"/>
  <c r="I183" i="26" s="1"/>
  <c r="H122" i="26"/>
  <c r="G122" i="26" s="1"/>
  <c r="I122" i="26" s="1"/>
  <c r="G120" i="26"/>
  <c r="I120" i="26" s="1"/>
  <c r="F204" i="26"/>
  <c r="H205" i="26"/>
  <c r="F183" i="26"/>
  <c r="F160" i="26"/>
  <c r="E153" i="26"/>
  <c r="M205" i="26"/>
  <c r="B50" i="28"/>
  <c r="B52" i="28" s="1"/>
  <c r="C53" i="28"/>
  <c r="C55" i="28" s="1"/>
  <c r="C57" i="28" s="1"/>
  <c r="C52" i="28"/>
  <c r="C50" i="28"/>
  <c r="E54" i="28"/>
  <c r="F54" i="28" s="1"/>
  <c r="D54" i="28"/>
  <c r="E53" i="28"/>
  <c r="F53" i="28" s="1"/>
  <c r="E49" i="28"/>
  <c r="F49" i="28" s="1"/>
  <c r="D49" i="28"/>
  <c r="E45" i="28"/>
  <c r="F45" i="28" s="1"/>
  <c r="G205" i="26" l="1"/>
  <c r="G209" i="26" s="1"/>
  <c r="I143" i="26"/>
  <c r="F205" i="26"/>
  <c r="E151" i="26"/>
  <c r="I151" i="26" s="1"/>
  <c r="I148" i="26"/>
  <c r="E160" i="26"/>
  <c r="I160" i="26" s="1"/>
  <c r="I153" i="26"/>
  <c r="B55" i="28"/>
  <c r="B57" i="28" s="1"/>
  <c r="E57" i="28" s="1"/>
  <c r="D45" i="28"/>
  <c r="D50" i="28"/>
  <c r="D57" i="28"/>
  <c r="D53" i="28"/>
  <c r="D55" i="28" s="1"/>
  <c r="I205" i="26" l="1"/>
  <c r="E205" i="26"/>
  <c r="J46" i="11"/>
  <c r="J48" i="11" s="1"/>
  <c r="E43" i="11"/>
  <c r="D43" i="11"/>
  <c r="E47" i="11"/>
  <c r="E46" i="11"/>
  <c r="E39" i="11"/>
  <c r="E38" i="11"/>
  <c r="E36" i="11"/>
  <c r="E35" i="11"/>
  <c r="E34" i="11"/>
  <c r="E33" i="11"/>
  <c r="E207" i="26" l="1"/>
  <c r="E209" i="26"/>
  <c r="I207" i="26"/>
  <c r="G207" i="26"/>
  <c r="C27" i="21"/>
  <c r="C28" i="21" s="1"/>
  <c r="D37" i="20"/>
  <c r="E48" i="20"/>
  <c r="D48" i="20"/>
  <c r="F48" i="20" s="1"/>
  <c r="E46" i="20"/>
  <c r="D46" i="20"/>
  <c r="F46" i="20" s="1"/>
  <c r="F45" i="20"/>
  <c r="E45" i="20"/>
  <c r="E49" i="20" s="1"/>
  <c r="D45" i="20"/>
  <c r="E44" i="20"/>
  <c r="F43" i="20"/>
  <c r="D44" i="20"/>
  <c r="F44" i="20" s="1"/>
  <c r="F41" i="20"/>
  <c r="F40" i="20"/>
  <c r="E39" i="20"/>
  <c r="D39" i="20"/>
  <c r="F38" i="20"/>
  <c r="F37" i="20"/>
  <c r="F36" i="20"/>
  <c r="F35" i="20"/>
  <c r="E34" i="20"/>
  <c r="D34" i="20"/>
  <c r="F33" i="20"/>
  <c r="F32" i="20"/>
  <c r="F31" i="20"/>
  <c r="F30" i="20"/>
  <c r="C36" i="19"/>
  <c r="C37" i="19" s="1"/>
  <c r="C30" i="19"/>
  <c r="C53" i="17"/>
  <c r="C47" i="17"/>
  <c r="C57" i="17" s="1"/>
  <c r="C46" i="17"/>
  <c r="C42" i="17"/>
  <c r="C35" i="16"/>
  <c r="C29" i="16"/>
  <c r="C36" i="16" s="1"/>
  <c r="F39" i="20" l="1"/>
  <c r="F34" i="20"/>
  <c r="D47" i="20"/>
  <c r="F47" i="20" s="1"/>
  <c r="F49" i="20" s="1"/>
  <c r="F42" i="20"/>
  <c r="C58" i="17"/>
  <c r="D49" i="20" l="1"/>
  <c r="K61" i="14" l="1"/>
  <c r="J61" i="14"/>
  <c r="H61" i="14"/>
  <c r="G61" i="14"/>
  <c r="F61" i="14"/>
  <c r="E61" i="14"/>
  <c r="D61" i="14"/>
  <c r="C61" i="14"/>
  <c r="L60" i="14"/>
  <c r="N60" i="14" s="1"/>
  <c r="I60" i="14"/>
  <c r="M60" i="14" s="1"/>
  <c r="L59" i="14"/>
  <c r="N59" i="14" s="1"/>
  <c r="I59" i="14"/>
  <c r="M59" i="14" s="1"/>
  <c r="M58" i="14"/>
  <c r="L58" i="14"/>
  <c r="N58" i="14" s="1"/>
  <c r="I58" i="14"/>
  <c r="N57" i="14"/>
  <c r="I57" i="14"/>
  <c r="M57" i="14" s="1"/>
  <c r="A57" i="14"/>
  <c r="A58" i="14" s="1"/>
  <c r="A59" i="14" s="1"/>
  <c r="A60" i="14" s="1"/>
  <c r="A61" i="14" s="1"/>
  <c r="N56" i="14"/>
  <c r="N61" i="14" s="1"/>
  <c r="L56" i="14"/>
  <c r="L61" i="14" s="1"/>
  <c r="I56" i="14"/>
  <c r="I61" i="14" s="1"/>
  <c r="M56" i="14" l="1"/>
  <c r="M61" i="14" s="1"/>
  <c r="L44" i="15" l="1"/>
  <c r="L43" i="15"/>
  <c r="L42" i="15"/>
  <c r="H41" i="15"/>
  <c r="L41" i="15" s="1"/>
  <c r="L40" i="15"/>
  <c r="L39" i="15"/>
  <c r="L38" i="15"/>
  <c r="L37" i="15"/>
  <c r="L36" i="15"/>
  <c r="A36" i="15"/>
  <c r="A37" i="15" s="1"/>
  <c r="A38" i="15" s="1"/>
  <c r="A39" i="15" s="1"/>
  <c r="A40" i="15" s="1"/>
  <c r="A43" i="15" s="1"/>
  <c r="A44" i="15" s="1"/>
  <c r="K35" i="15"/>
  <c r="J35" i="15"/>
  <c r="I35" i="15"/>
  <c r="H35" i="15"/>
  <c r="L35" i="15" l="1"/>
  <c r="N80" i="24"/>
  <c r="C37" i="22"/>
  <c r="M17" i="15"/>
  <c r="D11" i="20"/>
  <c r="C4" i="17" l="1"/>
  <c r="C31" i="22" l="1"/>
  <c r="C30" i="22"/>
  <c r="C36" i="22" s="1"/>
  <c r="C42" i="22"/>
  <c r="C22" i="18"/>
  <c r="C23" i="18"/>
  <c r="C25" i="18" s="1"/>
  <c r="C20" i="18"/>
  <c r="C43" i="22" l="1"/>
  <c r="E44" i="10"/>
  <c r="D44" i="10"/>
  <c r="D54" i="10"/>
  <c r="F54" i="10" s="1"/>
  <c r="F55" i="10"/>
  <c r="F53" i="10"/>
  <c r="F52" i="10"/>
  <c r="F51" i="10"/>
  <c r="E50" i="10"/>
  <c r="D50" i="10"/>
  <c r="F50" i="10" s="1"/>
  <c r="F49" i="10"/>
  <c r="F48" i="10"/>
  <c r="F47" i="10"/>
  <c r="F46" i="10"/>
  <c r="E45" i="10"/>
  <c r="D45" i="10"/>
  <c r="F45" i="10" s="1"/>
  <c r="F44" i="10"/>
  <c r="F43" i="10"/>
  <c r="F42" i="10"/>
  <c r="F41" i="10"/>
  <c r="F40" i="10"/>
  <c r="E39" i="10"/>
  <c r="D39" i="10"/>
  <c r="F39" i="10" l="1"/>
  <c r="D46" i="11" l="1"/>
  <c r="J33" i="11"/>
  <c r="C34" i="11" l="1"/>
  <c r="C25" i="3" l="1"/>
  <c r="B25" i="3"/>
  <c r="D24" i="3"/>
  <c r="C24" i="3"/>
  <c r="B24" i="3"/>
  <c r="D23" i="3"/>
  <c r="D22" i="3"/>
  <c r="D21" i="3"/>
  <c r="D20" i="3"/>
  <c r="D25" i="3" s="1"/>
  <c r="E12" i="28"/>
  <c r="C26" i="28"/>
  <c r="B26" i="28"/>
  <c r="B27" i="28" s="1"/>
  <c r="C16" i="28"/>
  <c r="B16" i="28"/>
  <c r="D12" i="28"/>
  <c r="D13" i="28"/>
  <c r="D14" i="28"/>
  <c r="D15" i="28"/>
  <c r="D16" i="28"/>
  <c r="B17" i="28"/>
  <c r="C106" i="28"/>
  <c r="C100" i="28"/>
  <c r="C102" i="28" s="1"/>
  <c r="E99" i="28"/>
  <c r="D99" i="28"/>
  <c r="D98" i="28"/>
  <c r="B98" i="28"/>
  <c r="E98" i="28" s="1"/>
  <c r="C94" i="28"/>
  <c r="C95" i="28" s="1"/>
  <c r="B94" i="28"/>
  <c r="E94" i="28" s="1"/>
  <c r="E90" i="28"/>
  <c r="D90" i="28"/>
  <c r="E74" i="28"/>
  <c r="F74" i="28" s="1"/>
  <c r="D74" i="28"/>
  <c r="C73" i="28"/>
  <c r="C75" i="28" s="1"/>
  <c r="C77" i="28" s="1"/>
  <c r="B73" i="28"/>
  <c r="B75" i="28" s="1"/>
  <c r="B77" i="28" s="1"/>
  <c r="C70" i="28"/>
  <c r="B70" i="28"/>
  <c r="B72" i="28" s="1"/>
  <c r="C69" i="28"/>
  <c r="E69" i="28" s="1"/>
  <c r="F69" i="28" s="1"/>
  <c r="E65" i="28"/>
  <c r="F65" i="28" s="1"/>
  <c r="D65" i="28"/>
  <c r="B35" i="28"/>
  <c r="C34" i="28"/>
  <c r="B34" i="28"/>
  <c r="C33" i="28"/>
  <c r="B33" i="28"/>
  <c r="C32" i="28"/>
  <c r="B32" i="28"/>
  <c r="D25" i="28"/>
  <c r="E15" i="28" s="1"/>
  <c r="D24" i="28"/>
  <c r="D23" i="28"/>
  <c r="E23" i="28" s="1"/>
  <c r="D22" i="28"/>
  <c r="C35" i="28"/>
  <c r="D26" i="28" l="1"/>
  <c r="E16" i="28" s="1"/>
  <c r="E13" i="28"/>
  <c r="E14" i="28"/>
  <c r="D33" i="28"/>
  <c r="E33" i="28" s="1"/>
  <c r="F23" i="28" s="1"/>
  <c r="D34" i="28"/>
  <c r="E34" i="28" s="1"/>
  <c r="D35" i="28"/>
  <c r="E35" i="28" s="1"/>
  <c r="E24" i="28"/>
  <c r="E25" i="28"/>
  <c r="E22" i="28"/>
  <c r="B36" i="28"/>
  <c r="B37" i="28" s="1"/>
  <c r="D69" i="28"/>
  <c r="D70" i="28" s="1"/>
  <c r="D100" i="28"/>
  <c r="B100" i="28"/>
  <c r="B102" i="28" s="1"/>
  <c r="C36" i="28"/>
  <c r="D77" i="28"/>
  <c r="E77" i="28"/>
  <c r="E102" i="28"/>
  <c r="D102" i="28"/>
  <c r="D32" i="28"/>
  <c r="D73" i="28"/>
  <c r="D75" i="28" s="1"/>
  <c r="C17" i="28"/>
  <c r="C27" i="28"/>
  <c r="B95" i="28"/>
  <c r="E73" i="28"/>
  <c r="F73" i="28" s="1"/>
  <c r="D94" i="28"/>
  <c r="D95" i="28" s="1"/>
  <c r="D27" i="28" l="1"/>
  <c r="D28" i="28" s="1"/>
  <c r="F24" i="28"/>
  <c r="D36" i="28"/>
  <c r="D37" i="28" s="1"/>
  <c r="F25" i="28"/>
  <c r="D17" i="28"/>
  <c r="E26" i="28"/>
  <c r="C37" i="28"/>
  <c r="E32" i="28"/>
  <c r="F22" i="28" s="1"/>
  <c r="C18" i="28"/>
  <c r="B18" i="28"/>
  <c r="E17" i="28" l="1"/>
  <c r="C28" i="28"/>
  <c r="B28" i="28"/>
  <c r="E36" i="28"/>
  <c r="C38" i="28"/>
  <c r="E27" i="28"/>
  <c r="D18" i="28"/>
  <c r="F26" i="28"/>
  <c r="D38" i="28"/>
  <c r="E37" i="28"/>
  <c r="F27" i="28" s="1"/>
  <c r="B38" i="28"/>
  <c r="G47" i="11" l="1"/>
  <c r="F47" i="11"/>
  <c r="G46" i="11"/>
  <c r="F46" i="11"/>
  <c r="G45" i="11"/>
  <c r="F45" i="11"/>
  <c r="G44" i="11"/>
  <c r="F44" i="11"/>
  <c r="G42" i="11"/>
  <c r="F42" i="11"/>
  <c r="A42" i="11"/>
  <c r="A43" i="11" s="1"/>
  <c r="A44" i="11" s="1"/>
  <c r="A45" i="11" s="1"/>
  <c r="A46" i="11" s="1"/>
  <c r="A47" i="11" s="1"/>
  <c r="A48" i="11" s="1"/>
  <c r="E40" i="11"/>
  <c r="D40" i="11"/>
  <c r="G39" i="11"/>
  <c r="F39" i="11"/>
  <c r="G38" i="11"/>
  <c r="F38" i="11"/>
  <c r="C37" i="11"/>
  <c r="G36" i="11"/>
  <c r="F36" i="11"/>
  <c r="G35" i="11"/>
  <c r="F35" i="11"/>
  <c r="G34" i="11"/>
  <c r="F34" i="11"/>
  <c r="G33" i="11"/>
  <c r="F33" i="11"/>
  <c r="E32" i="11"/>
  <c r="D32" i="11"/>
  <c r="C32" i="11"/>
  <c r="C48" i="11" l="1"/>
  <c r="G40" i="11"/>
  <c r="E37" i="11"/>
  <c r="E48" i="11" s="1"/>
  <c r="D37" i="11"/>
  <c r="F40" i="11"/>
  <c r="F37" i="11" l="1"/>
  <c r="G37" i="11"/>
  <c r="D48" i="11"/>
  <c r="F48" i="11" l="1"/>
  <c r="G48" i="11"/>
  <c r="F77" i="25"/>
  <c r="E77" i="25"/>
  <c r="E76" i="25"/>
  <c r="E75" i="25"/>
  <c r="E74" i="25"/>
  <c r="E73" i="25"/>
  <c r="E72" i="25"/>
  <c r="E71" i="25"/>
  <c r="E70" i="25"/>
  <c r="E69" i="25"/>
  <c r="E68" i="25"/>
  <c r="E67" i="25"/>
  <c r="E66" i="25"/>
  <c r="E65" i="25"/>
  <c r="E64" i="25"/>
  <c r="E63" i="25"/>
  <c r="P64" i="13"/>
  <c r="O64" i="13" s="1"/>
  <c r="O63" i="13"/>
  <c r="O62" i="13"/>
  <c r="O61" i="13"/>
  <c r="W129" i="27"/>
  <c r="V129" i="27" s="1"/>
  <c r="AD129" i="27"/>
  <c r="Y127" i="27"/>
  <c r="X127" i="27" s="1"/>
  <c r="V127" i="27"/>
  <c r="Y126" i="27"/>
  <c r="X126" i="27" s="1"/>
  <c r="V126" i="27"/>
  <c r="Y125" i="27"/>
  <c r="X125" i="27" s="1"/>
  <c r="V125" i="27"/>
  <c r="Z125" i="27" s="1"/>
  <c r="Y124" i="27"/>
  <c r="X124" i="27" s="1"/>
  <c r="V124" i="27"/>
  <c r="Y123" i="27"/>
  <c r="X123" i="27" s="1"/>
  <c r="V123" i="27"/>
  <c r="Y122" i="27"/>
  <c r="X122" i="27" s="1"/>
  <c r="V122" i="27"/>
  <c r="Y121" i="27"/>
  <c r="X121" i="27" s="1"/>
  <c r="V121" i="27"/>
  <c r="Y120" i="27"/>
  <c r="X120" i="27" s="1"/>
  <c r="V120" i="27"/>
  <c r="Y119" i="27"/>
  <c r="X119" i="27" s="1"/>
  <c r="V119" i="27"/>
  <c r="Y118" i="27"/>
  <c r="X118" i="27"/>
  <c r="V118" i="27"/>
  <c r="Y117" i="27"/>
  <c r="X117" i="27" s="1"/>
  <c r="V117" i="27"/>
  <c r="Z117" i="27" s="1"/>
  <c r="Y116" i="27"/>
  <c r="X116" i="27" s="1"/>
  <c r="V116" i="27"/>
  <c r="Y115" i="27"/>
  <c r="X115" i="27"/>
  <c r="V115" i="27"/>
  <c r="Y114" i="27"/>
  <c r="X114" i="27"/>
  <c r="V114" i="27"/>
  <c r="Z114" i="27" s="1"/>
  <c r="H144" i="27"/>
  <c r="H141" i="27"/>
  <c r="H142" i="27"/>
  <c r="H140" i="27"/>
  <c r="H111" i="27"/>
  <c r="H112" i="27"/>
  <c r="H113" i="27"/>
  <c r="H114" i="27"/>
  <c r="H115" i="27"/>
  <c r="H116" i="27"/>
  <c r="H117" i="27"/>
  <c r="H118" i="27"/>
  <c r="H119" i="27"/>
  <c r="H120" i="27"/>
  <c r="H121" i="27"/>
  <c r="H122" i="27"/>
  <c r="H123" i="27"/>
  <c r="H124" i="27"/>
  <c r="H125" i="27"/>
  <c r="H126" i="27"/>
  <c r="H127" i="27"/>
  <c r="H129" i="27"/>
  <c r="H130" i="27"/>
  <c r="H131" i="27"/>
  <c r="H132" i="27"/>
  <c r="H133" i="27"/>
  <c r="H134" i="27"/>
  <c r="H135" i="27"/>
  <c r="H136" i="27"/>
  <c r="H137" i="27"/>
  <c r="H138" i="27"/>
  <c r="H110" i="27"/>
  <c r="H108" i="27"/>
  <c r="H107" i="27"/>
  <c r="H105" i="27"/>
  <c r="H106" i="27"/>
  <c r="H104" i="27"/>
  <c r="H100" i="27"/>
  <c r="H101" i="27"/>
  <c r="H102" i="27"/>
  <c r="H99" i="27"/>
  <c r="H94" i="27"/>
  <c r="H93" i="27"/>
  <c r="H89" i="27"/>
  <c r="H90" i="27"/>
  <c r="H91" i="27"/>
  <c r="H88" i="27"/>
  <c r="H42" i="27"/>
  <c r="H43" i="27"/>
  <c r="H44" i="27"/>
  <c r="H45" i="27"/>
  <c r="H46" i="27"/>
  <c r="H47" i="27"/>
  <c r="H48" i="27"/>
  <c r="H49" i="27"/>
  <c r="H50" i="27"/>
  <c r="H51" i="27"/>
  <c r="H52" i="27"/>
  <c r="H53" i="27"/>
  <c r="H54" i="27"/>
  <c r="H55" i="27"/>
  <c r="H56" i="27"/>
  <c r="H57" i="27"/>
  <c r="H58" i="27"/>
  <c r="H59" i="27"/>
  <c r="H60" i="27"/>
  <c r="H61" i="27"/>
  <c r="H62" i="27"/>
  <c r="H63" i="27"/>
  <c r="H64" i="27"/>
  <c r="H65" i="27"/>
  <c r="H66" i="27"/>
  <c r="H67" i="27"/>
  <c r="H68" i="27"/>
  <c r="H69" i="27"/>
  <c r="H70" i="27"/>
  <c r="H71" i="27"/>
  <c r="H72" i="27"/>
  <c r="H73" i="27"/>
  <c r="H74" i="27"/>
  <c r="H75" i="27"/>
  <c r="H76" i="27"/>
  <c r="H77" i="27"/>
  <c r="H78" i="27"/>
  <c r="H79" i="27"/>
  <c r="H80" i="27"/>
  <c r="H81" i="27"/>
  <c r="H82" i="27"/>
  <c r="H83" i="27"/>
  <c r="H84" i="27"/>
  <c r="H85" i="27"/>
  <c r="H86" i="27"/>
  <c r="H41" i="27"/>
  <c r="H39" i="27"/>
  <c r="H38" i="27"/>
  <c r="H34" i="27"/>
  <c r="H35" i="27"/>
  <c r="H36" i="27"/>
  <c r="H33" i="27"/>
  <c r="H31" i="27"/>
  <c r="H30" i="27"/>
  <c r="H27" i="27"/>
  <c r="H28" i="27"/>
  <c r="H26" i="27"/>
  <c r="H22" i="27"/>
  <c r="H23" i="27"/>
  <c r="H24" i="27"/>
  <c r="H21" i="27"/>
  <c r="H13" i="27"/>
  <c r="H14" i="27"/>
  <c r="H15" i="27"/>
  <c r="H16" i="27"/>
  <c r="H17" i="27"/>
  <c r="H18" i="27"/>
  <c r="H19" i="27"/>
  <c r="H12" i="27"/>
  <c r="Z115" i="27" l="1"/>
  <c r="Z118" i="27"/>
  <c r="Z127" i="27"/>
  <c r="Z124" i="27"/>
  <c r="Z120" i="27"/>
  <c r="Z123" i="27"/>
  <c r="Z126" i="27"/>
  <c r="Z116" i="27"/>
  <c r="Z119" i="27"/>
  <c r="Z122" i="27"/>
  <c r="Z121" i="27"/>
  <c r="F144" i="27"/>
  <c r="F141" i="27"/>
  <c r="F142" i="27"/>
  <c r="F140" i="27"/>
  <c r="F132" i="27"/>
  <c r="F133" i="27"/>
  <c r="F134" i="27"/>
  <c r="F135" i="27"/>
  <c r="F136" i="27"/>
  <c r="F137" i="27"/>
  <c r="F138" i="27"/>
  <c r="F129" i="27"/>
  <c r="F130" i="27"/>
  <c r="F131" i="27"/>
  <c r="F119" i="27"/>
  <c r="F120" i="27"/>
  <c r="F121" i="27"/>
  <c r="F122" i="27"/>
  <c r="F123" i="27"/>
  <c r="F124" i="27"/>
  <c r="F125" i="27"/>
  <c r="F126" i="27"/>
  <c r="F127" i="27"/>
  <c r="F117" i="27"/>
  <c r="F118" i="27"/>
  <c r="F116" i="27"/>
  <c r="F111" i="27"/>
  <c r="F112" i="27"/>
  <c r="F113" i="27"/>
  <c r="F114" i="27"/>
  <c r="F115" i="27"/>
  <c r="F110" i="27"/>
  <c r="F108" i="27"/>
  <c r="F107" i="27"/>
  <c r="F105" i="27"/>
  <c r="F106" i="27"/>
  <c r="F104" i="27"/>
  <c r="F100" i="27"/>
  <c r="F101" i="27"/>
  <c r="F102" i="27"/>
  <c r="F99" i="27"/>
  <c r="F98" i="27"/>
  <c r="F97" i="27"/>
  <c r="F94" i="27"/>
  <c r="F93" i="27"/>
  <c r="F91" i="27"/>
  <c r="E91" i="27" s="1"/>
  <c r="G91" i="27"/>
  <c r="Q91" i="27" s="1"/>
  <c r="F89" i="27"/>
  <c r="F90" i="27"/>
  <c r="F88" i="27"/>
  <c r="F76" i="27"/>
  <c r="F77" i="27"/>
  <c r="F78" i="27"/>
  <c r="F79" i="27"/>
  <c r="F80" i="27"/>
  <c r="F81" i="27"/>
  <c r="F82" i="27"/>
  <c r="F83" i="27"/>
  <c r="F84" i="27"/>
  <c r="F85" i="27"/>
  <c r="F86" i="27"/>
  <c r="E86" i="27" s="1"/>
  <c r="P86" i="27" s="1"/>
  <c r="G86" i="27"/>
  <c r="Q86" i="27" s="1"/>
  <c r="F75" i="27"/>
  <c r="F74" i="27"/>
  <c r="F68" i="27"/>
  <c r="F69" i="27"/>
  <c r="F70" i="27"/>
  <c r="F71" i="27"/>
  <c r="F72" i="27"/>
  <c r="F73" i="27"/>
  <c r="F67" i="27"/>
  <c r="F65" i="27"/>
  <c r="F66" i="27"/>
  <c r="F60" i="27"/>
  <c r="F61" i="27"/>
  <c r="F62" i="27"/>
  <c r="F63" i="27"/>
  <c r="F64" i="27"/>
  <c r="F55" i="27"/>
  <c r="F56" i="27"/>
  <c r="F57" i="27"/>
  <c r="F58" i="27"/>
  <c r="F59" i="27"/>
  <c r="F54" i="27"/>
  <c r="F49" i="27"/>
  <c r="F50" i="27"/>
  <c r="F51" i="27"/>
  <c r="F52" i="27"/>
  <c r="F53" i="27"/>
  <c r="F48" i="27"/>
  <c r="F44" i="27"/>
  <c r="F47" i="27"/>
  <c r="F46" i="27"/>
  <c r="F43" i="27"/>
  <c r="E43" i="27" s="1"/>
  <c r="G43" i="27"/>
  <c r="Q43" i="27" s="1"/>
  <c r="F42" i="27"/>
  <c r="F41" i="27"/>
  <c r="F39" i="27"/>
  <c r="F38" i="27"/>
  <c r="F36" i="27"/>
  <c r="F35" i="27"/>
  <c r="I86" i="27" l="1"/>
  <c r="I91" i="27"/>
  <c r="I43" i="27"/>
  <c r="F34" i="27"/>
  <c r="E34" i="27" s="1"/>
  <c r="G34" i="27"/>
  <c r="Q34" i="27" s="1"/>
  <c r="F33" i="27"/>
  <c r="F31" i="27"/>
  <c r="F30" i="27"/>
  <c r="F27" i="27"/>
  <c r="F28" i="27"/>
  <c r="F26" i="27"/>
  <c r="F22" i="27"/>
  <c r="F23" i="27"/>
  <c r="F21" i="27"/>
  <c r="F13" i="27"/>
  <c r="F14" i="27"/>
  <c r="F15" i="27"/>
  <c r="F16" i="27"/>
  <c r="F17" i="27"/>
  <c r="F18" i="27"/>
  <c r="F19" i="27"/>
  <c r="F12" i="27"/>
  <c r="I149" i="27"/>
  <c r="M156" i="27"/>
  <c r="I34" i="27" l="1"/>
  <c r="F238" i="4"/>
  <c r="E238" i="4"/>
  <c r="E233" i="4"/>
  <c r="F233" i="4" s="1"/>
  <c r="E232" i="4"/>
  <c r="F232" i="4" s="1"/>
  <c r="E231" i="4"/>
  <c r="F231" i="4" s="1"/>
  <c r="E230" i="4"/>
  <c r="F230" i="4" s="1"/>
  <c r="E229" i="4"/>
  <c r="F229" i="4" s="1"/>
  <c r="E228" i="4"/>
  <c r="F228" i="4" s="1"/>
  <c r="E227" i="4"/>
  <c r="F227" i="4" s="1"/>
  <c r="E226" i="4"/>
  <c r="F226" i="4" s="1"/>
  <c r="E225" i="4"/>
  <c r="F225" i="4" s="1"/>
  <c r="E224" i="4"/>
  <c r="F224" i="4" s="1"/>
  <c r="E223" i="4"/>
  <c r="F223" i="4" s="1"/>
  <c r="E222" i="4"/>
  <c r="F222" i="4" s="1"/>
  <c r="D221" i="4"/>
  <c r="D234" i="4" s="1"/>
  <c r="C221" i="4"/>
  <c r="C234" i="4" s="1"/>
  <c r="F218" i="4"/>
  <c r="E218" i="4"/>
  <c r="F217" i="4"/>
  <c r="E217" i="4"/>
  <c r="F216" i="4"/>
  <c r="E216" i="4"/>
  <c r="F215" i="4"/>
  <c r="E215" i="4"/>
  <c r="F214" i="4"/>
  <c r="E214" i="4"/>
  <c r="F213" i="4"/>
  <c r="E213" i="4"/>
  <c r="D213" i="4"/>
  <c r="C213" i="4"/>
  <c r="E212" i="4"/>
  <c r="F211" i="4"/>
  <c r="E211" i="4"/>
  <c r="F210" i="4"/>
  <c r="E210" i="4"/>
  <c r="F209" i="4"/>
  <c r="E209" i="4"/>
  <c r="F208" i="4"/>
  <c r="E208" i="4"/>
  <c r="F207" i="4"/>
  <c r="E207" i="4"/>
  <c r="F206" i="4"/>
  <c r="E206" i="4"/>
  <c r="D205" i="4"/>
  <c r="C205" i="4"/>
  <c r="F204" i="4"/>
  <c r="E204" i="4"/>
  <c r="F203" i="4"/>
  <c r="E203" i="4"/>
  <c r="F202" i="4"/>
  <c r="E202" i="4"/>
  <c r="F201" i="4"/>
  <c r="E201" i="4"/>
  <c r="F200" i="4"/>
  <c r="E200" i="4"/>
  <c r="F199" i="4"/>
  <c r="E199" i="4"/>
  <c r="F198" i="4"/>
  <c r="E198" i="4"/>
  <c r="F197" i="4"/>
  <c r="E197" i="4"/>
  <c r="F196" i="4"/>
  <c r="E196" i="4"/>
  <c r="F195" i="4"/>
  <c r="E195" i="4"/>
  <c r="D194" i="4"/>
  <c r="C194" i="4"/>
  <c r="F194" i="4" s="1"/>
  <c r="F193" i="4"/>
  <c r="E193" i="4"/>
  <c r="F192" i="4"/>
  <c r="E192" i="4"/>
  <c r="F191" i="4"/>
  <c r="E191" i="4"/>
  <c r="F190" i="4"/>
  <c r="E190" i="4"/>
  <c r="F189" i="4"/>
  <c r="E189" i="4"/>
  <c r="D188" i="4"/>
  <c r="C188" i="4"/>
  <c r="F187" i="4"/>
  <c r="E187" i="4"/>
  <c r="F186" i="4"/>
  <c r="E186" i="4"/>
  <c r="F185" i="4"/>
  <c r="E185" i="4"/>
  <c r="F184" i="4"/>
  <c r="E184" i="4"/>
  <c r="F183" i="4"/>
  <c r="E183" i="4"/>
  <c r="F182" i="4"/>
  <c r="E182" i="4"/>
  <c r="F181" i="4"/>
  <c r="E181" i="4"/>
  <c r="D180" i="4"/>
  <c r="C180" i="4"/>
  <c r="C220" i="4" s="1"/>
  <c r="F178" i="4"/>
  <c r="E178" i="4"/>
  <c r="F177" i="4"/>
  <c r="E177" i="4"/>
  <c r="E176" i="4"/>
  <c r="F176" i="4" s="1"/>
  <c r="E175" i="4"/>
  <c r="F175" i="4" s="1"/>
  <c r="F174" i="4"/>
  <c r="E174" i="4"/>
  <c r="E173" i="4"/>
  <c r="F173" i="4" s="1"/>
  <c r="E172" i="4"/>
  <c r="F172" i="4" s="1"/>
  <c r="E171" i="4"/>
  <c r="F171" i="4" s="1"/>
  <c r="F170" i="4"/>
  <c r="E170" i="4"/>
  <c r="E169" i="4"/>
  <c r="F169" i="4" s="1"/>
  <c r="E168" i="4"/>
  <c r="F168" i="4" s="1"/>
  <c r="E167" i="4"/>
  <c r="F167" i="4" s="1"/>
  <c r="E166" i="4"/>
  <c r="F166" i="4" s="1"/>
  <c r="E165" i="4"/>
  <c r="F165" i="4" s="1"/>
  <c r="F164" i="4"/>
  <c r="E164" i="4"/>
  <c r="E163" i="4"/>
  <c r="F163" i="4" s="1"/>
  <c r="E162" i="4"/>
  <c r="F162" i="4" s="1"/>
  <c r="D161" i="4"/>
  <c r="C161" i="4"/>
  <c r="F160" i="4"/>
  <c r="E160" i="4"/>
  <c r="F159" i="4"/>
  <c r="E159" i="4"/>
  <c r="F158" i="4"/>
  <c r="E158" i="4"/>
  <c r="F157" i="4"/>
  <c r="E157" i="4"/>
  <c r="F156" i="4"/>
  <c r="E156" i="4"/>
  <c r="F155" i="4"/>
  <c r="E155" i="4"/>
  <c r="D154" i="4"/>
  <c r="C154" i="4"/>
  <c r="F153" i="4"/>
  <c r="E153" i="4"/>
  <c r="F152" i="4"/>
  <c r="E152" i="4"/>
  <c r="F151" i="4"/>
  <c r="E151" i="4"/>
  <c r="F150" i="4"/>
  <c r="D150" i="4"/>
  <c r="E150" i="4" s="1"/>
  <c r="C150" i="4"/>
  <c r="F149" i="4"/>
  <c r="E149" i="4"/>
  <c r="F148" i="4"/>
  <c r="E148" i="4"/>
  <c r="F147" i="4"/>
  <c r="E147" i="4"/>
  <c r="F146" i="4"/>
  <c r="E146" i="4"/>
  <c r="F145" i="4"/>
  <c r="E145" i="4"/>
  <c r="F144" i="4"/>
  <c r="E144" i="4"/>
  <c r="F143" i="4"/>
  <c r="E143" i="4"/>
  <c r="F142" i="4"/>
  <c r="E142" i="4"/>
  <c r="F141" i="4"/>
  <c r="E141" i="4"/>
  <c r="F140" i="4"/>
  <c r="E140" i="4"/>
  <c r="F139" i="4"/>
  <c r="E139" i="4"/>
  <c r="F138" i="4"/>
  <c r="E138" i="4"/>
  <c r="D137" i="4"/>
  <c r="C137" i="4"/>
  <c r="F136" i="4"/>
  <c r="E136" i="4"/>
  <c r="F135" i="4"/>
  <c r="E135" i="4"/>
  <c r="F134" i="4"/>
  <c r="E134" i="4"/>
  <c r="F133" i="4"/>
  <c r="E133" i="4"/>
  <c r="D132" i="4"/>
  <c r="C132" i="4"/>
  <c r="F132" i="4" s="1"/>
  <c r="E131" i="4"/>
  <c r="F131" i="4" s="1"/>
  <c r="E130" i="4"/>
  <c r="F130" i="4" s="1"/>
  <c r="F129" i="4"/>
  <c r="E129" i="4"/>
  <c r="E128" i="4"/>
  <c r="F128" i="4" s="1"/>
  <c r="D127" i="4"/>
  <c r="C127" i="4"/>
  <c r="F126" i="4"/>
  <c r="E126" i="4"/>
  <c r="E125" i="4"/>
  <c r="E124" i="4"/>
  <c r="F124" i="4" s="1"/>
  <c r="E231" i="2"/>
  <c r="E328" i="2" s="1"/>
  <c r="E224" i="2"/>
  <c r="E321" i="2" s="1"/>
  <c r="E223" i="2"/>
  <c r="E221" i="2"/>
  <c r="E318" i="2" s="1"/>
  <c r="E218" i="2"/>
  <c r="E315" i="2" s="1"/>
  <c r="E214" i="2"/>
  <c r="E212" i="2" s="1"/>
  <c r="E213" i="2"/>
  <c r="E390" i="2"/>
  <c r="D390" i="2"/>
  <c r="E387" i="2"/>
  <c r="D387" i="2"/>
  <c r="E385" i="2"/>
  <c r="D385" i="2"/>
  <c r="E384" i="2"/>
  <c r="D384" i="2"/>
  <c r="E383" i="2"/>
  <c r="D383" i="2"/>
  <c r="E381" i="2"/>
  <c r="D381" i="2"/>
  <c r="E380" i="2"/>
  <c r="D380" i="2"/>
  <c r="E379" i="2"/>
  <c r="D379" i="2"/>
  <c r="E378" i="2"/>
  <c r="D378" i="2"/>
  <c r="E377" i="2"/>
  <c r="D377" i="2"/>
  <c r="E376" i="2"/>
  <c r="D376" i="2"/>
  <c r="E375" i="2"/>
  <c r="D375" i="2"/>
  <c r="E373" i="2"/>
  <c r="D373" i="2"/>
  <c r="E372" i="2"/>
  <c r="D372" i="2"/>
  <c r="E371" i="2"/>
  <c r="D371" i="2"/>
  <c r="D370" i="2"/>
  <c r="E369" i="2"/>
  <c r="D369" i="2"/>
  <c r="E368" i="2"/>
  <c r="D368" i="2"/>
  <c r="E367" i="2"/>
  <c r="D367" i="2"/>
  <c r="D366" i="2"/>
  <c r="E365" i="2"/>
  <c r="D365" i="2"/>
  <c r="E364" i="2"/>
  <c r="D364" i="2"/>
  <c r="E363" i="2"/>
  <c r="D363" i="2"/>
  <c r="E362" i="2"/>
  <c r="D362" i="2"/>
  <c r="E361" i="2"/>
  <c r="E360" i="2"/>
  <c r="D360" i="2"/>
  <c r="E359" i="2"/>
  <c r="D359" i="2"/>
  <c r="E358" i="2"/>
  <c r="D358" i="2"/>
  <c r="E357" i="2"/>
  <c r="D357" i="2"/>
  <c r="E356" i="2"/>
  <c r="D356" i="2"/>
  <c r="E355" i="2"/>
  <c r="D355" i="2"/>
  <c r="E354" i="2"/>
  <c r="D354" i="2"/>
  <c r="E353" i="2"/>
  <c r="D353" i="2"/>
  <c r="E351" i="2"/>
  <c r="D351" i="2"/>
  <c r="E349" i="2"/>
  <c r="D349" i="2"/>
  <c r="E348" i="2"/>
  <c r="E347" i="2"/>
  <c r="D347" i="2"/>
  <c r="E346" i="2"/>
  <c r="D346" i="2"/>
  <c r="E345" i="2"/>
  <c r="E344" i="2"/>
  <c r="D344" i="2"/>
  <c r="E343" i="2"/>
  <c r="D343" i="2"/>
  <c r="E342" i="2"/>
  <c r="D342" i="2"/>
  <c r="E341" i="2"/>
  <c r="D341" i="2"/>
  <c r="E340" i="2"/>
  <c r="D340" i="2"/>
  <c r="E339" i="2"/>
  <c r="D339" i="2"/>
  <c r="E338" i="2"/>
  <c r="D338" i="2"/>
  <c r="E337" i="2"/>
  <c r="D337" i="2"/>
  <c r="E336" i="2"/>
  <c r="D336" i="2"/>
  <c r="E335" i="2"/>
  <c r="D335" i="2"/>
  <c r="E334" i="2"/>
  <c r="D334" i="2"/>
  <c r="E333" i="2"/>
  <c r="D333" i="2"/>
  <c r="E332" i="2"/>
  <c r="D332" i="2"/>
  <c r="E331" i="2"/>
  <c r="D331" i="2"/>
  <c r="E330" i="2"/>
  <c r="D330" i="2"/>
  <c r="D328" i="2"/>
  <c r="E327" i="2"/>
  <c r="D327" i="2"/>
  <c r="E326" i="2"/>
  <c r="D326" i="2"/>
  <c r="E324" i="2"/>
  <c r="D324" i="2"/>
  <c r="E323" i="2"/>
  <c r="D323" i="2"/>
  <c r="E322" i="2"/>
  <c r="D322" i="2"/>
  <c r="D321" i="2"/>
  <c r="D320" i="2"/>
  <c r="D318" i="2"/>
  <c r="E317" i="2"/>
  <c r="D317" i="2"/>
  <c r="D316" i="2"/>
  <c r="D315" i="2"/>
  <c r="E313" i="2"/>
  <c r="D313" i="2"/>
  <c r="E312" i="2"/>
  <c r="D312" i="2"/>
  <c r="D311" i="2"/>
  <c r="D310" i="2"/>
  <c r="E289" i="2"/>
  <c r="E386" i="2" s="1"/>
  <c r="D289" i="2"/>
  <c r="D386" i="2" s="1"/>
  <c r="E285" i="2"/>
  <c r="E382" i="2" s="1"/>
  <c r="D285" i="2"/>
  <c r="D382" i="2" s="1"/>
  <c r="E277" i="2"/>
  <c r="E374" i="2" s="1"/>
  <c r="D277" i="2"/>
  <c r="D374" i="2" s="1"/>
  <c r="E269" i="2"/>
  <c r="D269" i="2"/>
  <c r="E264" i="2"/>
  <c r="D264" i="2"/>
  <c r="D361" i="2" s="1"/>
  <c r="E259" i="2"/>
  <c r="D259" i="2"/>
  <c r="E255" i="2"/>
  <c r="E352" i="2" s="1"/>
  <c r="D255" i="2"/>
  <c r="D291" i="2" s="1"/>
  <c r="D251" i="2"/>
  <c r="D348" i="2" s="1"/>
  <c r="D248" i="2"/>
  <c r="D345" i="2" s="1"/>
  <c r="E241" i="2"/>
  <c r="D241" i="2"/>
  <c r="E232" i="2"/>
  <c r="E329" i="2" s="1"/>
  <c r="D232" i="2"/>
  <c r="D329" i="2" s="1"/>
  <c r="E228" i="2"/>
  <c r="E325" i="2" s="1"/>
  <c r="D228" i="2"/>
  <c r="D325" i="2" s="1"/>
  <c r="D222" i="2"/>
  <c r="D319" i="2" s="1"/>
  <c r="E316" i="2"/>
  <c r="D217" i="2"/>
  <c r="D314" i="2" s="1"/>
  <c r="D212" i="2"/>
  <c r="D309" i="2" s="1"/>
  <c r="E184" i="2"/>
  <c r="D184" i="2"/>
  <c r="E180" i="2"/>
  <c r="D180" i="2"/>
  <c r="E172" i="2"/>
  <c r="D172" i="2"/>
  <c r="E164" i="2"/>
  <c r="D164" i="2"/>
  <c r="E159" i="2"/>
  <c r="D159" i="2"/>
  <c r="E154" i="2"/>
  <c r="D154" i="2"/>
  <c r="E150" i="2"/>
  <c r="E186" i="2" s="1"/>
  <c r="D150" i="2"/>
  <c r="D186" i="2" s="1"/>
  <c r="E146" i="2"/>
  <c r="D146" i="2"/>
  <c r="E143" i="2"/>
  <c r="D143" i="2"/>
  <c r="E136" i="2"/>
  <c r="D136" i="2"/>
  <c r="E127" i="2"/>
  <c r="D127" i="2"/>
  <c r="E123" i="2"/>
  <c r="D123" i="2"/>
  <c r="E117" i="2"/>
  <c r="D117" i="2"/>
  <c r="E112" i="2"/>
  <c r="D112" i="2"/>
  <c r="E107" i="2"/>
  <c r="E148" i="2" s="1"/>
  <c r="D107" i="2"/>
  <c r="D148" i="2" s="1"/>
  <c r="F205" i="4" l="1"/>
  <c r="E205" i="4"/>
  <c r="E194" i="4"/>
  <c r="F188" i="4"/>
  <c r="F180" i="4"/>
  <c r="E180" i="4"/>
  <c r="E161" i="4"/>
  <c r="F161" i="4" s="1"/>
  <c r="E154" i="4"/>
  <c r="F137" i="4"/>
  <c r="E137" i="4"/>
  <c r="E132" i="4"/>
  <c r="E127" i="4"/>
  <c r="F127" i="4" s="1"/>
  <c r="C179" i="4"/>
  <c r="C236" i="4" s="1"/>
  <c r="E188" i="4"/>
  <c r="D220" i="4"/>
  <c r="F154" i="4"/>
  <c r="D179" i="4"/>
  <c r="E221" i="4"/>
  <c r="E222" i="2"/>
  <c r="E319" i="2" s="1"/>
  <c r="E311" i="2"/>
  <c r="E366" i="2"/>
  <c r="E291" i="2"/>
  <c r="E309" i="2"/>
  <c r="D388" i="2"/>
  <c r="D292" i="2"/>
  <c r="D352" i="2"/>
  <c r="E217" i="2"/>
  <c r="E314" i="2" s="1"/>
  <c r="D253" i="2"/>
  <c r="D350" i="2" s="1"/>
  <c r="E310" i="2"/>
  <c r="E320" i="2"/>
  <c r="E370" i="2"/>
  <c r="D187" i="2"/>
  <c r="E187" i="2"/>
  <c r="E189" i="2" s="1"/>
  <c r="E220" i="4" l="1"/>
  <c r="F220" i="4"/>
  <c r="E179" i="4"/>
  <c r="F179" i="4"/>
  <c r="F221" i="4"/>
  <c r="F234" i="4" s="1"/>
  <c r="E234" i="4"/>
  <c r="D236" i="4"/>
  <c r="E236" i="4" s="1"/>
  <c r="D389" i="2"/>
  <c r="D294" i="2"/>
  <c r="E388" i="2"/>
  <c r="E253" i="2"/>
  <c r="E350" i="2" s="1"/>
  <c r="D189" i="2"/>
  <c r="D192" i="2" s="1"/>
  <c r="D191" i="2"/>
  <c r="F236" i="4" l="1"/>
  <c r="D391" i="2"/>
  <c r="E292" i="2"/>
  <c r="E389" i="2" l="1"/>
  <c r="D393" i="2" s="1"/>
  <c r="E294" i="2"/>
  <c r="D296" i="2"/>
  <c r="E391" i="2" l="1"/>
  <c r="D394" i="2" s="1"/>
  <c r="D297" i="2"/>
  <c r="E286" i="1" l="1"/>
  <c r="D286" i="1"/>
  <c r="E262" i="1"/>
  <c r="E251" i="1" s="1"/>
  <c r="D262" i="1"/>
  <c r="E254" i="1"/>
  <c r="D254" i="1"/>
  <c r="D251" i="1"/>
  <c r="E247" i="1"/>
  <c r="D247" i="1"/>
  <c r="E243" i="1"/>
  <c r="E242" i="1" s="1"/>
  <c r="D243" i="1"/>
  <c r="D242" i="1" s="1"/>
  <c r="D290" i="1" s="1"/>
  <c r="E236" i="1"/>
  <c r="D236" i="1"/>
  <c r="E227" i="1"/>
  <c r="D227" i="1"/>
  <c r="E207" i="1"/>
  <c r="D207" i="1"/>
  <c r="E197" i="1"/>
  <c r="E196" i="1" s="1"/>
  <c r="D197" i="1"/>
  <c r="D196" i="1" s="1"/>
  <c r="E184" i="1"/>
  <c r="D184" i="1"/>
  <c r="E176" i="1"/>
  <c r="D176" i="1"/>
  <c r="E165" i="1"/>
  <c r="D165" i="1"/>
  <c r="E157" i="1"/>
  <c r="D157" i="1"/>
  <c r="E156" i="1"/>
  <c r="E240" i="1" s="1"/>
  <c r="D156" i="1"/>
  <c r="D240" i="1" s="1"/>
  <c r="E290" i="1" l="1"/>
  <c r="P65" i="26" l="1"/>
  <c r="H65" i="26" s="1"/>
  <c r="P57" i="26"/>
  <c r="H57" i="26" s="1"/>
  <c r="P58" i="26"/>
  <c r="H58" i="26" s="1"/>
  <c r="P59" i="26"/>
  <c r="H59" i="26" s="1"/>
  <c r="P53" i="26"/>
  <c r="H53" i="26" s="1"/>
  <c r="P54" i="26"/>
  <c r="H54" i="26" s="1"/>
  <c r="M57" i="26"/>
  <c r="M56" i="26"/>
  <c r="M55" i="26"/>
  <c r="P43" i="26"/>
  <c r="H43" i="26" s="1"/>
  <c r="P50" i="26"/>
  <c r="P51" i="26"/>
  <c r="P35" i="26" l="1"/>
  <c r="H35" i="26" s="1"/>
  <c r="H33" i="26"/>
  <c r="H29" i="26"/>
  <c r="G29" i="26" s="1"/>
  <c r="E29" i="26"/>
  <c r="E30" i="26"/>
  <c r="E31" i="26"/>
  <c r="P33" i="26"/>
  <c r="P32" i="26"/>
  <c r="H32" i="26" s="1"/>
  <c r="P31" i="26"/>
  <c r="H31" i="26" s="1"/>
  <c r="G31" i="26" s="1"/>
  <c r="P30" i="26"/>
  <c r="H30" i="26" s="1"/>
  <c r="G30" i="26" s="1"/>
  <c r="P29" i="26"/>
  <c r="P28" i="26"/>
  <c r="H28" i="26" s="1"/>
  <c r="P38" i="26"/>
  <c r="H38" i="26" s="1"/>
  <c r="P39" i="26"/>
  <c r="H39" i="26" s="1"/>
  <c r="P40" i="26"/>
  <c r="H40" i="26" s="1"/>
  <c r="P41" i="26"/>
  <c r="H41" i="26" s="1"/>
  <c r="P22" i="26"/>
  <c r="H22" i="26" s="1"/>
  <c r="P23" i="26"/>
  <c r="H23" i="26" s="1"/>
  <c r="P24" i="26"/>
  <c r="H24" i="26" s="1"/>
  <c r="P17" i="26"/>
  <c r="H17" i="26" s="1"/>
  <c r="P18" i="26"/>
  <c r="H18" i="26" s="1"/>
  <c r="P19" i="26"/>
  <c r="H19" i="26" s="1"/>
  <c r="P20" i="26"/>
  <c r="H20" i="26" s="1"/>
  <c r="P14" i="26"/>
  <c r="H14" i="26" s="1"/>
  <c r="P15" i="26"/>
  <c r="H15" i="26" s="1"/>
  <c r="P12" i="26"/>
  <c r="H12" i="26" s="1"/>
  <c r="P61" i="26"/>
  <c r="P62" i="26"/>
  <c r="P63" i="26"/>
  <c r="P64" i="26"/>
  <c r="P66" i="26"/>
  <c r="P67" i="26"/>
  <c r="P68" i="26"/>
  <c r="P69" i="26"/>
  <c r="P70" i="26"/>
  <c r="P71" i="26"/>
  <c r="P72" i="26"/>
  <c r="P73" i="26"/>
  <c r="P74" i="26"/>
  <c r="P75" i="26"/>
  <c r="P76" i="26"/>
  <c r="P77" i="26"/>
  <c r="P78" i="26"/>
  <c r="P79" i="26"/>
  <c r="P80" i="26"/>
  <c r="P81" i="26"/>
  <c r="P82" i="26"/>
  <c r="P83" i="26"/>
  <c r="P84" i="26"/>
  <c r="P85" i="26"/>
  <c r="P86" i="26"/>
  <c r="P87" i="26"/>
  <c r="P88" i="26"/>
  <c r="P89" i="26"/>
  <c r="P90" i="26"/>
  <c r="P91" i="26"/>
  <c r="P92" i="26"/>
  <c r="P93" i="26"/>
  <c r="P94" i="26"/>
  <c r="P11" i="26"/>
  <c r="H11" i="26" s="1"/>
  <c r="F92" i="26"/>
  <c r="F91" i="26"/>
  <c r="F88" i="26"/>
  <c r="F87" i="26"/>
  <c r="F84" i="26"/>
  <c r="G99" i="26"/>
  <c r="E99" i="26"/>
  <c r="G80" i="26"/>
  <c r="M94" i="26"/>
  <c r="F94" i="26" s="1"/>
  <c r="M93" i="26"/>
  <c r="F93" i="26" s="1"/>
  <c r="M92" i="26"/>
  <c r="M91" i="26"/>
  <c r="M90" i="26"/>
  <c r="F90" i="26" s="1"/>
  <c r="M89" i="26"/>
  <c r="F89" i="26" s="1"/>
  <c r="M88" i="26"/>
  <c r="M87" i="26"/>
  <c r="M86" i="26"/>
  <c r="F86" i="26" s="1"/>
  <c r="M85" i="26"/>
  <c r="F85" i="26" s="1"/>
  <c r="M84" i="26"/>
  <c r="M83" i="26"/>
  <c r="F83" i="26" s="1"/>
  <c r="M82" i="26"/>
  <c r="F82" i="26" s="1"/>
  <c r="M81" i="26"/>
  <c r="F81" i="26" s="1"/>
  <c r="M80" i="26"/>
  <c r="F80" i="26" s="1"/>
  <c r="E80" i="26" s="1"/>
  <c r="I80" i="26" s="1"/>
  <c r="M77" i="26"/>
  <c r="M78" i="26"/>
  <c r="F78" i="26" s="1"/>
  <c r="M79" i="26"/>
  <c r="F79" i="26" s="1"/>
  <c r="F75" i="26"/>
  <c r="G27" i="26"/>
  <c r="G61" i="26"/>
  <c r="G68" i="26"/>
  <c r="E68" i="26"/>
  <c r="F67" i="26"/>
  <c r="F63" i="26"/>
  <c r="M61" i="26"/>
  <c r="F61" i="26" s="1"/>
  <c r="E61" i="26" s="1"/>
  <c r="M62" i="26"/>
  <c r="F62" i="26" s="1"/>
  <c r="M63" i="26"/>
  <c r="M64" i="26"/>
  <c r="F64" i="26" s="1"/>
  <c r="M65" i="26"/>
  <c r="F65" i="26" s="1"/>
  <c r="M66" i="26"/>
  <c r="F66" i="26" s="1"/>
  <c r="M67" i="26"/>
  <c r="M69" i="26"/>
  <c r="F69" i="26" s="1"/>
  <c r="F56" i="26"/>
  <c r="F55" i="26"/>
  <c r="F57" i="26"/>
  <c r="M50" i="26"/>
  <c r="F50" i="26" s="1"/>
  <c r="M95" i="26" l="1"/>
  <c r="I31" i="26"/>
  <c r="I29" i="26"/>
  <c r="I30" i="26"/>
  <c r="I61" i="26"/>
  <c r="I68" i="26"/>
  <c r="P96" i="26"/>
  <c r="F77" i="26"/>
  <c r="M43" i="26"/>
  <c r="F43" i="26" s="1"/>
  <c r="M37" i="26"/>
  <c r="F37" i="26" s="1"/>
  <c r="M39" i="26"/>
  <c r="M42" i="26" s="1"/>
  <c r="M52" i="26"/>
  <c r="F52" i="26" s="1"/>
  <c r="M71" i="26"/>
  <c r="M73" i="26"/>
  <c r="F73" i="26" s="1"/>
  <c r="M72" i="26"/>
  <c r="F72" i="26" s="1"/>
  <c r="M36" i="26"/>
  <c r="F36" i="26" s="1"/>
  <c r="M44" i="26"/>
  <c r="M45" i="26"/>
  <c r="F45" i="26" s="1"/>
  <c r="M46" i="26"/>
  <c r="F46" i="26" s="1"/>
  <c r="M47" i="26"/>
  <c r="F47" i="26" s="1"/>
  <c r="M48" i="26"/>
  <c r="F48" i="26" s="1"/>
  <c r="F27" i="26"/>
  <c r="E27" i="26"/>
  <c r="I27" i="26" s="1"/>
  <c r="M27" i="26"/>
  <c r="M70" i="26" l="1"/>
  <c r="M74" i="26"/>
  <c r="F71" i="26"/>
  <c r="F74" i="26" s="1"/>
  <c r="F39" i="26"/>
  <c r="E39" i="26" s="1"/>
  <c r="R39" i="26" s="1"/>
  <c r="F44" i="26"/>
  <c r="F51" i="26" s="1"/>
  <c r="M51" i="26"/>
  <c r="F21" i="26"/>
  <c r="E21" i="26" s="1"/>
  <c r="M21" i="26"/>
  <c r="M22" i="26"/>
  <c r="F22" i="26" s="1"/>
  <c r="M23" i="26"/>
  <c r="F23" i="26" s="1"/>
  <c r="E23" i="26" s="1"/>
  <c r="M24" i="26"/>
  <c r="F24" i="26" s="1"/>
  <c r="M25" i="26"/>
  <c r="F25" i="26" s="1"/>
  <c r="M26" i="26"/>
  <c r="F26" i="26" s="1"/>
  <c r="M14" i="26"/>
  <c r="M15" i="26"/>
  <c r="F15" i="26" s="1"/>
  <c r="E15" i="26" s="1"/>
  <c r="M12" i="26"/>
  <c r="M11" i="26"/>
  <c r="F11" i="26" s="1"/>
  <c r="H95" i="26"/>
  <c r="F95" i="26"/>
  <c r="G94" i="26"/>
  <c r="E94" i="26"/>
  <c r="G93" i="26"/>
  <c r="E93" i="26"/>
  <c r="G92" i="26"/>
  <c r="E92" i="26"/>
  <c r="G91" i="26"/>
  <c r="E91" i="26"/>
  <c r="G90" i="26"/>
  <c r="E90" i="26"/>
  <c r="G89" i="26"/>
  <c r="E89" i="26"/>
  <c r="G88" i="26"/>
  <c r="E88" i="26"/>
  <c r="G87" i="26"/>
  <c r="E87" i="26"/>
  <c r="G86" i="26"/>
  <c r="E86" i="26"/>
  <c r="G85" i="26"/>
  <c r="E85" i="26"/>
  <c r="G84" i="26"/>
  <c r="E84" i="26"/>
  <c r="G83" i="26"/>
  <c r="E83" i="26"/>
  <c r="G82" i="26"/>
  <c r="E82" i="26"/>
  <c r="G81" i="26"/>
  <c r="E81" i="26"/>
  <c r="G79" i="26"/>
  <c r="E79" i="26"/>
  <c r="G78" i="26"/>
  <c r="E78" i="26"/>
  <c r="G77" i="26"/>
  <c r="E77" i="26"/>
  <c r="G76" i="26"/>
  <c r="E76" i="26"/>
  <c r="G75" i="26"/>
  <c r="E75" i="26"/>
  <c r="H74" i="26"/>
  <c r="G73" i="26"/>
  <c r="E73" i="26"/>
  <c r="G72" i="26"/>
  <c r="E72" i="26"/>
  <c r="G71" i="26"/>
  <c r="H70" i="26"/>
  <c r="F70" i="26"/>
  <c r="G69" i="26"/>
  <c r="E69" i="26"/>
  <c r="G67" i="26"/>
  <c r="E67" i="26"/>
  <c r="G66" i="26"/>
  <c r="E66" i="26"/>
  <c r="G65" i="26"/>
  <c r="E65" i="26"/>
  <c r="G64" i="26"/>
  <c r="E64" i="26"/>
  <c r="G63" i="26"/>
  <c r="E63" i="26"/>
  <c r="G62" i="26"/>
  <c r="E62" i="26"/>
  <c r="G60" i="26"/>
  <c r="E60" i="26"/>
  <c r="G59" i="26"/>
  <c r="E59" i="26"/>
  <c r="G58" i="26"/>
  <c r="E58" i="26"/>
  <c r="G57" i="26"/>
  <c r="E57" i="26"/>
  <c r="G56" i="26"/>
  <c r="E56" i="26"/>
  <c r="G55" i="26"/>
  <c r="S55" i="26" s="1"/>
  <c r="E55" i="26"/>
  <c r="R55" i="26" s="1"/>
  <c r="G54" i="26"/>
  <c r="S54" i="26" s="1"/>
  <c r="E54" i="26"/>
  <c r="R54" i="26" s="1"/>
  <c r="G53" i="26"/>
  <c r="S53" i="26" s="1"/>
  <c r="E53" i="26"/>
  <c r="R53" i="26" s="1"/>
  <c r="G52" i="26"/>
  <c r="S52" i="26" s="1"/>
  <c r="E52" i="26"/>
  <c r="R52" i="26" s="1"/>
  <c r="H51" i="26"/>
  <c r="G50" i="26"/>
  <c r="S50" i="26" s="1"/>
  <c r="E50" i="26"/>
  <c r="R50" i="26" s="1"/>
  <c r="G49" i="26"/>
  <c r="S49" i="26" s="1"/>
  <c r="E49" i="26"/>
  <c r="R49" i="26" s="1"/>
  <c r="G48" i="26"/>
  <c r="S48" i="26" s="1"/>
  <c r="E48" i="26"/>
  <c r="R48" i="26" s="1"/>
  <c r="G47" i="26"/>
  <c r="S47" i="26" s="1"/>
  <c r="E47" i="26"/>
  <c r="R47" i="26" s="1"/>
  <c r="G46" i="26"/>
  <c r="S46" i="26" s="1"/>
  <c r="E46" i="26"/>
  <c r="R46" i="26" s="1"/>
  <c r="G45" i="26"/>
  <c r="S45" i="26" s="1"/>
  <c r="E45" i="26"/>
  <c r="R45" i="26" s="1"/>
  <c r="G44" i="26"/>
  <c r="S44" i="26" s="1"/>
  <c r="G43" i="26"/>
  <c r="S43" i="26" s="1"/>
  <c r="E43" i="26"/>
  <c r="R43" i="26" s="1"/>
  <c r="H42" i="26"/>
  <c r="F42" i="26"/>
  <c r="G41" i="26"/>
  <c r="S41" i="26" s="1"/>
  <c r="E41" i="26"/>
  <c r="R41" i="26" s="1"/>
  <c r="G40" i="26"/>
  <c r="S40" i="26" s="1"/>
  <c r="E40" i="26"/>
  <c r="R40" i="26" s="1"/>
  <c r="G39" i="26"/>
  <c r="S39" i="26" s="1"/>
  <c r="G38" i="26"/>
  <c r="S38" i="26" s="1"/>
  <c r="E38" i="26"/>
  <c r="R38" i="26" s="1"/>
  <c r="G37" i="26"/>
  <c r="S37" i="26" s="1"/>
  <c r="E37" i="26"/>
  <c r="R37" i="26" s="1"/>
  <c r="G36" i="26"/>
  <c r="E36" i="26"/>
  <c r="G35" i="26"/>
  <c r="E35" i="26"/>
  <c r="H34" i="26"/>
  <c r="G33" i="26"/>
  <c r="E33" i="26"/>
  <c r="I33" i="26" s="1"/>
  <c r="G32" i="26"/>
  <c r="E32" i="26"/>
  <c r="G28" i="26"/>
  <c r="E28" i="26"/>
  <c r="I28" i="26" s="1"/>
  <c r="G26" i="26"/>
  <c r="E26" i="26"/>
  <c r="G25" i="26"/>
  <c r="E25" i="26"/>
  <c r="I25" i="26" s="1"/>
  <c r="G24" i="26"/>
  <c r="E24" i="26"/>
  <c r="G23" i="26"/>
  <c r="G22" i="26"/>
  <c r="E22" i="26"/>
  <c r="G21" i="26"/>
  <c r="G20" i="26"/>
  <c r="E20" i="26"/>
  <c r="G19" i="26"/>
  <c r="E19" i="26"/>
  <c r="G18" i="26"/>
  <c r="E18" i="26"/>
  <c r="G17" i="26"/>
  <c r="E17" i="26"/>
  <c r="G16" i="26"/>
  <c r="E16" i="26"/>
  <c r="G15" i="26"/>
  <c r="G14" i="26"/>
  <c r="H13" i="26"/>
  <c r="G13" i="26" s="1"/>
  <c r="G12" i="26"/>
  <c r="E12" i="26"/>
  <c r="A12" i="26"/>
  <c r="A13" i="26" s="1"/>
  <c r="A14" i="26" s="1"/>
  <c r="A15" i="26" s="1"/>
  <c r="A16" i="26" s="1"/>
  <c r="A17" i="26" s="1"/>
  <c r="A18" i="26" s="1"/>
  <c r="A19" i="26" s="1"/>
  <c r="A20" i="26" s="1"/>
  <c r="A21" i="26" s="1"/>
  <c r="A22" i="26" s="1"/>
  <c r="A23" i="26" s="1"/>
  <c r="A24" i="26" s="1"/>
  <c r="A25" i="26" s="1"/>
  <c r="A26" i="26" s="1"/>
  <c r="A27" i="26" s="1"/>
  <c r="A28" i="26" s="1"/>
  <c r="A29" i="26" s="1"/>
  <c r="A30" i="26" s="1"/>
  <c r="A31" i="26" s="1"/>
  <c r="A32" i="26" s="1"/>
  <c r="A33" i="26" s="1"/>
  <c r="A34" i="26" s="1"/>
  <c r="A35" i="26" s="1"/>
  <c r="A36" i="26" s="1"/>
  <c r="A37" i="26" s="1"/>
  <c r="A38" i="26" s="1"/>
  <c r="A39" i="26" s="1"/>
  <c r="A40" i="26" s="1"/>
  <c r="A41" i="26" s="1"/>
  <c r="A42" i="26" s="1"/>
  <c r="A43" i="26" s="1"/>
  <c r="A44" i="26" s="1"/>
  <c r="A45" i="26" s="1"/>
  <c r="A46" i="26" s="1"/>
  <c r="A47" i="26" s="1"/>
  <c r="A48" i="26" s="1"/>
  <c r="A49" i="26" s="1"/>
  <c r="A50" i="26" s="1"/>
  <c r="A51" i="26" s="1"/>
  <c r="A52" i="26" s="1"/>
  <c r="A53" i="26" s="1"/>
  <c r="A54" i="26" s="1"/>
  <c r="A55" i="26" s="1"/>
  <c r="A56" i="26" s="1"/>
  <c r="A57" i="26" s="1"/>
  <c r="A58" i="26" s="1"/>
  <c r="A59" i="26" s="1"/>
  <c r="A60" i="26" s="1"/>
  <c r="A61" i="26" s="1"/>
  <c r="A62" i="26" s="1"/>
  <c r="A63" i="26" s="1"/>
  <c r="A64" i="26" s="1"/>
  <c r="A65" i="26" s="1"/>
  <c r="A66" i="26" s="1"/>
  <c r="A67" i="26" s="1"/>
  <c r="A68" i="26" s="1"/>
  <c r="A69" i="26" s="1"/>
  <c r="A70" i="26" s="1"/>
  <c r="A71" i="26" s="1"/>
  <c r="A72" i="26" s="1"/>
  <c r="A73" i="26" s="1"/>
  <c r="A74" i="26" s="1"/>
  <c r="A75" i="26" s="1"/>
  <c r="A76" i="26" s="1"/>
  <c r="A77" i="26" s="1"/>
  <c r="A78" i="26" s="1"/>
  <c r="A79" i="26" s="1"/>
  <c r="A80" i="26" s="1"/>
  <c r="A81" i="26" s="1"/>
  <c r="A82" i="26" s="1"/>
  <c r="A83" i="26" s="1"/>
  <c r="A84" i="26" s="1"/>
  <c r="A85" i="26" s="1"/>
  <c r="A86" i="26" s="1"/>
  <c r="A87" i="26" s="1"/>
  <c r="A88" i="26" s="1"/>
  <c r="A89" i="26" s="1"/>
  <c r="A90" i="26" s="1"/>
  <c r="A91" i="26" s="1"/>
  <c r="A92" i="26" s="1"/>
  <c r="A93" i="26" s="1"/>
  <c r="A94" i="26" s="1"/>
  <c r="A95" i="26" s="1"/>
  <c r="A96" i="26" s="1"/>
  <c r="G11" i="26"/>
  <c r="G144" i="27"/>
  <c r="E144" i="27"/>
  <c r="H143" i="27"/>
  <c r="F143" i="27"/>
  <c r="G142" i="27"/>
  <c r="E142" i="27"/>
  <c r="G141" i="27"/>
  <c r="E141" i="27"/>
  <c r="G140" i="27"/>
  <c r="E140" i="27"/>
  <c r="H139" i="27"/>
  <c r="F139" i="27"/>
  <c r="G138" i="27"/>
  <c r="Q138" i="27" s="1"/>
  <c r="E138" i="27"/>
  <c r="P138" i="27" s="1"/>
  <c r="G137" i="27"/>
  <c r="Q137" i="27" s="1"/>
  <c r="E137" i="27"/>
  <c r="P137" i="27" s="1"/>
  <c r="G136" i="27"/>
  <c r="Q136" i="27" s="1"/>
  <c r="E136" i="27"/>
  <c r="P136" i="27" s="1"/>
  <c r="G135" i="27"/>
  <c r="Q135" i="27" s="1"/>
  <c r="E135" i="27"/>
  <c r="P135" i="27" s="1"/>
  <c r="G134" i="27"/>
  <c r="Q134" i="27" s="1"/>
  <c r="E134" i="27"/>
  <c r="P134" i="27" s="1"/>
  <c r="G133" i="27"/>
  <c r="Q133" i="27" s="1"/>
  <c r="E133" i="27"/>
  <c r="P133" i="27" s="1"/>
  <c r="G132" i="27"/>
  <c r="Q132" i="27" s="1"/>
  <c r="E132" i="27"/>
  <c r="P132" i="27" s="1"/>
  <c r="G131" i="27"/>
  <c r="Q131" i="27" s="1"/>
  <c r="E131" i="27"/>
  <c r="P131" i="27" s="1"/>
  <c r="G130" i="27"/>
  <c r="Q130" i="27" s="1"/>
  <c r="E130" i="27"/>
  <c r="P130" i="27" s="1"/>
  <c r="G129" i="27"/>
  <c r="Q129" i="27" s="1"/>
  <c r="E129" i="27"/>
  <c r="P129" i="27" s="1"/>
  <c r="G127" i="27"/>
  <c r="Q127" i="27" s="1"/>
  <c r="E127" i="27"/>
  <c r="P127" i="27" s="1"/>
  <c r="G126" i="27"/>
  <c r="Q126" i="27" s="1"/>
  <c r="E126" i="27"/>
  <c r="P126" i="27" s="1"/>
  <c r="G125" i="27"/>
  <c r="Q125" i="27" s="1"/>
  <c r="E125" i="27"/>
  <c r="P125" i="27" s="1"/>
  <c r="G124" i="27"/>
  <c r="Q124" i="27" s="1"/>
  <c r="E124" i="27"/>
  <c r="P124" i="27" s="1"/>
  <c r="G123" i="27"/>
  <c r="Q123" i="27" s="1"/>
  <c r="E123" i="27"/>
  <c r="P123" i="27" s="1"/>
  <c r="G122" i="27"/>
  <c r="Q122" i="27" s="1"/>
  <c r="E122" i="27"/>
  <c r="P122" i="27" s="1"/>
  <c r="G121" i="27"/>
  <c r="Q121" i="27" s="1"/>
  <c r="E121" i="27"/>
  <c r="P121" i="27" s="1"/>
  <c r="G120" i="27"/>
  <c r="Q120" i="27" s="1"/>
  <c r="E120" i="27"/>
  <c r="P120" i="27" s="1"/>
  <c r="G119" i="27"/>
  <c r="Q119" i="27" s="1"/>
  <c r="E119" i="27"/>
  <c r="P119" i="27" s="1"/>
  <c r="G118" i="27"/>
  <c r="Q118" i="27" s="1"/>
  <c r="E118" i="27"/>
  <c r="P118" i="27" s="1"/>
  <c r="G117" i="27"/>
  <c r="Q117" i="27" s="1"/>
  <c r="E117" i="27"/>
  <c r="P117" i="27" s="1"/>
  <c r="G116" i="27"/>
  <c r="Q116" i="27" s="1"/>
  <c r="E116" i="27"/>
  <c r="P116" i="27" s="1"/>
  <c r="G115" i="27"/>
  <c r="Q115" i="27" s="1"/>
  <c r="E115" i="27"/>
  <c r="P115" i="27" s="1"/>
  <c r="G114" i="27"/>
  <c r="Q114" i="27" s="1"/>
  <c r="E114" i="27"/>
  <c r="P114" i="27" s="1"/>
  <c r="G113" i="27"/>
  <c r="Q113" i="27" s="1"/>
  <c r="E113" i="27"/>
  <c r="P113" i="27" s="1"/>
  <c r="G112" i="27"/>
  <c r="Q112" i="27" s="1"/>
  <c r="E112" i="27"/>
  <c r="P112" i="27" s="1"/>
  <c r="G111" i="27"/>
  <c r="Q111" i="27" s="1"/>
  <c r="E111" i="27"/>
  <c r="P111" i="27" s="1"/>
  <c r="G110" i="27"/>
  <c r="Q110" i="27" s="1"/>
  <c r="E110" i="27"/>
  <c r="P110" i="27" s="1"/>
  <c r="H109" i="27"/>
  <c r="F109" i="27"/>
  <c r="G108" i="27"/>
  <c r="Q108" i="27" s="1"/>
  <c r="E108" i="27"/>
  <c r="P108" i="27" s="1"/>
  <c r="G107" i="27"/>
  <c r="Q107" i="27" s="1"/>
  <c r="E107" i="27"/>
  <c r="P107" i="27" s="1"/>
  <c r="G106" i="27"/>
  <c r="Q106" i="27" s="1"/>
  <c r="E106" i="27"/>
  <c r="P106" i="27" s="1"/>
  <c r="G105" i="27"/>
  <c r="Q105" i="27" s="1"/>
  <c r="E105" i="27"/>
  <c r="P105" i="27" s="1"/>
  <c r="G104" i="27"/>
  <c r="Q104" i="27" s="1"/>
  <c r="E104" i="27"/>
  <c r="P104" i="27" s="1"/>
  <c r="H103" i="27"/>
  <c r="F103" i="27"/>
  <c r="G102" i="27"/>
  <c r="Q102" i="27" s="1"/>
  <c r="E102" i="27"/>
  <c r="P102" i="27" s="1"/>
  <c r="G101" i="27"/>
  <c r="Q101" i="27" s="1"/>
  <c r="E101" i="27"/>
  <c r="P101" i="27" s="1"/>
  <c r="G100" i="27"/>
  <c r="Q100" i="27" s="1"/>
  <c r="E100" i="27"/>
  <c r="P100" i="27" s="1"/>
  <c r="G99" i="27"/>
  <c r="Q99" i="27" s="1"/>
  <c r="E99" i="27"/>
  <c r="P99" i="27" s="1"/>
  <c r="G98" i="27"/>
  <c r="Q98" i="27" s="1"/>
  <c r="E98" i="27"/>
  <c r="P98" i="27" s="1"/>
  <c r="G97" i="27"/>
  <c r="Q97" i="27" s="1"/>
  <c r="E97" i="27"/>
  <c r="P97" i="27" s="1"/>
  <c r="H95" i="27"/>
  <c r="F95" i="27"/>
  <c r="G94" i="27"/>
  <c r="Q94" i="27" s="1"/>
  <c r="E94" i="27"/>
  <c r="P94" i="27" s="1"/>
  <c r="G93" i="27"/>
  <c r="Q93" i="27" s="1"/>
  <c r="E93" i="27"/>
  <c r="P93" i="27" s="1"/>
  <c r="H92" i="27"/>
  <c r="F92" i="27"/>
  <c r="G90" i="27"/>
  <c r="Q90" i="27" s="1"/>
  <c r="E90" i="27"/>
  <c r="P90" i="27" s="1"/>
  <c r="G89" i="27"/>
  <c r="Q89" i="27" s="1"/>
  <c r="E89" i="27"/>
  <c r="P89" i="27" s="1"/>
  <c r="G88" i="27"/>
  <c r="Q88" i="27" s="1"/>
  <c r="E88" i="27"/>
  <c r="P88" i="27" s="1"/>
  <c r="H87" i="27"/>
  <c r="F87" i="27"/>
  <c r="G85" i="27"/>
  <c r="Q85" i="27" s="1"/>
  <c r="E85" i="27"/>
  <c r="P85" i="27" s="1"/>
  <c r="G84" i="27"/>
  <c r="Q84" i="27" s="1"/>
  <c r="E84" i="27"/>
  <c r="P84" i="27" s="1"/>
  <c r="G83" i="27"/>
  <c r="Q83" i="27" s="1"/>
  <c r="E83" i="27"/>
  <c r="P83" i="27" s="1"/>
  <c r="G82" i="27"/>
  <c r="Q82" i="27" s="1"/>
  <c r="E82" i="27"/>
  <c r="P82" i="27" s="1"/>
  <c r="G81" i="27"/>
  <c r="Q81" i="27" s="1"/>
  <c r="E81" i="27"/>
  <c r="P81" i="27" s="1"/>
  <c r="G80" i="27"/>
  <c r="Q80" i="27" s="1"/>
  <c r="E80" i="27"/>
  <c r="P80" i="27" s="1"/>
  <c r="G79" i="27"/>
  <c r="Q79" i="27" s="1"/>
  <c r="E79" i="27"/>
  <c r="P79" i="27" s="1"/>
  <c r="G78" i="27"/>
  <c r="Q78" i="27" s="1"/>
  <c r="E78" i="27"/>
  <c r="P78" i="27" s="1"/>
  <c r="G77" i="27"/>
  <c r="Q77" i="27" s="1"/>
  <c r="E77" i="27"/>
  <c r="P77" i="27" s="1"/>
  <c r="G76" i="27"/>
  <c r="Q76" i="27" s="1"/>
  <c r="E76" i="27"/>
  <c r="P76" i="27" s="1"/>
  <c r="G75" i="27"/>
  <c r="Q75" i="27" s="1"/>
  <c r="E75" i="27"/>
  <c r="P75" i="27" s="1"/>
  <c r="G74" i="27"/>
  <c r="Q74" i="27" s="1"/>
  <c r="E74" i="27"/>
  <c r="P74" i="27" s="1"/>
  <c r="G73" i="27"/>
  <c r="Q73" i="27" s="1"/>
  <c r="E73" i="27"/>
  <c r="P73" i="27" s="1"/>
  <c r="G72" i="27"/>
  <c r="Q72" i="27" s="1"/>
  <c r="E72" i="27"/>
  <c r="P72" i="27" s="1"/>
  <c r="G71" i="27"/>
  <c r="Q71" i="27" s="1"/>
  <c r="E71" i="27"/>
  <c r="P71" i="27" s="1"/>
  <c r="G70" i="27"/>
  <c r="Q70" i="27" s="1"/>
  <c r="E70" i="27"/>
  <c r="P70" i="27" s="1"/>
  <c r="G69" i="27"/>
  <c r="Q69" i="27" s="1"/>
  <c r="E69" i="27"/>
  <c r="P69" i="27" s="1"/>
  <c r="G68" i="27"/>
  <c r="Q68" i="27" s="1"/>
  <c r="E68" i="27"/>
  <c r="P68" i="27" s="1"/>
  <c r="G67" i="27"/>
  <c r="Q67" i="27" s="1"/>
  <c r="E67" i="27"/>
  <c r="P67" i="27" s="1"/>
  <c r="G66" i="27"/>
  <c r="Q66" i="27" s="1"/>
  <c r="E66" i="27"/>
  <c r="P66" i="27" s="1"/>
  <c r="G65" i="27"/>
  <c r="Q65" i="27" s="1"/>
  <c r="E65" i="27"/>
  <c r="P65" i="27" s="1"/>
  <c r="G64" i="27"/>
  <c r="Q64" i="27" s="1"/>
  <c r="E64" i="27"/>
  <c r="P64" i="27" s="1"/>
  <c r="G63" i="27"/>
  <c r="Q63" i="27" s="1"/>
  <c r="E63" i="27"/>
  <c r="P63" i="27" s="1"/>
  <c r="G62" i="27"/>
  <c r="Q62" i="27" s="1"/>
  <c r="E62" i="27"/>
  <c r="P62" i="27" s="1"/>
  <c r="G61" i="27"/>
  <c r="Q61" i="27" s="1"/>
  <c r="E61" i="27"/>
  <c r="P61" i="27" s="1"/>
  <c r="G60" i="27"/>
  <c r="Q60" i="27" s="1"/>
  <c r="E60" i="27"/>
  <c r="P60" i="27" s="1"/>
  <c r="G59" i="27"/>
  <c r="Q59" i="27" s="1"/>
  <c r="E59" i="27"/>
  <c r="P59" i="27" s="1"/>
  <c r="G58" i="27"/>
  <c r="Q58" i="27" s="1"/>
  <c r="E58" i="27"/>
  <c r="P58" i="27" s="1"/>
  <c r="G57" i="27"/>
  <c r="Q57" i="27" s="1"/>
  <c r="E57" i="27"/>
  <c r="P57" i="27" s="1"/>
  <c r="G56" i="27"/>
  <c r="Q56" i="27" s="1"/>
  <c r="E56" i="27"/>
  <c r="P56" i="27" s="1"/>
  <c r="G55" i="27"/>
  <c r="Q55" i="27" s="1"/>
  <c r="E55" i="27"/>
  <c r="P55" i="27" s="1"/>
  <c r="G54" i="27"/>
  <c r="Q54" i="27" s="1"/>
  <c r="E54" i="27"/>
  <c r="P54" i="27" s="1"/>
  <c r="G53" i="27"/>
  <c r="Q53" i="27" s="1"/>
  <c r="E53" i="27"/>
  <c r="P53" i="27" s="1"/>
  <c r="G52" i="27"/>
  <c r="Q52" i="27" s="1"/>
  <c r="E52" i="27"/>
  <c r="P52" i="27" s="1"/>
  <c r="G51" i="27"/>
  <c r="Q51" i="27" s="1"/>
  <c r="E51" i="27"/>
  <c r="P51" i="27" s="1"/>
  <c r="G50" i="27"/>
  <c r="Q50" i="27" s="1"/>
  <c r="E50" i="27"/>
  <c r="P50" i="27" s="1"/>
  <c r="G49" i="27"/>
  <c r="Q49" i="27" s="1"/>
  <c r="E49" i="27"/>
  <c r="P49" i="27" s="1"/>
  <c r="G48" i="27"/>
  <c r="Q48" i="27" s="1"/>
  <c r="E48" i="27"/>
  <c r="P48" i="27" s="1"/>
  <c r="G47" i="27"/>
  <c r="Q47" i="27" s="1"/>
  <c r="E47" i="27"/>
  <c r="P47" i="27" s="1"/>
  <c r="G46" i="27"/>
  <c r="Q46" i="27" s="1"/>
  <c r="E46" i="27"/>
  <c r="P46" i="27" s="1"/>
  <c r="G45" i="27"/>
  <c r="Q45" i="27" s="1"/>
  <c r="E45" i="27"/>
  <c r="P45" i="27" s="1"/>
  <c r="G44" i="27"/>
  <c r="Q44" i="27" s="1"/>
  <c r="E44" i="27"/>
  <c r="P44" i="27" s="1"/>
  <c r="G42" i="27"/>
  <c r="Q42" i="27" s="1"/>
  <c r="E42" i="27"/>
  <c r="P42" i="27" s="1"/>
  <c r="G41" i="27"/>
  <c r="Q41" i="27" s="1"/>
  <c r="E41" i="27"/>
  <c r="P41" i="27" s="1"/>
  <c r="H40" i="27"/>
  <c r="G40" i="27" s="1"/>
  <c r="Q40" i="27" s="1"/>
  <c r="F40" i="27"/>
  <c r="E40" i="27" s="1"/>
  <c r="P40" i="27" s="1"/>
  <c r="G39" i="27"/>
  <c r="Q39" i="27" s="1"/>
  <c r="E39" i="27"/>
  <c r="P39" i="27" s="1"/>
  <c r="G38" i="27"/>
  <c r="Q38" i="27" s="1"/>
  <c r="E38" i="27"/>
  <c r="P38" i="27" s="1"/>
  <c r="H37" i="27"/>
  <c r="G37" i="27" s="1"/>
  <c r="Q37" i="27" s="1"/>
  <c r="F37" i="27"/>
  <c r="G36" i="27"/>
  <c r="Q36" i="27" s="1"/>
  <c r="E36" i="27"/>
  <c r="P36" i="27" s="1"/>
  <c r="G35" i="27"/>
  <c r="Q35" i="27" s="1"/>
  <c r="E35" i="27"/>
  <c r="P35" i="27" s="1"/>
  <c r="G33" i="27"/>
  <c r="Q33" i="27" s="1"/>
  <c r="E33" i="27"/>
  <c r="P33" i="27" s="1"/>
  <c r="H32" i="27"/>
  <c r="F32" i="27"/>
  <c r="G31" i="27"/>
  <c r="Q31" i="27" s="1"/>
  <c r="E31" i="27"/>
  <c r="P31" i="27" s="1"/>
  <c r="G30" i="27"/>
  <c r="Q30" i="27" s="1"/>
  <c r="E30" i="27"/>
  <c r="P30" i="27" s="1"/>
  <c r="H29" i="27"/>
  <c r="F29" i="27"/>
  <c r="G28" i="27"/>
  <c r="Q28" i="27" s="1"/>
  <c r="E28" i="27"/>
  <c r="P28" i="27" s="1"/>
  <c r="G27" i="27"/>
  <c r="Q27" i="27" s="1"/>
  <c r="E27" i="27"/>
  <c r="P27" i="27" s="1"/>
  <c r="G26" i="27"/>
  <c r="Q26" i="27" s="1"/>
  <c r="E26" i="27"/>
  <c r="P26" i="27" s="1"/>
  <c r="H25" i="27"/>
  <c r="F25" i="27"/>
  <c r="G24" i="27"/>
  <c r="Q24" i="27" s="1"/>
  <c r="E24" i="27"/>
  <c r="P24" i="27" s="1"/>
  <c r="G23" i="27"/>
  <c r="Q23" i="27" s="1"/>
  <c r="E23" i="27"/>
  <c r="P23" i="27" s="1"/>
  <c r="G22" i="27"/>
  <c r="Q22" i="27" s="1"/>
  <c r="E22" i="27"/>
  <c r="P22" i="27" s="1"/>
  <c r="G21" i="27"/>
  <c r="Q21" i="27" s="1"/>
  <c r="E21" i="27"/>
  <c r="P21" i="27" s="1"/>
  <c r="H20" i="27"/>
  <c r="F20" i="27"/>
  <c r="G19" i="27"/>
  <c r="Q19" i="27" s="1"/>
  <c r="E19" i="27"/>
  <c r="P19" i="27" s="1"/>
  <c r="G18" i="27"/>
  <c r="Q18" i="27" s="1"/>
  <c r="E18" i="27"/>
  <c r="P18" i="27" s="1"/>
  <c r="G17" i="27"/>
  <c r="Q17" i="27" s="1"/>
  <c r="E17" i="27"/>
  <c r="P17" i="27" s="1"/>
  <c r="G16" i="27"/>
  <c r="Q16" i="27" s="1"/>
  <c r="E16" i="27"/>
  <c r="P16" i="27" s="1"/>
  <c r="G15" i="27"/>
  <c r="Q15" i="27" s="1"/>
  <c r="E15" i="27"/>
  <c r="P15" i="27" s="1"/>
  <c r="G14" i="27"/>
  <c r="Q14" i="27" s="1"/>
  <c r="E14" i="27"/>
  <c r="P14" i="27" s="1"/>
  <c r="G13" i="27"/>
  <c r="Q13" i="27" s="1"/>
  <c r="E13" i="27"/>
  <c r="P13" i="27" s="1"/>
  <c r="A13" i="27"/>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53" i="27" s="1"/>
  <c r="A54" i="27" s="1"/>
  <c r="A55" i="27" s="1"/>
  <c r="A56" i="27" s="1"/>
  <c r="A57" i="27" s="1"/>
  <c r="A58" i="27" s="1"/>
  <c r="A59" i="27" s="1"/>
  <c r="A60" i="27" s="1"/>
  <c r="A61" i="27" s="1"/>
  <c r="A62" i="27" s="1"/>
  <c r="A63" i="27" s="1"/>
  <c r="A64" i="27" s="1"/>
  <c r="A65" i="27" s="1"/>
  <c r="A66" i="27" s="1"/>
  <c r="A67" i="27" s="1"/>
  <c r="A68" i="27" s="1"/>
  <c r="A69" i="27" s="1"/>
  <c r="A70" i="27" s="1"/>
  <c r="A71" i="27" s="1"/>
  <c r="A72" i="27" s="1"/>
  <c r="A73" i="27" s="1"/>
  <c r="A74" i="27" s="1"/>
  <c r="A75" i="27" s="1"/>
  <c r="A76" i="27" s="1"/>
  <c r="A77" i="27" s="1"/>
  <c r="A78" i="27" s="1"/>
  <c r="A79" i="27" s="1"/>
  <c r="A80" i="27" s="1"/>
  <c r="A81" i="27" s="1"/>
  <c r="A82" i="27" s="1"/>
  <c r="A83" i="27" s="1"/>
  <c r="A84" i="27" s="1"/>
  <c r="A85" i="27" s="1"/>
  <c r="A86" i="27" s="1"/>
  <c r="A87" i="27" s="1"/>
  <c r="A88" i="27" s="1"/>
  <c r="A89" i="27" s="1"/>
  <c r="A90" i="27" s="1"/>
  <c r="A91" i="27" s="1"/>
  <c r="A92" i="27" s="1"/>
  <c r="A93" i="27" s="1"/>
  <c r="A94" i="27" s="1"/>
  <c r="A95" i="27" s="1"/>
  <c r="A97" i="27" s="1"/>
  <c r="A98" i="27" s="1"/>
  <c r="A99" i="27" s="1"/>
  <c r="A100" i="27" s="1"/>
  <c r="A101" i="27" s="1"/>
  <c r="A102" i="27" s="1"/>
  <c r="A103" i="27" s="1"/>
  <c r="A104" i="27" s="1"/>
  <c r="A105" i="27" s="1"/>
  <c r="A106" i="27" s="1"/>
  <c r="A107" i="27" s="1"/>
  <c r="A108" i="27" s="1"/>
  <c r="A109" i="27" s="1"/>
  <c r="A110" i="27" s="1"/>
  <c r="A111" i="27" s="1"/>
  <c r="A112" i="27" s="1"/>
  <c r="A113" i="27" s="1"/>
  <c r="A114" i="27" s="1"/>
  <c r="A115" i="27" s="1"/>
  <c r="A116" i="27" s="1"/>
  <c r="A117" i="27" s="1"/>
  <c r="A118" i="27" s="1"/>
  <c r="A119" i="27" s="1"/>
  <c r="A120" i="27" s="1"/>
  <c r="A121" i="27" s="1"/>
  <c r="A122" i="27" s="1"/>
  <c r="A123" i="27" s="1"/>
  <c r="A124" i="27" s="1"/>
  <c r="A125" i="27" s="1"/>
  <c r="A126" i="27" s="1"/>
  <c r="A127" i="27" s="1"/>
  <c r="A129" i="27" s="1"/>
  <c r="A130" i="27" s="1"/>
  <c r="A131" i="27" s="1"/>
  <c r="A132" i="27" s="1"/>
  <c r="A133" i="27" s="1"/>
  <c r="A134" i="27" s="1"/>
  <c r="A135" i="27" s="1"/>
  <c r="A136" i="27" s="1"/>
  <c r="A137" i="27" s="1"/>
  <c r="A138" i="27" s="1"/>
  <c r="A139" i="27" s="1"/>
  <c r="A140" i="27" s="1"/>
  <c r="A141" i="27" s="1"/>
  <c r="A142" i="27" s="1"/>
  <c r="A143" i="27" s="1"/>
  <c r="A144" i="27" s="1"/>
  <c r="A145" i="27" s="1"/>
  <c r="G12" i="27"/>
  <c r="E12" i="27"/>
  <c r="F145" i="27" l="1"/>
  <c r="I47" i="27"/>
  <c r="I85" i="27"/>
  <c r="I136" i="27"/>
  <c r="G143" i="27"/>
  <c r="I141" i="27"/>
  <c r="I90" i="27"/>
  <c r="I98" i="27"/>
  <c r="I99" i="27"/>
  <c r="G103" i="27"/>
  <c r="Q103" i="27" s="1"/>
  <c r="E109" i="27"/>
  <c r="P109" i="27" s="1"/>
  <c r="I111" i="27"/>
  <c r="I113" i="27"/>
  <c r="I115" i="27"/>
  <c r="I117" i="27"/>
  <c r="I119" i="27"/>
  <c r="I121" i="27"/>
  <c r="I123" i="27"/>
  <c r="I125" i="27"/>
  <c r="I127" i="27"/>
  <c r="I130" i="27"/>
  <c r="I138" i="27"/>
  <c r="I142" i="27"/>
  <c r="I144" i="27"/>
  <c r="I53" i="27"/>
  <c r="G92" i="27"/>
  <c r="Q92" i="27" s="1"/>
  <c r="G95" i="27"/>
  <c r="Q95" i="27" s="1"/>
  <c r="I100" i="27"/>
  <c r="I102" i="27"/>
  <c r="I74" i="27"/>
  <c r="I108" i="27"/>
  <c r="I131" i="27"/>
  <c r="I135" i="27"/>
  <c r="F13" i="26"/>
  <c r="E11" i="26"/>
  <c r="I11" i="26" s="1"/>
  <c r="E71" i="26"/>
  <c r="I71" i="26" s="1"/>
  <c r="I114" i="27"/>
  <c r="I116" i="27"/>
  <c r="I118" i="27"/>
  <c r="I120" i="27"/>
  <c r="I122" i="27"/>
  <c r="I124" i="27"/>
  <c r="I126" i="27"/>
  <c r="I133" i="27"/>
  <c r="G139" i="27"/>
  <c r="Q139" i="27" s="1"/>
  <c r="I105" i="27"/>
  <c r="I94" i="27"/>
  <c r="I89" i="27"/>
  <c r="I88" i="27"/>
  <c r="I23" i="27"/>
  <c r="I21" i="27"/>
  <c r="I15" i="27"/>
  <c r="I17" i="27"/>
  <c r="I19" i="27"/>
  <c r="I12" i="27"/>
  <c r="I104" i="27"/>
  <c r="I106" i="27"/>
  <c r="I132" i="27"/>
  <c r="I134" i="27"/>
  <c r="I137" i="27"/>
  <c r="I129" i="27"/>
  <c r="I112" i="27"/>
  <c r="H145" i="27"/>
  <c r="I101" i="27"/>
  <c r="I14" i="27"/>
  <c r="E143" i="27"/>
  <c r="I140" i="27"/>
  <c r="E139" i="27"/>
  <c r="E103" i="27"/>
  <c r="P103" i="27" s="1"/>
  <c r="E95" i="27"/>
  <c r="P95" i="27" s="1"/>
  <c r="E92" i="27"/>
  <c r="P92" i="27" s="1"/>
  <c r="I48" i="27"/>
  <c r="I56" i="27"/>
  <c r="I80" i="27"/>
  <c r="I57" i="27"/>
  <c r="I61" i="27"/>
  <c r="I65" i="27"/>
  <c r="I69" i="27"/>
  <c r="I73" i="27"/>
  <c r="I77" i="27"/>
  <c r="I76" i="27"/>
  <c r="I84" i="27"/>
  <c r="G20" i="27"/>
  <c r="Q20" i="27" s="1"/>
  <c r="I41" i="27"/>
  <c r="I81" i="27"/>
  <c r="I55" i="27"/>
  <c r="I82" i="27"/>
  <c r="I45" i="27"/>
  <c r="I49" i="27"/>
  <c r="I64" i="27"/>
  <c r="I72" i="27"/>
  <c r="I79" i="27"/>
  <c r="I71" i="27"/>
  <c r="I68" i="27"/>
  <c r="I66" i="27"/>
  <c r="I63" i="27"/>
  <c r="I60" i="27"/>
  <c r="I58" i="27"/>
  <c r="I50" i="27"/>
  <c r="I52" i="27"/>
  <c r="I44" i="27"/>
  <c r="I30" i="27"/>
  <c r="I46" i="27"/>
  <c r="I51" i="27"/>
  <c r="I54" i="27"/>
  <c r="I59" i="27"/>
  <c r="I62" i="27"/>
  <c r="I67" i="27"/>
  <c r="I70" i="27"/>
  <c r="I75" i="27"/>
  <c r="I78" i="27"/>
  <c r="I83" i="27"/>
  <c r="G29" i="27"/>
  <c r="Q29" i="27" s="1"/>
  <c r="G32" i="27"/>
  <c r="Q32" i="27" s="1"/>
  <c r="I39" i="27"/>
  <c r="I42" i="27"/>
  <c r="E87" i="27"/>
  <c r="P87" i="27" s="1"/>
  <c r="I38" i="27"/>
  <c r="G87" i="27"/>
  <c r="Q87" i="27" s="1"/>
  <c r="I13" i="27"/>
  <c r="I16" i="27"/>
  <c r="I18" i="27"/>
  <c r="I27" i="27"/>
  <c r="I35" i="27"/>
  <c r="I26" i="27"/>
  <c r="I31" i="27"/>
  <c r="I28" i="27"/>
  <c r="E29" i="27"/>
  <c r="P29" i="27" s="1"/>
  <c r="G42" i="26"/>
  <c r="S42" i="26" s="1"/>
  <c r="I46" i="26"/>
  <c r="I48" i="26"/>
  <c r="I50" i="26"/>
  <c r="M13" i="26"/>
  <c r="I17" i="26"/>
  <c r="I19" i="26"/>
  <c r="I38" i="26"/>
  <c r="I81" i="26"/>
  <c r="I85" i="26"/>
  <c r="I89" i="26"/>
  <c r="I91" i="26"/>
  <c r="I77" i="26"/>
  <c r="I82" i="26"/>
  <c r="I86" i="26"/>
  <c r="I90" i="26"/>
  <c r="I55" i="26"/>
  <c r="I59" i="26"/>
  <c r="I64" i="26"/>
  <c r="I69" i="26"/>
  <c r="I15" i="26"/>
  <c r="I54" i="26"/>
  <c r="I56" i="26"/>
  <c r="I63" i="26"/>
  <c r="I67" i="26"/>
  <c r="E44" i="26"/>
  <c r="I12" i="26"/>
  <c r="I92" i="26"/>
  <c r="I41" i="26"/>
  <c r="I94" i="26"/>
  <c r="I40" i="26"/>
  <c r="I60" i="26"/>
  <c r="I65" i="26"/>
  <c r="I78" i="26"/>
  <c r="I83" i="26"/>
  <c r="I87" i="26"/>
  <c r="I16" i="26"/>
  <c r="I18" i="26"/>
  <c r="I20" i="26"/>
  <c r="E42" i="26"/>
  <c r="I53" i="26"/>
  <c r="I57" i="26"/>
  <c r="I62" i="26"/>
  <c r="I79" i="26"/>
  <c r="I88" i="26"/>
  <c r="F14" i="26"/>
  <c r="E14" i="26" s="1"/>
  <c r="I14" i="26" s="1"/>
  <c r="M34" i="26"/>
  <c r="I37" i="26"/>
  <c r="I36" i="26"/>
  <c r="G95" i="26"/>
  <c r="I76" i="26"/>
  <c r="I84" i="26"/>
  <c r="I93" i="26"/>
  <c r="G74" i="26"/>
  <c r="I73" i="26"/>
  <c r="G70" i="26"/>
  <c r="S70" i="26" s="1"/>
  <c r="I52" i="26"/>
  <c r="I58" i="26"/>
  <c r="I66" i="26"/>
  <c r="I43" i="26"/>
  <c r="I45" i="26"/>
  <c r="I47" i="26"/>
  <c r="I49" i="26"/>
  <c r="I35" i="26"/>
  <c r="I23" i="26"/>
  <c r="H96" i="26"/>
  <c r="G34" i="26"/>
  <c r="E95" i="26"/>
  <c r="I22" i="26"/>
  <c r="I24" i="26"/>
  <c r="I26" i="26"/>
  <c r="I32" i="26"/>
  <c r="G51" i="26"/>
  <c r="S51" i="26" s="1"/>
  <c r="I72" i="26"/>
  <c r="I75" i="26"/>
  <c r="I39" i="26"/>
  <c r="E70" i="26"/>
  <c r="R70" i="26" s="1"/>
  <c r="I21" i="26"/>
  <c r="E13" i="26"/>
  <c r="I13" i="26" s="1"/>
  <c r="E74" i="26"/>
  <c r="E20" i="27"/>
  <c r="P20" i="27" s="1"/>
  <c r="E37" i="27"/>
  <c r="P37" i="27" s="1"/>
  <c r="G109" i="27"/>
  <c r="Q109" i="27" s="1"/>
  <c r="I107" i="27"/>
  <c r="E25" i="27"/>
  <c r="P25" i="27" s="1"/>
  <c r="E32" i="27"/>
  <c r="P32" i="27" s="1"/>
  <c r="G25" i="27"/>
  <c r="Q25" i="27" s="1"/>
  <c r="I33" i="27"/>
  <c r="I36" i="27"/>
  <c r="I22" i="27"/>
  <c r="I24" i="27"/>
  <c r="I40" i="27"/>
  <c r="I97" i="27"/>
  <c r="I93" i="27"/>
  <c r="I110" i="27"/>
  <c r="P139" i="27" l="1"/>
  <c r="I109" i="27"/>
  <c r="I92" i="27"/>
  <c r="I95" i="27"/>
  <c r="P145" i="27"/>
  <c r="I103" i="27"/>
  <c r="I143" i="27"/>
  <c r="I42" i="26"/>
  <c r="R42" i="26"/>
  <c r="I44" i="26"/>
  <c r="R44" i="26"/>
  <c r="I139" i="27"/>
  <c r="Q145" i="27"/>
  <c r="I29" i="27"/>
  <c r="I87" i="27"/>
  <c r="I20" i="27"/>
  <c r="M96" i="26"/>
  <c r="G96" i="26"/>
  <c r="F34" i="26"/>
  <c r="F96" i="26" s="1"/>
  <c r="I95" i="26"/>
  <c r="E51" i="26"/>
  <c r="I74" i="26"/>
  <c r="I70" i="26"/>
  <c r="E34" i="26"/>
  <c r="I34" i="26" s="1"/>
  <c r="I32" i="27"/>
  <c r="I37" i="27"/>
  <c r="I25" i="27"/>
  <c r="G150" i="27" l="1"/>
  <c r="G151" i="27" s="1"/>
  <c r="E150" i="27"/>
  <c r="E151" i="27" s="1"/>
  <c r="G100" i="26"/>
  <c r="S96" i="26"/>
  <c r="I51" i="26"/>
  <c r="R51" i="26"/>
  <c r="I145" i="27"/>
  <c r="G147" i="27" s="1"/>
  <c r="E96" i="26"/>
  <c r="I96" i="26"/>
  <c r="I98" i="26" s="1"/>
  <c r="M102" i="24"/>
  <c r="L102" i="24"/>
  <c r="K102" i="24"/>
  <c r="J102" i="24"/>
  <c r="I102" i="24"/>
  <c r="M101" i="24"/>
  <c r="L101" i="24"/>
  <c r="K101" i="24"/>
  <c r="J101" i="24"/>
  <c r="I101" i="24"/>
  <c r="M100" i="24"/>
  <c r="L100" i="24"/>
  <c r="K100" i="24"/>
  <c r="J100" i="24"/>
  <c r="I100" i="24"/>
  <c r="K99" i="24"/>
  <c r="K98" i="24"/>
  <c r="I98" i="24"/>
  <c r="M97" i="24"/>
  <c r="L97" i="24"/>
  <c r="K97" i="24"/>
  <c r="J97" i="24"/>
  <c r="I97" i="24"/>
  <c r="M96" i="24"/>
  <c r="L96" i="24"/>
  <c r="K96" i="24"/>
  <c r="J96" i="24"/>
  <c r="I96" i="24"/>
  <c r="M95" i="24"/>
  <c r="L95" i="24"/>
  <c r="K95" i="24"/>
  <c r="J95" i="24"/>
  <c r="I95" i="24"/>
  <c r="M94" i="24"/>
  <c r="L94" i="24"/>
  <c r="K94" i="24"/>
  <c r="J94" i="24"/>
  <c r="I94" i="24"/>
  <c r="B94" i="24"/>
  <c r="B95" i="24" s="1"/>
  <c r="B96" i="24" s="1"/>
  <c r="B97" i="24" s="1"/>
  <c r="B98" i="24" s="1"/>
  <c r="B101" i="24" s="1"/>
  <c r="B102" i="24" s="1"/>
  <c r="M93" i="24"/>
  <c r="L93" i="24"/>
  <c r="K93" i="24"/>
  <c r="J93" i="24"/>
  <c r="I93" i="24"/>
  <c r="M79" i="24"/>
  <c r="M78" i="24"/>
  <c r="M77" i="24"/>
  <c r="I76" i="24"/>
  <c r="M76" i="24" s="1"/>
  <c r="M75" i="24"/>
  <c r="M74" i="24"/>
  <c r="M73" i="24"/>
  <c r="M72" i="24"/>
  <c r="M71" i="24"/>
  <c r="B71" i="24"/>
  <c r="B72" i="24" s="1"/>
  <c r="B73" i="24" s="1"/>
  <c r="B74" i="24" s="1"/>
  <c r="B75" i="24" s="1"/>
  <c r="B78" i="24" s="1"/>
  <c r="B79" i="24" s="1"/>
  <c r="L70" i="24"/>
  <c r="L98" i="24" s="1"/>
  <c r="K70" i="24"/>
  <c r="J70" i="24"/>
  <c r="J98" i="24" s="1"/>
  <c r="I70" i="24"/>
  <c r="E100" i="26" l="1"/>
  <c r="R96" i="26"/>
  <c r="I147" i="27"/>
  <c r="E147" i="27"/>
  <c r="I150" i="27"/>
  <c r="I151" i="27" s="1"/>
  <c r="E98" i="26"/>
  <c r="G98" i="26"/>
  <c r="M70" i="24"/>
  <c r="M98" i="24" s="1"/>
  <c r="K78" i="7"/>
  <c r="T68" i="6"/>
  <c r="T70" i="6" s="1"/>
  <c r="R64" i="6"/>
  <c r="R67" i="6" s="1"/>
  <c r="R69" i="6" s="1"/>
  <c r="R72" i="6" s="1"/>
  <c r="K59" i="6"/>
  <c r="K56" i="6"/>
  <c r="Q77" i="9" l="1"/>
  <c r="M77" i="9"/>
  <c r="L76" i="9"/>
  <c r="R76" i="9" s="1"/>
  <c r="K76" i="9"/>
  <c r="L75" i="9"/>
  <c r="R75" i="9" s="1"/>
  <c r="K75" i="9"/>
  <c r="L74" i="9"/>
  <c r="L73" i="9" s="1"/>
  <c r="L72" i="9" s="1"/>
  <c r="K74" i="9"/>
  <c r="Q73" i="9"/>
  <c r="P73" i="9"/>
  <c r="N73" i="9"/>
  <c r="J73" i="9"/>
  <c r="I73" i="9"/>
  <c r="I72" i="9" s="1"/>
  <c r="I77" i="9" s="1"/>
  <c r="H73" i="9"/>
  <c r="H72" i="9" s="1"/>
  <c r="G73" i="9"/>
  <c r="G72" i="9" s="1"/>
  <c r="G77" i="9" s="1"/>
  <c r="Q72" i="9"/>
  <c r="P72" i="9"/>
  <c r="N72" i="9"/>
  <c r="M72" i="9"/>
  <c r="J72" i="9"/>
  <c r="L71" i="9"/>
  <c r="R71" i="9" s="1"/>
  <c r="K71" i="9"/>
  <c r="O71" i="9" s="1"/>
  <c r="R68" i="9"/>
  <c r="L68" i="9"/>
  <c r="K68" i="9"/>
  <c r="O68" i="9" s="1"/>
  <c r="L67" i="9"/>
  <c r="R67" i="9" s="1"/>
  <c r="K67" i="9"/>
  <c r="O67" i="9" s="1"/>
  <c r="L66" i="9"/>
  <c r="R66" i="9" s="1"/>
  <c r="K66" i="9"/>
  <c r="R65" i="9"/>
  <c r="O65" i="9"/>
  <c r="L65" i="9"/>
  <c r="K65" i="9"/>
  <c r="R64" i="9"/>
  <c r="L64" i="9"/>
  <c r="K64" i="9"/>
  <c r="O64" i="9" s="1"/>
  <c r="L63" i="9"/>
  <c r="R63" i="9" s="1"/>
  <c r="K63" i="9"/>
  <c r="O63" i="9" s="1"/>
  <c r="L62" i="9"/>
  <c r="R62" i="9" s="1"/>
  <c r="K62" i="9"/>
  <c r="R61" i="9"/>
  <c r="O61" i="9"/>
  <c r="L61" i="9"/>
  <c r="K61" i="9"/>
  <c r="R60" i="9"/>
  <c r="L60" i="9"/>
  <c r="K60" i="9"/>
  <c r="O60" i="9" s="1"/>
  <c r="L58" i="9"/>
  <c r="R58" i="9" s="1"/>
  <c r="K58" i="9"/>
  <c r="R57" i="9"/>
  <c r="O57" i="9"/>
  <c r="L57" i="9"/>
  <c r="K57" i="9"/>
  <c r="R56" i="9"/>
  <c r="L56" i="9"/>
  <c r="K56" i="9"/>
  <c r="O56" i="9" s="1"/>
  <c r="L55" i="9"/>
  <c r="R55" i="9" s="1"/>
  <c r="K55" i="9"/>
  <c r="O55" i="9" s="1"/>
  <c r="L54" i="9"/>
  <c r="R54" i="9" s="1"/>
  <c r="K54" i="9"/>
  <c r="A53" i="9"/>
  <c r="A54" i="9" s="1"/>
  <c r="A55" i="9" s="1"/>
  <c r="A56" i="9" s="1"/>
  <c r="A57" i="9" s="1"/>
  <c r="A58" i="9" s="1"/>
  <c r="A59" i="9" s="1"/>
  <c r="A60" i="9" s="1"/>
  <c r="A61" i="9" s="1"/>
  <c r="A62" i="9" s="1"/>
  <c r="A63" i="9" s="1"/>
  <c r="A64" i="9" s="1"/>
  <c r="A65" i="9" s="1"/>
  <c r="A66" i="9" s="1"/>
  <c r="A67" i="9" s="1"/>
  <c r="A68" i="9" s="1"/>
  <c r="A69" i="9" s="1"/>
  <c r="A70" i="9" s="1"/>
  <c r="A71" i="9" s="1"/>
  <c r="A72" i="9" s="1"/>
  <c r="A73" i="9" s="1"/>
  <c r="A74" i="9" s="1"/>
  <c r="A77" i="9" s="1"/>
  <c r="R52" i="9"/>
  <c r="Q52" i="9"/>
  <c r="P52" i="9"/>
  <c r="P77" i="9" s="1"/>
  <c r="O52" i="9"/>
  <c r="N52" i="9"/>
  <c r="N77" i="9" s="1"/>
  <c r="M52" i="9"/>
  <c r="L52" i="9"/>
  <c r="K52" i="9"/>
  <c r="J52" i="9"/>
  <c r="J77" i="9" s="1"/>
  <c r="I52" i="9"/>
  <c r="H52" i="9"/>
  <c r="G52" i="9"/>
  <c r="G43" i="13"/>
  <c r="H43" i="13" s="1"/>
  <c r="G46" i="13"/>
  <c r="H46" i="13" s="1"/>
  <c r="A69" i="13"/>
  <c r="A70" i="13"/>
  <c r="A71" i="13" s="1"/>
  <c r="A72" i="13" s="1"/>
  <c r="A73" i="13" s="1"/>
  <c r="A74" i="13" s="1"/>
  <c r="A75" i="13" s="1"/>
  <c r="A68" i="13"/>
  <c r="H59" i="13"/>
  <c r="H58" i="13"/>
  <c r="H55" i="13"/>
  <c r="F73" i="13"/>
  <c r="G73" i="13" s="1"/>
  <c r="H73" i="13" s="1"/>
  <c r="G51" i="13"/>
  <c r="H51" i="13" s="1"/>
  <c r="D65" i="13"/>
  <c r="G65" i="13" s="1"/>
  <c r="H65" i="13" s="1"/>
  <c r="D60" i="13"/>
  <c r="G60" i="13" s="1"/>
  <c r="H60" i="13" s="1"/>
  <c r="D54" i="13"/>
  <c r="G75" i="13"/>
  <c r="H75" i="13" s="1"/>
  <c r="G74" i="13"/>
  <c r="H74" i="13" s="1"/>
  <c r="G72" i="13"/>
  <c r="H72" i="13" s="1"/>
  <c r="G71" i="13"/>
  <c r="H71" i="13" s="1"/>
  <c r="G70" i="13"/>
  <c r="H70" i="13" s="1"/>
  <c r="G69" i="13"/>
  <c r="H69" i="13" s="1"/>
  <c r="G68" i="13"/>
  <c r="H68" i="13" s="1"/>
  <c r="G61" i="13"/>
  <c r="H61" i="13" s="1"/>
  <c r="G59" i="13"/>
  <c r="G58" i="13"/>
  <c r="G56" i="13"/>
  <c r="H56" i="13" s="1"/>
  <c r="G54" i="13"/>
  <c r="H54" i="13" s="1"/>
  <c r="G52" i="13"/>
  <c r="H52" i="13" s="1"/>
  <c r="G50" i="13"/>
  <c r="H50" i="13" s="1"/>
  <c r="G49" i="13"/>
  <c r="H49" i="13" s="1"/>
  <c r="G48" i="13"/>
  <c r="H48" i="13" s="1"/>
  <c r="G45" i="13"/>
  <c r="H45" i="13" s="1"/>
  <c r="G41" i="13"/>
  <c r="H41" i="13" s="1"/>
  <c r="I40" i="13"/>
  <c r="E40" i="13"/>
  <c r="H77" i="9" l="1"/>
  <c r="L77" i="9"/>
  <c r="K73" i="9"/>
  <c r="K72" i="9" s="1"/>
  <c r="K77" i="9" s="1"/>
  <c r="O74" i="9"/>
  <c r="O58" i="9"/>
  <c r="O62" i="9"/>
  <c r="O75" i="9"/>
  <c r="O76" i="9"/>
  <c r="O54" i="9"/>
  <c r="O66" i="9"/>
  <c r="R74" i="9"/>
  <c r="R73" i="9" s="1"/>
  <c r="R72" i="9" s="1"/>
  <c r="R77" i="9" s="1"/>
  <c r="F66" i="13"/>
  <c r="G66" i="13" s="1"/>
  <c r="G42" i="13"/>
  <c r="H42" i="13" s="1"/>
  <c r="D57" i="13"/>
  <c r="G57" i="13" s="1"/>
  <c r="H57" i="13" s="1"/>
  <c r="H66" i="13"/>
  <c r="D53" i="13"/>
  <c r="O73" i="9" l="1"/>
  <c r="O72" i="9" s="1"/>
  <c r="O77" i="9" s="1"/>
  <c r="F40" i="13"/>
  <c r="G53" i="13"/>
  <c r="D40" i="13"/>
  <c r="H53" i="13" l="1"/>
  <c r="H40" i="13" s="1"/>
  <c r="G40" i="13"/>
  <c r="H42" i="25" l="1"/>
  <c r="H35" i="25"/>
  <c r="H24" i="25"/>
  <c r="H20" i="25"/>
  <c r="H15" i="25"/>
  <c r="H13" i="25"/>
  <c r="H57" i="25" l="1"/>
  <c r="I36" i="5"/>
  <c r="H36" i="5"/>
  <c r="N40" i="23"/>
  <c r="D40" i="23"/>
  <c r="C40" i="23"/>
  <c r="I8" i="23"/>
  <c r="D78" i="7"/>
  <c r="D77" i="7"/>
  <c r="C78" i="7"/>
  <c r="R58" i="6"/>
  <c r="R60" i="6" s="1"/>
  <c r="M108" i="6"/>
  <c r="D56" i="6"/>
  <c r="E67" i="6"/>
  <c r="E58" i="6"/>
  <c r="D58" i="6"/>
  <c r="H56" i="6" l="1"/>
  <c r="I122" i="6"/>
  <c r="O122" i="6" s="1"/>
  <c r="H122" i="6"/>
  <c r="I121" i="6"/>
  <c r="O121" i="6" s="1"/>
  <c r="H121" i="6"/>
  <c r="I120" i="6"/>
  <c r="O120" i="6" s="1"/>
  <c r="H120" i="6"/>
  <c r="I119" i="6"/>
  <c r="O119" i="6" s="1"/>
  <c r="H119" i="6"/>
  <c r="I118" i="6"/>
  <c r="O118" i="6" s="1"/>
  <c r="H118" i="6"/>
  <c r="N117" i="6"/>
  <c r="M117" i="6"/>
  <c r="L117" i="6"/>
  <c r="K117" i="6"/>
  <c r="J117" i="6"/>
  <c r="G117" i="6"/>
  <c r="F117" i="6"/>
  <c r="E117" i="6"/>
  <c r="D117" i="6"/>
  <c r="I116" i="6"/>
  <c r="O116" i="6" s="1"/>
  <c r="H116" i="6"/>
  <c r="I115" i="6"/>
  <c r="O115" i="6" s="1"/>
  <c r="H115" i="6"/>
  <c r="I114" i="6"/>
  <c r="O114" i="6" s="1"/>
  <c r="H114" i="6"/>
  <c r="M114" i="6" s="1"/>
  <c r="I113" i="6"/>
  <c r="O113" i="6" s="1"/>
  <c r="H113" i="6"/>
  <c r="I112" i="6"/>
  <c r="O112" i="6" s="1"/>
  <c r="H112" i="6"/>
  <c r="I111" i="6"/>
  <c r="O111" i="6" s="1"/>
  <c r="H111" i="6"/>
  <c r="I110" i="6"/>
  <c r="O110" i="6" s="1"/>
  <c r="H110" i="6"/>
  <c r="N109" i="6"/>
  <c r="L109" i="6"/>
  <c r="K109" i="6"/>
  <c r="K106" i="6" s="1"/>
  <c r="J109" i="6"/>
  <c r="G109" i="6"/>
  <c r="F109" i="6"/>
  <c r="E109" i="6"/>
  <c r="D109" i="6"/>
  <c r="I108" i="6"/>
  <c r="O108" i="6" s="1"/>
  <c r="H108" i="6"/>
  <c r="M107" i="6" s="1"/>
  <c r="N107" i="6"/>
  <c r="N106" i="6" s="1"/>
  <c r="L107" i="6"/>
  <c r="L106" i="6" s="1"/>
  <c r="K107" i="6"/>
  <c r="J107" i="6"/>
  <c r="G107" i="6"/>
  <c r="F107" i="6"/>
  <c r="F106" i="6" s="1"/>
  <c r="E107" i="6"/>
  <c r="I107" i="6" s="1"/>
  <c r="O107" i="6" s="1"/>
  <c r="D107" i="6"/>
  <c r="I105" i="6"/>
  <c r="I104" i="6" s="1"/>
  <c r="H105" i="6"/>
  <c r="M105" i="6" s="1"/>
  <c r="M104" i="6" s="1"/>
  <c r="N104" i="6"/>
  <c r="L104" i="6"/>
  <c r="K104" i="6"/>
  <c r="J104" i="6"/>
  <c r="G104" i="6"/>
  <c r="F104" i="6"/>
  <c r="E104" i="6"/>
  <c r="D104" i="6"/>
  <c r="I103" i="6"/>
  <c r="O103" i="6" s="1"/>
  <c r="O102" i="6" s="1"/>
  <c r="H103" i="6"/>
  <c r="M103" i="6" s="1"/>
  <c r="M102" i="6" s="1"/>
  <c r="N102" i="6"/>
  <c r="L102" i="6"/>
  <c r="K102" i="6"/>
  <c r="J102" i="6"/>
  <c r="I102" i="6"/>
  <c r="H102" i="6"/>
  <c r="G102" i="6"/>
  <c r="F102" i="6"/>
  <c r="E102" i="6"/>
  <c r="D102" i="6"/>
  <c r="A102" i="6"/>
  <c r="A104" i="6" s="1"/>
  <c r="A106" i="6" s="1"/>
  <c r="A107" i="6" s="1"/>
  <c r="A109" i="6" s="1"/>
  <c r="A117" i="6" s="1"/>
  <c r="A123" i="6" s="1"/>
  <c r="I101" i="6"/>
  <c r="O101" i="6" s="1"/>
  <c r="H101" i="6"/>
  <c r="M101" i="6" s="1"/>
  <c r="I100" i="6"/>
  <c r="O100" i="6" s="1"/>
  <c r="H100" i="6"/>
  <c r="I99" i="6"/>
  <c r="O99" i="6" s="1"/>
  <c r="H99" i="6"/>
  <c r="I98" i="6"/>
  <c r="O98" i="6" s="1"/>
  <c r="H98" i="6"/>
  <c r="I97" i="6"/>
  <c r="O97" i="6" s="1"/>
  <c r="H97" i="6"/>
  <c r="I96" i="6"/>
  <c r="O96" i="6" s="1"/>
  <c r="H96" i="6"/>
  <c r="I95" i="6"/>
  <c r="O95" i="6" s="1"/>
  <c r="H95" i="6"/>
  <c r="I94" i="6"/>
  <c r="O94" i="6" s="1"/>
  <c r="H94" i="6"/>
  <c r="I93" i="6"/>
  <c r="O93" i="6" s="1"/>
  <c r="H93" i="6"/>
  <c r="M93" i="6" s="1"/>
  <c r="N92" i="6"/>
  <c r="L92" i="6"/>
  <c r="L91" i="6" s="1"/>
  <c r="K92" i="6"/>
  <c r="J92" i="6"/>
  <c r="G92" i="6"/>
  <c r="F92" i="6"/>
  <c r="E92" i="6"/>
  <c r="D92" i="6"/>
  <c r="A92" i="6"/>
  <c r="I90" i="6"/>
  <c r="H90" i="6"/>
  <c r="I89" i="6"/>
  <c r="H89" i="6"/>
  <c r="I88" i="6"/>
  <c r="H88" i="6"/>
  <c r="I87" i="6"/>
  <c r="H87" i="6"/>
  <c r="I86" i="6"/>
  <c r="H86" i="6"/>
  <c r="I85" i="6"/>
  <c r="H85" i="6"/>
  <c r="N84" i="6"/>
  <c r="L84" i="6"/>
  <c r="K84" i="6"/>
  <c r="J84" i="6"/>
  <c r="G84" i="6"/>
  <c r="F84" i="6"/>
  <c r="E84" i="6"/>
  <c r="D84" i="6"/>
  <c r="I83" i="6"/>
  <c r="H83" i="6"/>
  <c r="N82" i="6"/>
  <c r="L82" i="6"/>
  <c r="K82" i="6"/>
  <c r="J82" i="6"/>
  <c r="G82" i="6"/>
  <c r="F82" i="6"/>
  <c r="E82" i="6"/>
  <c r="D82" i="6"/>
  <c r="I81" i="6"/>
  <c r="O81" i="6" s="1"/>
  <c r="H81" i="6"/>
  <c r="M81" i="6" s="1"/>
  <c r="I80" i="6"/>
  <c r="O80" i="6" s="1"/>
  <c r="H80" i="6"/>
  <c r="M80" i="6" s="1"/>
  <c r="I79" i="6"/>
  <c r="O79" i="6" s="1"/>
  <c r="H79" i="6"/>
  <c r="I78" i="6"/>
  <c r="O78" i="6" s="1"/>
  <c r="H78" i="6"/>
  <c r="I77" i="6"/>
  <c r="O77" i="6" s="1"/>
  <c r="H77" i="6"/>
  <c r="I76" i="6"/>
  <c r="O76" i="6" s="1"/>
  <c r="H76" i="6"/>
  <c r="I75" i="6"/>
  <c r="O75" i="6" s="1"/>
  <c r="H75" i="6"/>
  <c r="I74" i="6"/>
  <c r="O74" i="6" s="1"/>
  <c r="H74" i="6"/>
  <c r="M74" i="6" s="1"/>
  <c r="I73" i="6"/>
  <c r="O73" i="6" s="1"/>
  <c r="H73" i="6"/>
  <c r="M73" i="6" s="1"/>
  <c r="I72" i="6"/>
  <c r="O72" i="6" s="1"/>
  <c r="H72" i="6"/>
  <c r="N71" i="6"/>
  <c r="N70" i="6" s="1"/>
  <c r="L71" i="6"/>
  <c r="K71" i="6"/>
  <c r="J71" i="6"/>
  <c r="J70" i="6" s="1"/>
  <c r="G71" i="6"/>
  <c r="G70" i="6" s="1"/>
  <c r="F71" i="6"/>
  <c r="E71" i="6"/>
  <c r="D71" i="6"/>
  <c r="I69" i="6"/>
  <c r="O69" i="6" s="1"/>
  <c r="H69" i="6"/>
  <c r="I68" i="6"/>
  <c r="H68" i="6"/>
  <c r="I67" i="6"/>
  <c r="O67" i="6" s="1"/>
  <c r="H67" i="6"/>
  <c r="I66" i="6"/>
  <c r="O66" i="6" s="1"/>
  <c r="H66" i="6"/>
  <c r="I65" i="6"/>
  <c r="O65" i="6" s="1"/>
  <c r="H65" i="6"/>
  <c r="I64" i="6"/>
  <c r="H64" i="6"/>
  <c r="N63" i="6"/>
  <c r="L63" i="6"/>
  <c r="K63" i="6"/>
  <c r="J63" i="6"/>
  <c r="G63" i="6"/>
  <c r="F63" i="6"/>
  <c r="E63" i="6"/>
  <c r="D63" i="6"/>
  <c r="I62" i="6"/>
  <c r="H62" i="6"/>
  <c r="I61" i="6"/>
  <c r="O61" i="6" s="1"/>
  <c r="H61" i="6"/>
  <c r="I60" i="6"/>
  <c r="O60" i="6" s="1"/>
  <c r="H60" i="6"/>
  <c r="K55" i="6"/>
  <c r="K54" i="6" s="1"/>
  <c r="I59" i="6"/>
  <c r="O59" i="6" s="1"/>
  <c r="H59" i="6"/>
  <c r="I58" i="6"/>
  <c r="O58" i="6" s="1"/>
  <c r="H58" i="6"/>
  <c r="I57" i="6"/>
  <c r="O57" i="6" s="1"/>
  <c r="H57" i="6"/>
  <c r="I56" i="6"/>
  <c r="O56" i="6" s="1"/>
  <c r="N55" i="6"/>
  <c r="N54" i="6" s="1"/>
  <c r="L55" i="6"/>
  <c r="L54" i="6" s="1"/>
  <c r="J55" i="6"/>
  <c r="G55" i="6"/>
  <c r="F55" i="6"/>
  <c r="E55" i="6"/>
  <c r="D55" i="6"/>
  <c r="A54" i="6"/>
  <c r="A55" i="6" s="1"/>
  <c r="A56" i="6" s="1"/>
  <c r="A57" i="6" s="1"/>
  <c r="A58" i="6" s="1"/>
  <c r="A59" i="6" s="1"/>
  <c r="A60" i="6" s="1"/>
  <c r="A61" i="6" s="1"/>
  <c r="A62" i="6" s="1"/>
  <c r="A63" i="6" s="1"/>
  <c r="A64" i="6" s="1"/>
  <c r="A65" i="6" s="1"/>
  <c r="A66" i="6" s="1"/>
  <c r="A67" i="6" s="1"/>
  <c r="A68" i="6" s="1"/>
  <c r="A69" i="6" s="1"/>
  <c r="A70" i="6" s="1"/>
  <c r="A71" i="6" s="1"/>
  <c r="A82" i="6" s="1"/>
  <c r="F54" i="6" l="1"/>
  <c r="M58" i="6"/>
  <c r="J54" i="6"/>
  <c r="H82" i="6"/>
  <c r="M68" i="6"/>
  <c r="E54" i="6"/>
  <c r="M66" i="6"/>
  <c r="I82" i="6"/>
  <c r="O82" i="6" s="1"/>
  <c r="M83" i="6"/>
  <c r="M82" i="6" s="1"/>
  <c r="G106" i="6"/>
  <c r="O117" i="6"/>
  <c r="M98" i="6"/>
  <c r="M100" i="6"/>
  <c r="G91" i="6"/>
  <c r="K91" i="6"/>
  <c r="F70" i="6"/>
  <c r="L70" i="6"/>
  <c r="K70" i="6"/>
  <c r="K123" i="6" s="1"/>
  <c r="E70" i="6"/>
  <c r="H84" i="6"/>
  <c r="M99" i="6"/>
  <c r="M97" i="6"/>
  <c r="M95" i="6"/>
  <c r="M113" i="6"/>
  <c r="D70" i="6"/>
  <c r="M111" i="6"/>
  <c r="M76" i="6"/>
  <c r="O105" i="6"/>
  <c r="O104" i="6" s="1"/>
  <c r="H104" i="6"/>
  <c r="I109" i="6"/>
  <c r="M110" i="6"/>
  <c r="M115" i="6"/>
  <c r="L123" i="6"/>
  <c r="M78" i="6"/>
  <c r="I71" i="6"/>
  <c r="M77" i="6"/>
  <c r="E91" i="6"/>
  <c r="I92" i="6"/>
  <c r="I91" i="6" s="1"/>
  <c r="D54" i="6"/>
  <c r="M67" i="6"/>
  <c r="H63" i="6"/>
  <c r="M62" i="6"/>
  <c r="M61" i="6"/>
  <c r="G54" i="6"/>
  <c r="G123" i="6" s="1"/>
  <c r="D106" i="6"/>
  <c r="H117" i="6"/>
  <c r="E106" i="6"/>
  <c r="O109" i="6"/>
  <c r="H109" i="6"/>
  <c r="M112" i="6"/>
  <c r="M116" i="6"/>
  <c r="D91" i="6"/>
  <c r="H92" i="6"/>
  <c r="H91" i="6" s="1"/>
  <c r="M94" i="6"/>
  <c r="M96" i="6"/>
  <c r="M85" i="6"/>
  <c r="I84" i="6"/>
  <c r="O71" i="6"/>
  <c r="H71" i="6"/>
  <c r="M75" i="6"/>
  <c r="M79" i="6"/>
  <c r="M65" i="6"/>
  <c r="M56" i="6"/>
  <c r="M57" i="6"/>
  <c r="M60" i="6"/>
  <c r="M59" i="6"/>
  <c r="I55" i="6"/>
  <c r="O62" i="6"/>
  <c r="I63" i="6"/>
  <c r="O64" i="6"/>
  <c r="M64" i="6"/>
  <c r="O55" i="6"/>
  <c r="H55" i="6"/>
  <c r="M69" i="6"/>
  <c r="O85" i="6"/>
  <c r="M87" i="6"/>
  <c r="O87" i="6"/>
  <c r="N91" i="6"/>
  <c r="N123" i="6" s="1"/>
  <c r="O68" i="6"/>
  <c r="M72" i="6"/>
  <c r="O83" i="6"/>
  <c r="F91" i="6"/>
  <c r="J91" i="6"/>
  <c r="J106" i="6"/>
  <c r="M86" i="6"/>
  <c r="O86" i="6"/>
  <c r="M88" i="6"/>
  <c r="O88" i="6"/>
  <c r="M90" i="6"/>
  <c r="O90" i="6"/>
  <c r="O92" i="6"/>
  <c r="O91" i="6" s="1"/>
  <c r="M89" i="6"/>
  <c r="O89" i="6"/>
  <c r="H107" i="6"/>
  <c r="I117" i="6"/>
  <c r="J78" i="7"/>
  <c r="J77" i="7" s="1"/>
  <c r="J76" i="7" s="1"/>
  <c r="H91" i="7"/>
  <c r="H90" i="7" s="1"/>
  <c r="G91" i="7"/>
  <c r="M90" i="7"/>
  <c r="M89" i="7" s="1"/>
  <c r="K90" i="7"/>
  <c r="J90" i="7"/>
  <c r="I90" i="7"/>
  <c r="G90" i="7"/>
  <c r="F90" i="7"/>
  <c r="E90" i="7"/>
  <c r="D90" i="7"/>
  <c r="C90" i="7"/>
  <c r="N88" i="7"/>
  <c r="H88" i="7"/>
  <c r="G88" i="7"/>
  <c r="L88" i="7" s="1"/>
  <c r="L87" i="7" s="1"/>
  <c r="L86" i="7" s="1"/>
  <c r="M87" i="7"/>
  <c r="K87" i="7"/>
  <c r="J87" i="7"/>
  <c r="J86" i="7" s="1"/>
  <c r="H87" i="7"/>
  <c r="H86" i="7" s="1"/>
  <c r="F87" i="7"/>
  <c r="F86" i="7" s="1"/>
  <c r="E87" i="7"/>
  <c r="D87" i="7"/>
  <c r="C87" i="7"/>
  <c r="M86" i="7"/>
  <c r="K86" i="7"/>
  <c r="E86" i="7"/>
  <c r="D86" i="7"/>
  <c r="C86" i="7"/>
  <c r="H85" i="7"/>
  <c r="H84" i="7" s="1"/>
  <c r="N84" i="7" s="1"/>
  <c r="G85" i="7"/>
  <c r="M84" i="7"/>
  <c r="K84" i="7"/>
  <c r="J84" i="7"/>
  <c r="I84" i="7"/>
  <c r="G84" i="7"/>
  <c r="F84" i="7"/>
  <c r="E84" i="7"/>
  <c r="D84" i="7"/>
  <c r="C84" i="7"/>
  <c r="H82" i="7"/>
  <c r="N82" i="7" s="1"/>
  <c r="G82" i="7"/>
  <c r="G81" i="7" s="1"/>
  <c r="M81" i="7"/>
  <c r="K81" i="7"/>
  <c r="J81" i="7"/>
  <c r="I81" i="7"/>
  <c r="H81" i="7"/>
  <c r="N81" i="7" s="1"/>
  <c r="F81" i="7"/>
  <c r="E81" i="7"/>
  <c r="D81" i="7"/>
  <c r="C81" i="7"/>
  <c r="H80" i="7"/>
  <c r="C79" i="7"/>
  <c r="M79" i="7"/>
  <c r="M76" i="7" s="1"/>
  <c r="K79" i="7"/>
  <c r="J79" i="7"/>
  <c r="I79" i="7"/>
  <c r="I76" i="7" s="1"/>
  <c r="F79" i="7"/>
  <c r="E79" i="7"/>
  <c r="D79" i="7"/>
  <c r="H78" i="7"/>
  <c r="H77" i="7" s="1"/>
  <c r="G78" i="7"/>
  <c r="G77" i="7" s="1"/>
  <c r="M77" i="7"/>
  <c r="K77" i="7"/>
  <c r="K76" i="7" s="1"/>
  <c r="I77" i="7"/>
  <c r="F77" i="7"/>
  <c r="F76" i="7" s="1"/>
  <c r="E77" i="7"/>
  <c r="C77" i="7"/>
  <c r="H75" i="7"/>
  <c r="L75" i="7" s="1"/>
  <c r="G75" i="7"/>
  <c r="N74" i="7"/>
  <c r="L74" i="7"/>
  <c r="H74" i="7"/>
  <c r="G74" i="7"/>
  <c r="N73" i="7"/>
  <c r="H73" i="7"/>
  <c r="G73" i="7"/>
  <c r="L73" i="7" s="1"/>
  <c r="H72" i="7"/>
  <c r="N72" i="7" s="1"/>
  <c r="N65" i="7" s="1"/>
  <c r="G72" i="7"/>
  <c r="H71" i="7"/>
  <c r="L71" i="7" s="1"/>
  <c r="G71" i="7"/>
  <c r="N70" i="7"/>
  <c r="L70" i="7"/>
  <c r="H70" i="7"/>
  <c r="G70" i="7"/>
  <c r="N69" i="7"/>
  <c r="H69" i="7"/>
  <c r="G69" i="7"/>
  <c r="L69" i="7" s="1"/>
  <c r="H68" i="7"/>
  <c r="N68" i="7" s="1"/>
  <c r="G68" i="7"/>
  <c r="L68" i="7" s="1"/>
  <c r="H67" i="7"/>
  <c r="N67" i="7" s="1"/>
  <c r="G67" i="7"/>
  <c r="N66" i="7"/>
  <c r="L66" i="7"/>
  <c r="H66" i="7"/>
  <c r="G66" i="7"/>
  <c r="M65" i="7"/>
  <c r="K65" i="7"/>
  <c r="J65" i="7"/>
  <c r="I65" i="7"/>
  <c r="F65" i="7"/>
  <c r="E65" i="7"/>
  <c r="D65" i="7"/>
  <c r="C65" i="7"/>
  <c r="H64" i="7"/>
  <c r="N64" i="7" s="1"/>
  <c r="G64" i="7"/>
  <c r="L64" i="7" s="1"/>
  <c r="H63" i="7"/>
  <c r="L63" i="7" s="1"/>
  <c r="G63" i="7"/>
  <c r="H62" i="7"/>
  <c r="N62" i="7" s="1"/>
  <c r="G62" i="7"/>
  <c r="N61" i="7"/>
  <c r="H61" i="7"/>
  <c r="G61" i="7"/>
  <c r="L61" i="7" s="1"/>
  <c r="A61" i="7"/>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M60" i="7"/>
  <c r="K60" i="7"/>
  <c r="K59" i="7" s="1"/>
  <c r="J60" i="7"/>
  <c r="J59" i="7" s="1"/>
  <c r="I60" i="7"/>
  <c r="G60" i="7"/>
  <c r="F60" i="7"/>
  <c r="F59" i="7" s="1"/>
  <c r="E60" i="7"/>
  <c r="D60" i="7"/>
  <c r="D59" i="7" s="1"/>
  <c r="C60" i="7"/>
  <c r="C59" i="7" s="1"/>
  <c r="A60" i="7"/>
  <c r="M59" i="7"/>
  <c r="I59" i="7"/>
  <c r="E59" i="7"/>
  <c r="N32" i="23"/>
  <c r="D31" i="23"/>
  <c r="N10" i="23"/>
  <c r="N31" i="23"/>
  <c r="W35" i="23"/>
  <c r="W33" i="23"/>
  <c r="S47" i="23"/>
  <c r="S46" i="23"/>
  <c r="S45" i="23"/>
  <c r="U39" i="23"/>
  <c r="T39" i="23"/>
  <c r="F123" i="6" l="1"/>
  <c r="O63" i="6"/>
  <c r="K92" i="7"/>
  <c r="J123" i="6"/>
  <c r="N90" i="7"/>
  <c r="N89" i="7" s="1"/>
  <c r="N87" i="7"/>
  <c r="N86" i="7" s="1"/>
  <c r="I87" i="7"/>
  <c r="I86" i="7" s="1"/>
  <c r="G87" i="7"/>
  <c r="G86" i="7" s="1"/>
  <c r="E76" i="7"/>
  <c r="E92" i="7" s="1"/>
  <c r="D76" i="7"/>
  <c r="C76" i="7"/>
  <c r="C92" i="7" s="1"/>
  <c r="L62" i="7"/>
  <c r="L60" i="7" s="1"/>
  <c r="L72" i="7"/>
  <c r="L65" i="7" s="1"/>
  <c r="O106" i="6"/>
  <c r="I70" i="6"/>
  <c r="H70" i="6"/>
  <c r="M92" i="6"/>
  <c r="M91" i="6" s="1"/>
  <c r="I106" i="6"/>
  <c r="M109" i="6"/>
  <c r="M106" i="6" s="1"/>
  <c r="E123" i="6"/>
  <c r="H54" i="6"/>
  <c r="M55" i="6"/>
  <c r="D123" i="6"/>
  <c r="H106" i="6"/>
  <c r="M71" i="6"/>
  <c r="I54" i="6"/>
  <c r="M63" i="6"/>
  <c r="M84" i="6"/>
  <c r="O84" i="6"/>
  <c r="O70" i="6" s="1"/>
  <c r="O54" i="6"/>
  <c r="N60" i="7"/>
  <c r="N59" i="7" s="1"/>
  <c r="N80" i="7"/>
  <c r="H79" i="7"/>
  <c r="N79" i="7" s="1"/>
  <c r="H76" i="7"/>
  <c r="N77" i="7"/>
  <c r="N76" i="7" s="1"/>
  <c r="M92" i="7"/>
  <c r="J92" i="7"/>
  <c r="D92" i="7"/>
  <c r="F92" i="7"/>
  <c r="H60" i="7"/>
  <c r="G65" i="7"/>
  <c r="G59" i="7" s="1"/>
  <c r="L67" i="7"/>
  <c r="N78" i="7"/>
  <c r="L85" i="7"/>
  <c r="L84" i="7" s="1"/>
  <c r="L91" i="7"/>
  <c r="L90" i="7" s="1"/>
  <c r="N63" i="7"/>
  <c r="H65" i="7"/>
  <c r="N71" i="7"/>
  <c r="N75" i="7"/>
  <c r="G80" i="7"/>
  <c r="L82" i="7"/>
  <c r="L81" i="7" s="1"/>
  <c r="N85" i="7"/>
  <c r="N91" i="7"/>
  <c r="L77" i="7"/>
  <c r="L59" i="7" l="1"/>
  <c r="H59" i="7"/>
  <c r="H92" i="7" s="1"/>
  <c r="I123" i="6"/>
  <c r="H123" i="6"/>
  <c r="M54" i="6"/>
  <c r="M70" i="6"/>
  <c r="O123" i="6"/>
  <c r="N92" i="7"/>
  <c r="G79" i="7"/>
  <c r="G76" i="7" s="1"/>
  <c r="G92" i="7" s="1"/>
  <c r="L80" i="7"/>
  <c r="L79" i="7" s="1"/>
  <c r="L76" i="7" s="1"/>
  <c r="L92" i="7" l="1"/>
  <c r="M123" i="6"/>
  <c r="S41" i="23"/>
  <c r="S39" i="23"/>
  <c r="S33" i="23"/>
  <c r="D32" i="23" l="1"/>
  <c r="L39" i="8" l="1"/>
  <c r="K39" i="8"/>
  <c r="G39" i="8"/>
  <c r="F39" i="8"/>
  <c r="E39" i="8"/>
  <c r="D39" i="8"/>
  <c r="M38" i="8"/>
  <c r="I38" i="8"/>
  <c r="H38" i="8"/>
  <c r="J38" i="8" s="1"/>
  <c r="A38" i="8"/>
  <c r="I37" i="8"/>
  <c r="M37" i="8" s="1"/>
  <c r="H37" i="8"/>
  <c r="J37" i="8" s="1"/>
  <c r="A37" i="8"/>
  <c r="I36" i="8"/>
  <c r="M36" i="8" s="1"/>
  <c r="H36" i="8"/>
  <c r="I35" i="8"/>
  <c r="I39" i="8" s="1"/>
  <c r="H35" i="8"/>
  <c r="J36" i="8" l="1"/>
  <c r="H39" i="8"/>
  <c r="J35" i="8"/>
  <c r="J39" i="8" s="1"/>
  <c r="M35" i="8"/>
  <c r="M39" i="8" s="1"/>
  <c r="I48" i="24" l="1"/>
  <c r="J48" i="24"/>
  <c r="K48" i="24"/>
  <c r="L48" i="24"/>
  <c r="I49" i="24"/>
  <c r="J49" i="24"/>
  <c r="K49" i="24"/>
  <c r="L49" i="24"/>
  <c r="I50" i="24"/>
  <c r="J50" i="24"/>
  <c r="K50" i="24"/>
  <c r="L50" i="24"/>
  <c r="J51" i="24"/>
  <c r="K51" i="24"/>
  <c r="L51" i="24"/>
  <c r="I52" i="24"/>
  <c r="J52" i="24"/>
  <c r="K52" i="24"/>
  <c r="K53" i="24"/>
  <c r="I54" i="24"/>
  <c r="K54" i="24"/>
  <c r="L46" i="24"/>
  <c r="K46" i="24"/>
  <c r="J46" i="24"/>
  <c r="I46" i="24"/>
  <c r="K47" i="24"/>
  <c r="L47" i="24"/>
  <c r="I47" i="24"/>
  <c r="B46" i="24"/>
  <c r="B47" i="24" s="1"/>
  <c r="B48" i="24" s="1"/>
  <c r="B49" i="24" s="1"/>
  <c r="B50" i="24" s="1"/>
  <c r="B53" i="24" s="1"/>
  <c r="B54" i="24" s="1"/>
  <c r="Q45" i="24"/>
  <c r="L36" i="24"/>
  <c r="M36" i="24" s="1"/>
  <c r="Q41" i="24"/>
  <c r="P38" i="24"/>
  <c r="I35" i="24"/>
  <c r="M35" i="24" s="1"/>
  <c r="M38" i="24"/>
  <c r="M37" i="24"/>
  <c r="M34" i="24"/>
  <c r="M33" i="24"/>
  <c r="M32" i="24"/>
  <c r="M31" i="24"/>
  <c r="M30" i="24"/>
  <c r="B30" i="24"/>
  <c r="B31" i="24" s="1"/>
  <c r="B32" i="24" s="1"/>
  <c r="B33" i="24" s="1"/>
  <c r="B34" i="24" s="1"/>
  <c r="B37" i="24" s="1"/>
  <c r="B38" i="24" s="1"/>
  <c r="L29" i="24"/>
  <c r="K29" i="24"/>
  <c r="I29" i="24"/>
  <c r="L22" i="24"/>
  <c r="L54" i="24" s="1"/>
  <c r="J22" i="24"/>
  <c r="L21" i="24"/>
  <c r="L53" i="24" s="1"/>
  <c r="J21" i="24"/>
  <c r="J53" i="24" s="1"/>
  <c r="I21" i="24"/>
  <c r="I53" i="24" s="1"/>
  <c r="I45" i="24" s="1"/>
  <c r="I99" i="24" s="1"/>
  <c r="M20" i="24"/>
  <c r="M19" i="24"/>
  <c r="M18" i="24"/>
  <c r="M17" i="24"/>
  <c r="J16" i="24"/>
  <c r="M16" i="24" s="1"/>
  <c r="J15" i="24"/>
  <c r="M15" i="24" s="1"/>
  <c r="B15" i="24"/>
  <c r="B16" i="24" s="1"/>
  <c r="B17" i="24" s="1"/>
  <c r="B18" i="24" s="1"/>
  <c r="B21" i="24" s="1"/>
  <c r="B22" i="24" s="1"/>
  <c r="M14" i="24"/>
  <c r="B14" i="24"/>
  <c r="K13" i="24"/>
  <c r="I13" i="24" l="1"/>
  <c r="L13" i="24"/>
  <c r="M46" i="24"/>
  <c r="L52" i="24"/>
  <c r="M52" i="24" s="1"/>
  <c r="M50" i="24"/>
  <c r="M49" i="24"/>
  <c r="M48" i="24"/>
  <c r="M22" i="24"/>
  <c r="J54" i="24"/>
  <c r="M54" i="24" s="1"/>
  <c r="J47" i="24"/>
  <c r="M47" i="24" s="1"/>
  <c r="I51" i="24"/>
  <c r="M51" i="24" s="1"/>
  <c r="K45" i="24"/>
  <c r="L45" i="24"/>
  <c r="L99" i="24" s="1"/>
  <c r="J45" i="24"/>
  <c r="J99" i="24" s="1"/>
  <c r="M53" i="24"/>
  <c r="M21" i="24"/>
  <c r="M13" i="24" s="1"/>
  <c r="M29" i="24"/>
  <c r="J29" i="24"/>
  <c r="J13" i="24"/>
  <c r="M45" i="24" l="1"/>
  <c r="M99" i="24" s="1"/>
  <c r="D30" i="23"/>
  <c r="C30" i="23"/>
  <c r="O31" i="23"/>
  <c r="O32" i="23"/>
  <c r="O33" i="23"/>
  <c r="O34" i="23"/>
  <c r="O35" i="23"/>
  <c r="O36" i="23"/>
  <c r="O37" i="23"/>
  <c r="O38" i="23"/>
  <c r="O39" i="23"/>
  <c r="O40" i="23"/>
  <c r="O41" i="23"/>
  <c r="O42" i="23"/>
  <c r="O30" i="23"/>
  <c r="E31" i="23"/>
  <c r="N30" i="23"/>
  <c r="N34" i="23"/>
  <c r="N41" i="23"/>
  <c r="D23" i="23"/>
  <c r="C23" i="23"/>
  <c r="D21" i="23"/>
  <c r="C21" i="23"/>
  <c r="E21" i="23"/>
  <c r="E22" i="23"/>
  <c r="F62" i="23" l="1"/>
  <c r="E62" i="23"/>
  <c r="F60" i="23"/>
  <c r="K60" i="23" s="1"/>
  <c r="E60" i="23"/>
  <c r="D60" i="23"/>
  <c r="C60" i="23"/>
  <c r="F58" i="23"/>
  <c r="K58" i="23" s="1"/>
  <c r="E58" i="23"/>
  <c r="F56" i="23"/>
  <c r="E56" i="23"/>
  <c r="K56" i="23" s="1"/>
  <c r="F53" i="23"/>
  <c r="E53" i="23"/>
  <c r="K53" i="23" s="1"/>
  <c r="C53" i="23"/>
  <c r="F52" i="23"/>
  <c r="E52" i="23"/>
  <c r="K52" i="23" s="1"/>
  <c r="D52" i="23"/>
  <c r="C52" i="23"/>
  <c r="E51" i="23"/>
  <c r="F48" i="23"/>
  <c r="E48" i="23"/>
  <c r="F47" i="23"/>
  <c r="E47" i="23"/>
  <c r="K47" i="23" s="1"/>
  <c r="F46" i="23"/>
  <c r="E46" i="23"/>
  <c r="K42" i="23"/>
  <c r="J42" i="23"/>
  <c r="K41" i="23"/>
  <c r="H41" i="23"/>
  <c r="D39" i="23"/>
  <c r="G41" i="23"/>
  <c r="G62" i="23" s="1"/>
  <c r="K40" i="23"/>
  <c r="H40" i="23"/>
  <c r="H58" i="23" s="1"/>
  <c r="G40" i="23"/>
  <c r="D58" i="23"/>
  <c r="K39" i="23"/>
  <c r="F39" i="23"/>
  <c r="E39" i="23"/>
  <c r="C39" i="23"/>
  <c r="K38" i="23"/>
  <c r="J38" i="23"/>
  <c r="H38" i="23"/>
  <c r="G38" i="23"/>
  <c r="K37" i="23"/>
  <c r="H37" i="23"/>
  <c r="H36" i="23" s="1"/>
  <c r="G37" i="23"/>
  <c r="G36" i="23" s="1"/>
  <c r="F36" i="23"/>
  <c r="F32" i="23" s="1"/>
  <c r="E36" i="23"/>
  <c r="K36" i="23" s="1"/>
  <c r="D36" i="23"/>
  <c r="K35" i="23"/>
  <c r="J35" i="23"/>
  <c r="H35" i="23"/>
  <c r="H52" i="23" s="1"/>
  <c r="G35" i="23"/>
  <c r="K34" i="23"/>
  <c r="G34" i="23"/>
  <c r="F33" i="23"/>
  <c r="E33" i="23"/>
  <c r="D51" i="23"/>
  <c r="J31" i="23"/>
  <c r="K30" i="23"/>
  <c r="H30" i="23"/>
  <c r="H46" i="23" s="1"/>
  <c r="C46" i="23"/>
  <c r="E29" i="23"/>
  <c r="K28" i="23"/>
  <c r="J28" i="23"/>
  <c r="H28" i="23"/>
  <c r="G28" i="23"/>
  <c r="K27" i="23"/>
  <c r="J27" i="23"/>
  <c r="H27" i="23"/>
  <c r="H26" i="23" s="1"/>
  <c r="G27" i="23"/>
  <c r="K26" i="23"/>
  <c r="G26" i="23"/>
  <c r="F26" i="23"/>
  <c r="E26" i="23"/>
  <c r="E25" i="23" s="1"/>
  <c r="D26" i="23"/>
  <c r="C26" i="23"/>
  <c r="H24" i="23"/>
  <c r="C50" i="23"/>
  <c r="H23" i="23"/>
  <c r="G23" i="23"/>
  <c r="K22" i="23"/>
  <c r="J22" i="23"/>
  <c r="H22" i="23"/>
  <c r="G22" i="23"/>
  <c r="D20" i="23"/>
  <c r="F20" i="23"/>
  <c r="F19" i="23" s="1"/>
  <c r="F15" i="23" s="1"/>
  <c r="K18" i="23"/>
  <c r="J18" i="23"/>
  <c r="H18" i="23"/>
  <c r="G18" i="23"/>
  <c r="K17" i="23"/>
  <c r="J17" i="23"/>
  <c r="H17" i="23"/>
  <c r="G17" i="23"/>
  <c r="G16" i="23"/>
  <c r="F16" i="23"/>
  <c r="E16" i="23"/>
  <c r="D16" i="23"/>
  <c r="C16" i="23"/>
  <c r="B15" i="23"/>
  <c r="B16" i="23" s="1"/>
  <c r="B17" i="23" s="1"/>
  <c r="B18" i="23" s="1"/>
  <c r="B19" i="23" s="1"/>
  <c r="B20" i="23" s="1"/>
  <c r="B21" i="23" s="1"/>
  <c r="B22" i="23" s="1"/>
  <c r="B23" i="23" s="1"/>
  <c r="B24" i="23" s="1"/>
  <c r="B25" i="23" s="1"/>
  <c r="B26" i="23" s="1"/>
  <c r="B27" i="23" s="1"/>
  <c r="B28" i="23" s="1"/>
  <c r="B29" i="23" s="1"/>
  <c r="B30" i="23" s="1"/>
  <c r="B31" i="23" s="1"/>
  <c r="B32" i="23" s="1"/>
  <c r="B33" i="23" s="1"/>
  <c r="B34" i="23" s="1"/>
  <c r="B35" i="23" s="1"/>
  <c r="B36" i="23" s="1"/>
  <c r="B37" i="23" s="1"/>
  <c r="B38" i="23" s="1"/>
  <c r="B39" i="23" s="1"/>
  <c r="B40" i="23" s="1"/>
  <c r="B41" i="23" s="1"/>
  <c r="B43" i="23" s="1"/>
  <c r="B44" i="23" s="1"/>
  <c r="B45" i="23" s="1"/>
  <c r="B46" i="23" s="1"/>
  <c r="B47" i="23" s="1"/>
  <c r="B48" i="23" s="1"/>
  <c r="B49" i="23" s="1"/>
  <c r="B50" i="23" s="1"/>
  <c r="B51" i="23" s="1"/>
  <c r="B52" i="23" s="1"/>
  <c r="B53" i="23" s="1"/>
  <c r="B54" i="23" s="1"/>
  <c r="B55" i="23" s="1"/>
  <c r="B56" i="23" s="1"/>
  <c r="B57" i="23" s="1"/>
  <c r="B58" i="23" s="1"/>
  <c r="B59" i="23" s="1"/>
  <c r="B60" i="23" s="1"/>
  <c r="B61" i="23" s="1"/>
  <c r="B62" i="23" s="1"/>
  <c r="B14" i="23"/>
  <c r="K48" i="23" l="1"/>
  <c r="E32" i="23"/>
  <c r="H50" i="23"/>
  <c r="K21" i="23"/>
  <c r="J26" i="23"/>
  <c r="G52" i="23"/>
  <c r="C36" i="23"/>
  <c r="J36" i="23" s="1"/>
  <c r="F50" i="23"/>
  <c r="D46" i="23"/>
  <c r="J46" i="23" s="1"/>
  <c r="D29" i="23"/>
  <c r="D25" i="23" s="1"/>
  <c r="G30" i="23"/>
  <c r="G46" i="23" s="1"/>
  <c r="H48" i="23"/>
  <c r="K23" i="23"/>
  <c r="J37" i="23"/>
  <c r="K46" i="23"/>
  <c r="D48" i="23"/>
  <c r="J52" i="23"/>
  <c r="G53" i="23"/>
  <c r="K62" i="23"/>
  <c r="H16" i="23"/>
  <c r="D57" i="23"/>
  <c r="D45" i="23"/>
  <c r="D19" i="23"/>
  <c r="D15" i="23" s="1"/>
  <c r="H21" i="23"/>
  <c r="H20" i="23" s="1"/>
  <c r="E50" i="23"/>
  <c r="K24" i="23"/>
  <c r="E61" i="23"/>
  <c r="F51" i="23"/>
  <c r="K51" i="23" s="1"/>
  <c r="F29" i="23"/>
  <c r="D47" i="23"/>
  <c r="H34" i="23"/>
  <c r="J34" i="23"/>
  <c r="H62" i="23"/>
  <c r="H53" i="23"/>
  <c r="H56" i="23"/>
  <c r="H60" i="23"/>
  <c r="J16" i="23"/>
  <c r="F57" i="23"/>
  <c r="F55" i="23" s="1"/>
  <c r="F45" i="23"/>
  <c r="F44" i="23" s="1"/>
  <c r="J23" i="23"/>
  <c r="K31" i="23"/>
  <c r="G33" i="23"/>
  <c r="G32" i="23" s="1"/>
  <c r="G47" i="23"/>
  <c r="D56" i="23"/>
  <c r="D33" i="23"/>
  <c r="H39" i="23"/>
  <c r="G48" i="23"/>
  <c r="G58" i="23"/>
  <c r="G39" i="23"/>
  <c r="G56" i="23"/>
  <c r="G60" i="23"/>
  <c r="C20" i="23"/>
  <c r="J21" i="23"/>
  <c r="G21" i="23"/>
  <c r="G20" i="23" s="1"/>
  <c r="D61" i="23"/>
  <c r="D50" i="23"/>
  <c r="J24" i="23"/>
  <c r="K32" i="23"/>
  <c r="F61" i="23"/>
  <c r="F59" i="23" s="1"/>
  <c r="G31" i="23"/>
  <c r="G51" i="23" s="1"/>
  <c r="K33" i="23"/>
  <c r="J60" i="23"/>
  <c r="C61" i="23"/>
  <c r="K16" i="23"/>
  <c r="E20" i="23"/>
  <c r="G24" i="23"/>
  <c r="C29" i="23"/>
  <c r="J30" i="23"/>
  <c r="H31" i="23"/>
  <c r="H29" i="23" s="1"/>
  <c r="H25" i="23" s="1"/>
  <c r="C56" i="23"/>
  <c r="C33" i="23"/>
  <c r="J39" i="23"/>
  <c r="C48" i="23"/>
  <c r="C58" i="23"/>
  <c r="J58" i="23" s="1"/>
  <c r="J40" i="23"/>
  <c r="D62" i="23"/>
  <c r="D53" i="23"/>
  <c r="J53" i="23" s="1"/>
  <c r="C47" i="23"/>
  <c r="J47" i="23" s="1"/>
  <c r="C51" i="23"/>
  <c r="J41" i="23"/>
  <c r="C62" i="23"/>
  <c r="J48" i="23" l="1"/>
  <c r="J29" i="23"/>
  <c r="D59" i="23"/>
  <c r="C25" i="23"/>
  <c r="J25" i="23" s="1"/>
  <c r="D49" i="23"/>
  <c r="H61" i="23"/>
  <c r="H59" i="23" s="1"/>
  <c r="F54" i="23"/>
  <c r="G61" i="23"/>
  <c r="G59" i="23" s="1"/>
  <c r="G29" i="23"/>
  <c r="G25" i="23" s="1"/>
  <c r="D14" i="23"/>
  <c r="D13" i="23" s="1"/>
  <c r="J50" i="23"/>
  <c r="G45" i="23"/>
  <c r="G44" i="23" s="1"/>
  <c r="G57" i="23"/>
  <c r="G55" i="23" s="1"/>
  <c r="G19" i="23"/>
  <c r="G15" i="23" s="1"/>
  <c r="K29" i="23"/>
  <c r="F25" i="23"/>
  <c r="E49" i="23"/>
  <c r="K50" i="23"/>
  <c r="J62" i="23"/>
  <c r="J51" i="23"/>
  <c r="C49" i="23"/>
  <c r="J49" i="23" s="1"/>
  <c r="C32" i="23"/>
  <c r="J32" i="23" s="1"/>
  <c r="J33" i="23"/>
  <c r="D55" i="23"/>
  <c r="H57" i="23"/>
  <c r="H55" i="23" s="1"/>
  <c r="H19" i="23"/>
  <c r="H15" i="23" s="1"/>
  <c r="H45" i="23"/>
  <c r="J56" i="23"/>
  <c r="J61" i="23"/>
  <c r="C59" i="23"/>
  <c r="C57" i="23"/>
  <c r="J57" i="23" s="1"/>
  <c r="J20" i="23"/>
  <c r="C45" i="23"/>
  <c r="C19" i="23"/>
  <c r="F49" i="23"/>
  <c r="F43" i="23" s="1"/>
  <c r="H47" i="23"/>
  <c r="H33" i="23"/>
  <c r="H32" i="23" s="1"/>
  <c r="K61" i="23"/>
  <c r="E59" i="23"/>
  <c r="K59" i="23" s="1"/>
  <c r="H51" i="23"/>
  <c r="H49" i="23" s="1"/>
  <c r="E19" i="23"/>
  <c r="E57" i="23"/>
  <c r="K20" i="23"/>
  <c r="E45" i="23"/>
  <c r="G50" i="23"/>
  <c r="G49" i="23" s="1"/>
  <c r="D44" i="23"/>
  <c r="J59" i="23" l="1"/>
  <c r="D54" i="23"/>
  <c r="G54" i="23"/>
  <c r="G14" i="23"/>
  <c r="G13" i="23" s="1"/>
  <c r="I9" i="23" s="1"/>
  <c r="D43" i="23"/>
  <c r="H54" i="23"/>
  <c r="H44" i="23"/>
  <c r="H43" i="23" s="1"/>
  <c r="H14" i="23"/>
  <c r="H13" i="23" s="1"/>
  <c r="K57" i="23"/>
  <c r="E55" i="23"/>
  <c r="K49" i="23"/>
  <c r="K19" i="23"/>
  <c r="E15" i="23"/>
  <c r="J19" i="23"/>
  <c r="C15" i="23"/>
  <c r="K25" i="23"/>
  <c r="F14" i="23"/>
  <c r="F13" i="23" s="1"/>
  <c r="K45" i="23"/>
  <c r="E44" i="23"/>
  <c r="C44" i="23"/>
  <c r="J45" i="23"/>
  <c r="C55" i="23"/>
  <c r="G43" i="23"/>
  <c r="I10" i="23" l="1"/>
  <c r="J44" i="23"/>
  <c r="C43" i="23"/>
  <c r="J43" i="23" s="1"/>
  <c r="E43" i="23"/>
  <c r="K43" i="23" s="1"/>
  <c r="K44" i="23"/>
  <c r="J15" i="23"/>
  <c r="C14" i="23"/>
  <c r="C54" i="23"/>
  <c r="J54" i="23" s="1"/>
  <c r="J55" i="23"/>
  <c r="E54" i="23"/>
  <c r="K54" i="23" s="1"/>
  <c r="K55" i="23"/>
  <c r="K15" i="23"/>
  <c r="E14" i="23"/>
  <c r="K14" i="23" l="1"/>
  <c r="E13" i="23"/>
  <c r="K13" i="23" s="1"/>
  <c r="C13" i="23"/>
  <c r="J13" i="23" s="1"/>
  <c r="J14" i="23"/>
  <c r="C11" i="11" l="1"/>
  <c r="J8" i="15"/>
  <c r="J9" i="15"/>
  <c r="J11" i="15"/>
  <c r="J16" i="15"/>
  <c r="C10" i="22"/>
  <c r="I16" i="15" s="1"/>
  <c r="C16" i="22"/>
  <c r="K16" i="15"/>
  <c r="C10" i="21"/>
  <c r="C11" i="21" s="1"/>
  <c r="F4" i="20"/>
  <c r="F5" i="20"/>
  <c r="F8" i="20" s="1"/>
  <c r="H12" i="15" s="1"/>
  <c r="F6" i="20"/>
  <c r="H13" i="15" s="1"/>
  <c r="F7" i="20"/>
  <c r="H14" i="15"/>
  <c r="D8" i="20"/>
  <c r="E8" i="20"/>
  <c r="F9" i="20"/>
  <c r="F10" i="20"/>
  <c r="F11" i="20"/>
  <c r="I13" i="15"/>
  <c r="F12" i="20"/>
  <c r="I14" i="15" s="1"/>
  <c r="D13" i="20"/>
  <c r="E13" i="20"/>
  <c r="F14" i="20"/>
  <c r="F15" i="20"/>
  <c r="F16" i="20"/>
  <c r="K13" i="15" s="1"/>
  <c r="F17" i="20"/>
  <c r="K14" i="15" s="1"/>
  <c r="D18" i="20"/>
  <c r="E18" i="20"/>
  <c r="D19" i="20"/>
  <c r="E19" i="20"/>
  <c r="F19" i="20"/>
  <c r="D20" i="20"/>
  <c r="E20" i="20"/>
  <c r="F20" i="20" s="1"/>
  <c r="D21" i="20"/>
  <c r="E21" i="20"/>
  <c r="D22" i="20"/>
  <c r="E22" i="20"/>
  <c r="C9" i="19"/>
  <c r="C15" i="19"/>
  <c r="K11" i="15" s="1"/>
  <c r="C7" i="18"/>
  <c r="C10" i="17"/>
  <c r="C14" i="17"/>
  <c r="I9" i="15" s="1"/>
  <c r="C15" i="17"/>
  <c r="C21" i="17"/>
  <c r="C8" i="16"/>
  <c r="I8" i="15" s="1"/>
  <c r="C14" i="16"/>
  <c r="K8" i="15" s="1"/>
  <c r="A8" i="15"/>
  <c r="A9" i="15" s="1"/>
  <c r="A10" i="15" s="1"/>
  <c r="A11" i="15" s="1"/>
  <c r="A12" i="15" s="1"/>
  <c r="A15" i="15" s="1"/>
  <c r="A16" i="15" s="1"/>
  <c r="H8" i="15"/>
  <c r="H9" i="15"/>
  <c r="H10" i="15"/>
  <c r="K10" i="15"/>
  <c r="H11" i="15"/>
  <c r="H15" i="15"/>
  <c r="I15" i="15"/>
  <c r="H16" i="15"/>
  <c r="I10" i="14"/>
  <c r="M10" i="14" s="1"/>
  <c r="L10" i="14"/>
  <c r="N10" i="14" s="1"/>
  <c r="A11" i="14"/>
  <c r="I11" i="14"/>
  <c r="M11" i="14" s="1"/>
  <c r="L11" i="14"/>
  <c r="N11" i="14" s="1"/>
  <c r="A12" i="14"/>
  <c r="A13" i="14" s="1"/>
  <c r="A14" i="14" s="1"/>
  <c r="A15" i="14" s="1"/>
  <c r="I12" i="14"/>
  <c r="M12" i="14"/>
  <c r="L12" i="14"/>
  <c r="N12" i="14" s="1"/>
  <c r="I13" i="14"/>
  <c r="M13" i="14" s="1"/>
  <c r="L13" i="14"/>
  <c r="N13" i="14" s="1"/>
  <c r="I14" i="14"/>
  <c r="M14" i="14" s="1"/>
  <c r="L14" i="14"/>
  <c r="N14" i="14" s="1"/>
  <c r="C15" i="14"/>
  <c r="D15" i="14"/>
  <c r="E15" i="14"/>
  <c r="F15" i="14"/>
  <c r="G15" i="14"/>
  <c r="H15" i="14"/>
  <c r="J15" i="14"/>
  <c r="K15" i="14"/>
  <c r="I28" i="14"/>
  <c r="M28" i="14" s="1"/>
  <c r="L28" i="14"/>
  <c r="N28" i="14" s="1"/>
  <c r="A29" i="14"/>
  <c r="A30" i="14" s="1"/>
  <c r="A31" i="14" s="1"/>
  <c r="A32" i="14" s="1"/>
  <c r="A33" i="14" s="1"/>
  <c r="I29" i="14"/>
  <c r="M29" i="14" s="1"/>
  <c r="L29" i="14"/>
  <c r="N29" i="14" s="1"/>
  <c r="I30" i="14"/>
  <c r="M30" i="14" s="1"/>
  <c r="L30" i="14"/>
  <c r="N30" i="14" s="1"/>
  <c r="I31" i="14"/>
  <c r="M31" i="14" s="1"/>
  <c r="L31" i="14"/>
  <c r="N31" i="14" s="1"/>
  <c r="I32" i="14"/>
  <c r="M32" i="14" s="1"/>
  <c r="L32" i="14"/>
  <c r="N32" i="14" s="1"/>
  <c r="C33" i="14"/>
  <c r="D33" i="14"/>
  <c r="E33" i="14"/>
  <c r="F33" i="14"/>
  <c r="G33" i="14"/>
  <c r="H33" i="14"/>
  <c r="J33" i="14"/>
  <c r="K33" i="14"/>
  <c r="D7" i="13"/>
  <c r="E7" i="13"/>
  <c r="F7" i="13"/>
  <c r="H7" i="13"/>
  <c r="I7" i="13"/>
  <c r="G8" i="13"/>
  <c r="G9" i="13"/>
  <c r="G10" i="13"/>
  <c r="G11" i="13"/>
  <c r="G12" i="13"/>
  <c r="G13" i="13"/>
  <c r="G14" i="13"/>
  <c r="G15" i="13"/>
  <c r="G16" i="13"/>
  <c r="G17" i="13"/>
  <c r="G18" i="13"/>
  <c r="G19" i="13"/>
  <c r="G20" i="13"/>
  <c r="G21" i="13"/>
  <c r="G22" i="13"/>
  <c r="G23" i="13"/>
  <c r="G25" i="13"/>
  <c r="G24" i="13" s="1"/>
  <c r="C6" i="11"/>
  <c r="C15" i="11" s="1"/>
  <c r="D6" i="11"/>
  <c r="D15" i="11" s="1"/>
  <c r="E6" i="11"/>
  <c r="E11" i="11"/>
  <c r="E15" i="11" s="1"/>
  <c r="D6" i="10"/>
  <c r="E6" i="10"/>
  <c r="F7" i="10"/>
  <c r="F8" i="10"/>
  <c r="F9" i="10"/>
  <c r="F10" i="10"/>
  <c r="F11" i="10"/>
  <c r="D12" i="10"/>
  <c r="F12" i="10" s="1"/>
  <c r="E12" i="10"/>
  <c r="F13" i="10"/>
  <c r="F14" i="10"/>
  <c r="F15" i="10"/>
  <c r="D17" i="10"/>
  <c r="F17" i="10" s="1"/>
  <c r="E17" i="10"/>
  <c r="F18" i="10"/>
  <c r="F19" i="10"/>
  <c r="F21" i="10"/>
  <c r="F22" i="10"/>
  <c r="G6" i="9"/>
  <c r="G31" i="9" s="1"/>
  <c r="H6" i="9"/>
  <c r="H31" i="9" s="1"/>
  <c r="I6" i="9"/>
  <c r="I31" i="9" s="1"/>
  <c r="J6" i="9"/>
  <c r="J31" i="9" s="1"/>
  <c r="K6" i="9"/>
  <c r="K31" i="9" s="1"/>
  <c r="L6" i="9"/>
  <c r="L31" i="9" s="1"/>
  <c r="M6" i="9"/>
  <c r="M31" i="9" s="1"/>
  <c r="N6" i="9"/>
  <c r="N31" i="9" s="1"/>
  <c r="O6" i="9"/>
  <c r="O31" i="9"/>
  <c r="P6" i="9"/>
  <c r="P31" i="9"/>
  <c r="Q6" i="9"/>
  <c r="Q31" i="9"/>
  <c r="R6" i="9"/>
  <c r="R31" i="9"/>
  <c r="A7" i="9"/>
  <c r="A8" i="9"/>
  <c r="A9" i="9" s="1"/>
  <c r="A10" i="9" s="1"/>
  <c r="K8" i="9"/>
  <c r="O8" i="9"/>
  <c r="L8" i="9"/>
  <c r="R8" i="9" s="1"/>
  <c r="A11" i="9"/>
  <c r="A12" i="9" s="1"/>
  <c r="A13" i="9" s="1"/>
  <c r="A14" i="9" s="1"/>
  <c r="A15" i="9" s="1"/>
  <c r="A16" i="9" s="1"/>
  <c r="A17" i="9" s="1"/>
  <c r="A18" i="9" s="1"/>
  <c r="A19" i="9" s="1"/>
  <c r="A20" i="9" s="1"/>
  <c r="A21" i="9" s="1"/>
  <c r="A22" i="9" s="1"/>
  <c r="A23" i="9" s="1"/>
  <c r="A24" i="9" s="1"/>
  <c r="A25" i="9" s="1"/>
  <c r="A26" i="9" s="1"/>
  <c r="A27" i="9" s="1"/>
  <c r="A28" i="9" s="1"/>
  <c r="A29" i="9" s="1"/>
  <c r="A30" i="9" s="1"/>
  <c r="A31" i="9" s="1"/>
  <c r="K9" i="9"/>
  <c r="L9" i="9"/>
  <c r="R9" i="9" s="1"/>
  <c r="K10" i="9"/>
  <c r="L10" i="9"/>
  <c r="R10" i="9" s="1"/>
  <c r="K11" i="9"/>
  <c r="O11" i="9" s="1"/>
  <c r="L11" i="9"/>
  <c r="R11" i="9" s="1"/>
  <c r="K12" i="9"/>
  <c r="L12" i="9"/>
  <c r="K14" i="9"/>
  <c r="O14" i="9" s="1"/>
  <c r="L14" i="9"/>
  <c r="R14" i="9" s="1"/>
  <c r="K15" i="9"/>
  <c r="L15" i="9"/>
  <c r="R15" i="9" s="1"/>
  <c r="K16" i="9"/>
  <c r="L16" i="9"/>
  <c r="K17" i="9"/>
  <c r="O17" i="9" s="1"/>
  <c r="L17" i="9"/>
  <c r="K18" i="9"/>
  <c r="L18" i="9"/>
  <c r="R18" i="9" s="1"/>
  <c r="K19" i="9"/>
  <c r="L19" i="9"/>
  <c r="R19" i="9" s="1"/>
  <c r="K20" i="9"/>
  <c r="O20" i="9" s="1"/>
  <c r="L20" i="9"/>
  <c r="R20" i="9" s="1"/>
  <c r="K21" i="9"/>
  <c r="L21" i="9"/>
  <c r="K22" i="9"/>
  <c r="L22" i="9"/>
  <c r="K25" i="9"/>
  <c r="L25" i="9"/>
  <c r="K28" i="9"/>
  <c r="L28" i="9"/>
  <c r="R28" i="9"/>
  <c r="K29" i="9"/>
  <c r="L29" i="9"/>
  <c r="R29" i="9" s="1"/>
  <c r="K30" i="9"/>
  <c r="L30" i="9"/>
  <c r="R30" i="9" s="1"/>
  <c r="H7" i="8"/>
  <c r="J7" i="8" s="1"/>
  <c r="I7" i="8"/>
  <c r="A8" i="8"/>
  <c r="H8" i="8"/>
  <c r="I8" i="8"/>
  <c r="N8" i="8" s="1"/>
  <c r="A9" i="8"/>
  <c r="A10" i="8" s="1"/>
  <c r="A11" i="8" s="1"/>
  <c r="A12" i="8" s="1"/>
  <c r="A13" i="8" s="1"/>
  <c r="A14" i="8" s="1"/>
  <c r="A15" i="8" s="1"/>
  <c r="H9" i="8"/>
  <c r="J9" i="8" s="1"/>
  <c r="I9" i="8"/>
  <c r="H10" i="8"/>
  <c r="I10" i="8"/>
  <c r="N10" i="8" s="1"/>
  <c r="H11" i="8"/>
  <c r="I11" i="8"/>
  <c r="N11" i="8" s="1"/>
  <c r="H12" i="8"/>
  <c r="J12" i="8" s="1"/>
  <c r="I12" i="8"/>
  <c r="N12" i="8" s="1"/>
  <c r="H13" i="8"/>
  <c r="I13" i="8"/>
  <c r="N13" i="8" s="1"/>
  <c r="H14" i="8"/>
  <c r="I14" i="8"/>
  <c r="D15" i="8"/>
  <c r="E15" i="8"/>
  <c r="F15" i="8"/>
  <c r="G15" i="8"/>
  <c r="L15" i="8"/>
  <c r="M15" i="8"/>
  <c r="A9" i="7"/>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C9" i="7"/>
  <c r="C8" i="7"/>
  <c r="C38" i="7" s="1"/>
  <c r="D9" i="7"/>
  <c r="D8" i="7"/>
  <c r="D38" i="7"/>
  <c r="E9" i="7"/>
  <c r="E8" i="7" s="1"/>
  <c r="E38" i="7" s="1"/>
  <c r="F9" i="7"/>
  <c r="F8" i="7" s="1"/>
  <c r="I9" i="7"/>
  <c r="I8" i="7"/>
  <c r="I38" i="7"/>
  <c r="J9" i="7"/>
  <c r="J8" i="7" s="1"/>
  <c r="J38" i="7" s="1"/>
  <c r="K9" i="7"/>
  <c r="K8" i="7"/>
  <c r="K38" i="7"/>
  <c r="N9" i="7"/>
  <c r="N8" i="7"/>
  <c r="N38" i="7"/>
  <c r="G10" i="7"/>
  <c r="G9" i="7" s="1"/>
  <c r="G8" i="7" s="1"/>
  <c r="G38" i="7" s="1"/>
  <c r="H10" i="7"/>
  <c r="G11" i="7"/>
  <c r="H11" i="7"/>
  <c r="L11" i="7" s="1"/>
  <c r="O11" i="7"/>
  <c r="G12" i="7"/>
  <c r="H12" i="7"/>
  <c r="O12" i="7" s="1"/>
  <c r="L12" i="7"/>
  <c r="G13" i="7"/>
  <c r="H13" i="7"/>
  <c r="O13" i="7" s="1"/>
  <c r="G15" i="7"/>
  <c r="H15" i="7"/>
  <c r="L15" i="7" s="1"/>
  <c r="O15" i="7"/>
  <c r="G16" i="7"/>
  <c r="H16" i="7"/>
  <c r="O16" i="7"/>
  <c r="G17" i="7"/>
  <c r="L17" i="7" s="1"/>
  <c r="H17" i="7"/>
  <c r="O17" i="7"/>
  <c r="G18" i="7"/>
  <c r="L18" i="7" s="1"/>
  <c r="H18" i="7"/>
  <c r="O18" i="7" s="1"/>
  <c r="G19" i="7"/>
  <c r="H19" i="7"/>
  <c r="G20" i="7"/>
  <c r="H20" i="7"/>
  <c r="O20" i="7" s="1"/>
  <c r="G21" i="7"/>
  <c r="H21" i="7"/>
  <c r="O21" i="7"/>
  <c r="G22" i="7"/>
  <c r="L22" i="7" s="1"/>
  <c r="H22" i="7"/>
  <c r="O22" i="7"/>
  <c r="G23" i="7"/>
  <c r="L23" i="7" s="1"/>
  <c r="H23" i="7"/>
  <c r="O23" i="7"/>
  <c r="G24" i="7"/>
  <c r="H24" i="7"/>
  <c r="C26" i="7"/>
  <c r="D26" i="7"/>
  <c r="E26" i="7"/>
  <c r="F26" i="7"/>
  <c r="I26" i="7"/>
  <c r="J26" i="7"/>
  <c r="K26" i="7"/>
  <c r="N26" i="7"/>
  <c r="G27" i="7"/>
  <c r="H27" i="7"/>
  <c r="H26" i="7"/>
  <c r="C28" i="7"/>
  <c r="D28" i="7"/>
  <c r="E28" i="7"/>
  <c r="F28" i="7"/>
  <c r="I28" i="7"/>
  <c r="J28" i="7"/>
  <c r="K28" i="7"/>
  <c r="N28" i="7"/>
  <c r="G29" i="7"/>
  <c r="L29" i="7" s="1"/>
  <c r="L28" i="7" s="1"/>
  <c r="H29" i="7"/>
  <c r="C30" i="7"/>
  <c r="D30" i="7"/>
  <c r="E30" i="7"/>
  <c r="F30" i="7"/>
  <c r="I30" i="7"/>
  <c r="J30" i="7"/>
  <c r="K30" i="7"/>
  <c r="N30" i="7"/>
  <c r="G31" i="7"/>
  <c r="H31" i="7"/>
  <c r="H30" i="7" s="1"/>
  <c r="O30" i="7" s="1"/>
  <c r="C33" i="7"/>
  <c r="D33" i="7"/>
  <c r="E33" i="7"/>
  <c r="F33" i="7"/>
  <c r="G33" i="7"/>
  <c r="I33" i="7"/>
  <c r="J33" i="7"/>
  <c r="K33" i="7"/>
  <c r="N33" i="7"/>
  <c r="G34" i="7"/>
  <c r="H34" i="7"/>
  <c r="O34" i="7" s="1"/>
  <c r="H33" i="7"/>
  <c r="C36" i="7"/>
  <c r="D36" i="7"/>
  <c r="E36" i="7"/>
  <c r="F36" i="7"/>
  <c r="I36" i="7"/>
  <c r="J36" i="7"/>
  <c r="K36" i="7"/>
  <c r="N36" i="7"/>
  <c r="G37" i="7"/>
  <c r="G36" i="7" s="1"/>
  <c r="H37" i="7"/>
  <c r="F38" i="7"/>
  <c r="A8" i="6"/>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D9" i="6"/>
  <c r="E9" i="6"/>
  <c r="F9" i="6"/>
  <c r="G9" i="6"/>
  <c r="J9" i="6"/>
  <c r="K9" i="6"/>
  <c r="L9" i="6"/>
  <c r="N9" i="6"/>
  <c r="H10" i="6"/>
  <c r="I10" i="6"/>
  <c r="H11" i="6"/>
  <c r="I11" i="6"/>
  <c r="H12" i="6"/>
  <c r="I12" i="6"/>
  <c r="O12" i="6" s="1"/>
  <c r="H13" i="6"/>
  <c r="I13" i="6"/>
  <c r="O13" i="6" s="1"/>
  <c r="H14" i="6"/>
  <c r="I14" i="6"/>
  <c r="O14" i="6" s="1"/>
  <c r="H15" i="6"/>
  <c r="I15" i="6"/>
  <c r="O15" i="6" s="1"/>
  <c r="H16" i="6"/>
  <c r="I16" i="6"/>
  <c r="H17" i="6"/>
  <c r="I17" i="6"/>
  <c r="O17" i="6" s="1"/>
  <c r="D18" i="6"/>
  <c r="E18" i="6"/>
  <c r="F18" i="6"/>
  <c r="G18" i="6"/>
  <c r="J18" i="6"/>
  <c r="K18" i="6"/>
  <c r="K8" i="6" s="1"/>
  <c r="L18" i="6"/>
  <c r="N18" i="6"/>
  <c r="N8" i="6" s="1"/>
  <c r="H19" i="6"/>
  <c r="I19" i="6"/>
  <c r="O19" i="6" s="1"/>
  <c r="H20" i="6"/>
  <c r="I20" i="6"/>
  <c r="H21" i="6"/>
  <c r="I21" i="6"/>
  <c r="O21" i="6" s="1"/>
  <c r="H22" i="6"/>
  <c r="I22" i="6"/>
  <c r="O22" i="6" s="1"/>
  <c r="H23" i="6"/>
  <c r="I23" i="6"/>
  <c r="O23" i="6" s="1"/>
  <c r="H24" i="6"/>
  <c r="I24" i="6"/>
  <c r="O24" i="6" s="1"/>
  <c r="H25" i="6"/>
  <c r="I25" i="6"/>
  <c r="D27" i="6"/>
  <c r="D26" i="6" s="1"/>
  <c r="E27" i="6"/>
  <c r="E26" i="6" s="1"/>
  <c r="F27" i="6"/>
  <c r="F26" i="6" s="1"/>
  <c r="G27" i="6"/>
  <c r="G26" i="6" s="1"/>
  <c r="J27" i="6"/>
  <c r="J26" i="6" s="1"/>
  <c r="K27" i="6"/>
  <c r="K26" i="6" s="1"/>
  <c r="L27" i="6"/>
  <c r="L26" i="6" s="1"/>
  <c r="N27" i="6"/>
  <c r="N26" i="6" s="1"/>
  <c r="H28" i="6"/>
  <c r="H27" i="6"/>
  <c r="H26" i="6" s="1"/>
  <c r="I28" i="6"/>
  <c r="O28" i="6" s="1"/>
  <c r="O27" i="6" s="1"/>
  <c r="O26" i="6" s="1"/>
  <c r="D30" i="6"/>
  <c r="D29" i="6" s="1"/>
  <c r="E30" i="6"/>
  <c r="E29" i="6" s="1"/>
  <c r="F30" i="6"/>
  <c r="F29" i="6" s="1"/>
  <c r="G30" i="6"/>
  <c r="G29" i="6" s="1"/>
  <c r="J30" i="6"/>
  <c r="J29" i="6" s="1"/>
  <c r="K30" i="6"/>
  <c r="K29" i="6" s="1"/>
  <c r="L30" i="6"/>
  <c r="L29" i="6" s="1"/>
  <c r="N30" i="6"/>
  <c r="N29" i="6" s="1"/>
  <c r="H31" i="6"/>
  <c r="I31" i="6"/>
  <c r="O31" i="6" s="1"/>
  <c r="O30" i="6" s="1"/>
  <c r="O29" i="6" s="1"/>
  <c r="D33" i="6"/>
  <c r="D32" i="6" s="1"/>
  <c r="E33" i="6"/>
  <c r="E32" i="6" s="1"/>
  <c r="F33" i="6"/>
  <c r="F32" i="6" s="1"/>
  <c r="G33" i="6"/>
  <c r="G32" i="6" s="1"/>
  <c r="J33" i="6"/>
  <c r="J32" i="6" s="1"/>
  <c r="K33" i="6"/>
  <c r="K32" i="6" s="1"/>
  <c r="L33" i="6"/>
  <c r="L32" i="6" s="1"/>
  <c r="N33" i="6"/>
  <c r="N32" i="6" s="1"/>
  <c r="H34" i="6"/>
  <c r="H33" i="6" s="1"/>
  <c r="H32" i="6" s="1"/>
  <c r="I34" i="6"/>
  <c r="G10" i="5"/>
  <c r="G11" i="5"/>
  <c r="G12" i="5" s="1"/>
  <c r="G13" i="5"/>
  <c r="G14" i="5" s="1"/>
  <c r="G15" i="5" s="1"/>
  <c r="G16" i="5" s="1"/>
  <c r="G17" i="5" s="1"/>
  <c r="G18" i="5" s="1"/>
  <c r="G19" i="5" s="1"/>
  <c r="G20" i="5" s="1"/>
  <c r="G21" i="5" s="1"/>
  <c r="G22" i="5" s="1"/>
  <c r="G23" i="5" s="1"/>
  <c r="G24" i="5" s="1"/>
  <c r="G25" i="5" s="1"/>
  <c r="G26" i="5" s="1"/>
  <c r="G27" i="5" s="1"/>
  <c r="G28" i="5" s="1"/>
  <c r="G29" i="5" s="1"/>
  <c r="G30" i="5" s="1"/>
  <c r="G31" i="5" s="1"/>
  <c r="G32" i="5" s="1"/>
  <c r="G33" i="5" s="1"/>
  <c r="G34" i="5" s="1"/>
  <c r="G35" i="5" s="1"/>
  <c r="G36" i="5" s="1"/>
  <c r="G37" i="5" s="1"/>
  <c r="G39" i="5" s="1"/>
  <c r="G40" i="5" s="1"/>
  <c r="G41" i="5" s="1"/>
  <c r="G42" i="5" s="1"/>
  <c r="G43" i="5" s="1"/>
  <c r="G44" i="5" s="1"/>
  <c r="G45" i="5" s="1"/>
  <c r="G46" i="5" s="1"/>
  <c r="G47" i="5" s="1"/>
  <c r="G48" i="5" s="1"/>
  <c r="G49" i="5" s="1"/>
  <c r="G50" i="5" s="1"/>
  <c r="G51" i="5" s="1"/>
  <c r="G52" i="5" s="1"/>
  <c r="G53" i="5" s="1"/>
  <c r="G54" i="5" s="1"/>
  <c r="G55" i="5" s="1"/>
  <c r="G56" i="5" s="1"/>
  <c r="G57" i="5" s="1"/>
  <c r="G58" i="5" s="1"/>
  <c r="H12" i="5"/>
  <c r="I12" i="5"/>
  <c r="J12" i="5"/>
  <c r="K12" i="5"/>
  <c r="L13" i="5"/>
  <c r="M13" i="5"/>
  <c r="L14" i="5"/>
  <c r="M14" i="5"/>
  <c r="M46" i="5" s="1"/>
  <c r="H16" i="5"/>
  <c r="H41" i="5" s="1"/>
  <c r="H15" i="5"/>
  <c r="I16" i="5"/>
  <c r="I15" i="5" s="1"/>
  <c r="I11" i="5" s="1"/>
  <c r="J16" i="5"/>
  <c r="J53" i="5" s="1"/>
  <c r="K16" i="5"/>
  <c r="L17" i="5"/>
  <c r="M17" i="5"/>
  <c r="L18" i="5"/>
  <c r="M18" i="5"/>
  <c r="L19" i="5"/>
  <c r="M19" i="5"/>
  <c r="L20" i="5"/>
  <c r="L46" i="5" s="1"/>
  <c r="M20" i="5"/>
  <c r="H22" i="5"/>
  <c r="I22" i="5"/>
  <c r="J22" i="5"/>
  <c r="K22" i="5"/>
  <c r="L23" i="5"/>
  <c r="L42" i="5" s="1"/>
  <c r="M23" i="5"/>
  <c r="M22" i="5"/>
  <c r="L24" i="5"/>
  <c r="L22" i="5"/>
  <c r="M24" i="5"/>
  <c r="H25" i="5"/>
  <c r="I25" i="5"/>
  <c r="I21" i="5" s="1"/>
  <c r="J25" i="5"/>
  <c r="J21" i="5" s="1"/>
  <c r="K25" i="5"/>
  <c r="K21" i="5" s="1"/>
  <c r="L26" i="5"/>
  <c r="M26" i="5"/>
  <c r="L27" i="5"/>
  <c r="L47" i="5" s="1"/>
  <c r="M27" i="5"/>
  <c r="M47" i="5" s="1"/>
  <c r="H29" i="5"/>
  <c r="H28" i="5" s="1"/>
  <c r="I29" i="5"/>
  <c r="J29" i="5"/>
  <c r="K29" i="5"/>
  <c r="L30" i="5"/>
  <c r="L29" i="5" s="1"/>
  <c r="L28" i="5" s="1"/>
  <c r="M30" i="5"/>
  <c r="L31" i="5"/>
  <c r="L56" i="5" s="1"/>
  <c r="M31" i="5"/>
  <c r="M48" i="5"/>
  <c r="H32" i="5"/>
  <c r="I32" i="5"/>
  <c r="J32" i="5"/>
  <c r="J28" i="5" s="1"/>
  <c r="K32" i="5"/>
  <c r="L33" i="5"/>
  <c r="L32" i="5" s="1"/>
  <c r="M33" i="5"/>
  <c r="M32" i="5"/>
  <c r="L34" i="5"/>
  <c r="L48" i="5"/>
  <c r="M34" i="5"/>
  <c r="H35" i="5"/>
  <c r="I35" i="5"/>
  <c r="J35" i="5"/>
  <c r="K35" i="5"/>
  <c r="L36" i="5"/>
  <c r="L54" i="5" s="1"/>
  <c r="M36" i="5"/>
  <c r="M44" i="5" s="1"/>
  <c r="L37" i="5"/>
  <c r="M37" i="5"/>
  <c r="I41" i="5"/>
  <c r="H42" i="5"/>
  <c r="I42" i="5"/>
  <c r="J42" i="5"/>
  <c r="K42" i="5"/>
  <c r="H43" i="5"/>
  <c r="I43" i="5"/>
  <c r="J43" i="5"/>
  <c r="K43" i="5"/>
  <c r="H44" i="5"/>
  <c r="I44" i="5"/>
  <c r="J44" i="5"/>
  <c r="K44" i="5"/>
  <c r="H46" i="5"/>
  <c r="I46" i="5"/>
  <c r="J46" i="5"/>
  <c r="K46" i="5"/>
  <c r="H47" i="5"/>
  <c r="I47" i="5"/>
  <c r="J47" i="5"/>
  <c r="K47" i="5"/>
  <c r="K45" i="5" s="1"/>
  <c r="H48" i="5"/>
  <c r="I48" i="5"/>
  <c r="J48" i="5"/>
  <c r="K48" i="5"/>
  <c r="H49" i="5"/>
  <c r="I49" i="5"/>
  <c r="J49" i="5"/>
  <c r="K49" i="5"/>
  <c r="H52" i="5"/>
  <c r="I52" i="5"/>
  <c r="J52" i="5"/>
  <c r="K52" i="5"/>
  <c r="I53" i="5"/>
  <c r="H54" i="5"/>
  <c r="I54" i="5"/>
  <c r="J54" i="5"/>
  <c r="K54" i="5"/>
  <c r="H56" i="5"/>
  <c r="I56" i="5"/>
  <c r="J56" i="5"/>
  <c r="K56" i="5"/>
  <c r="H57" i="5"/>
  <c r="I57" i="5"/>
  <c r="J57" i="5"/>
  <c r="J55" i="5" s="1"/>
  <c r="K57" i="5"/>
  <c r="H58" i="5"/>
  <c r="I58" i="5"/>
  <c r="J58" i="5"/>
  <c r="K58" i="5"/>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2" i="4"/>
  <c r="E103" i="4"/>
  <c r="E104" i="4"/>
  <c r="E105" i="4"/>
  <c r="E106" i="4"/>
  <c r="E107" i="4"/>
  <c r="E108" i="4"/>
  <c r="E109" i="4"/>
  <c r="E110" i="4"/>
  <c r="E111" i="4"/>
  <c r="E112" i="4"/>
  <c r="E113" i="4"/>
  <c r="E114" i="4"/>
  <c r="E115" i="4"/>
  <c r="E117" i="4"/>
  <c r="E118" i="4"/>
  <c r="D5" i="3"/>
  <c r="D6" i="3"/>
  <c r="D7" i="3"/>
  <c r="D12" i="3" s="1"/>
  <c r="D8" i="3"/>
  <c r="D9" i="3"/>
  <c r="D10" i="3"/>
  <c r="D11" i="3"/>
  <c r="B12" i="3"/>
  <c r="C12" i="3"/>
  <c r="D7" i="2"/>
  <c r="E7" i="2"/>
  <c r="E48" i="2" s="1"/>
  <c r="D12" i="2"/>
  <c r="E12" i="2"/>
  <c r="D17" i="2"/>
  <c r="E17" i="2"/>
  <c r="D23" i="2"/>
  <c r="E23" i="2"/>
  <c r="D27" i="2"/>
  <c r="E27" i="2"/>
  <c r="D36" i="2"/>
  <c r="E36" i="2"/>
  <c r="D43" i="2"/>
  <c r="E43" i="2"/>
  <c r="D46" i="2"/>
  <c r="E46" i="2"/>
  <c r="D50" i="2"/>
  <c r="E50" i="2"/>
  <c r="E86" i="2" s="1"/>
  <c r="D54" i="2"/>
  <c r="E54" i="2"/>
  <c r="D59" i="2"/>
  <c r="E59" i="2"/>
  <c r="D64" i="2"/>
  <c r="E64" i="2"/>
  <c r="D72" i="2"/>
  <c r="E72" i="2"/>
  <c r="D80" i="2"/>
  <c r="E80" i="2"/>
  <c r="D84" i="2"/>
  <c r="E84" i="2"/>
  <c r="D8" i="1"/>
  <c r="D7" i="1" s="1"/>
  <c r="E8" i="1"/>
  <c r="D16" i="1"/>
  <c r="E16" i="1"/>
  <c r="D27" i="1"/>
  <c r="E27" i="1"/>
  <c r="D35" i="1"/>
  <c r="E35" i="1"/>
  <c r="D48" i="1"/>
  <c r="D47" i="1" s="1"/>
  <c r="E48" i="1"/>
  <c r="D58" i="1"/>
  <c r="E58" i="1"/>
  <c r="D78" i="1"/>
  <c r="E78" i="1"/>
  <c r="D87" i="1"/>
  <c r="E87" i="1"/>
  <c r="D94" i="1"/>
  <c r="D93" i="1" s="1"/>
  <c r="E94" i="1"/>
  <c r="E93" i="1" s="1"/>
  <c r="D98" i="1"/>
  <c r="E98" i="1"/>
  <c r="D105" i="1"/>
  <c r="E105" i="1"/>
  <c r="E102" i="1" s="1"/>
  <c r="D113" i="1"/>
  <c r="E113" i="1"/>
  <c r="D137" i="1"/>
  <c r="E137" i="1"/>
  <c r="N9" i="8"/>
  <c r="H53" i="5"/>
  <c r="H51" i="5" s="1"/>
  <c r="M42" i="5"/>
  <c r="I27" i="6"/>
  <c r="I26" i="6" s="1"/>
  <c r="G28" i="7"/>
  <c r="K15" i="15"/>
  <c r="O25" i="6"/>
  <c r="G30" i="7"/>
  <c r="G26" i="7"/>
  <c r="L27" i="7"/>
  <c r="L26" i="7" s="1"/>
  <c r="L34" i="7"/>
  <c r="L33" i="7" s="1"/>
  <c r="R17" i="9"/>
  <c r="C25" i="17"/>
  <c r="M58" i="5"/>
  <c r="L43" i="5"/>
  <c r="N7" i="8"/>
  <c r="O28" i="9"/>
  <c r="D102" i="1"/>
  <c r="M43" i="5"/>
  <c r="M29" i="5"/>
  <c r="M28" i="5"/>
  <c r="L12" i="5"/>
  <c r="M12" i="5"/>
  <c r="O24" i="7"/>
  <c r="L16" i="7"/>
  <c r="M54" i="5"/>
  <c r="M25" i="5"/>
  <c r="M21" i="5" s="1"/>
  <c r="O10" i="6"/>
  <c r="M52" i="5"/>
  <c r="K28" i="5"/>
  <c r="L20" i="7"/>
  <c r="O15" i="9"/>
  <c r="O27" i="7"/>
  <c r="L8" i="15" l="1"/>
  <c r="L15" i="14"/>
  <c r="M33" i="14"/>
  <c r="N15" i="14"/>
  <c r="I33" i="14"/>
  <c r="N33" i="14"/>
  <c r="L33" i="14"/>
  <c r="F6" i="10"/>
  <c r="J13" i="8"/>
  <c r="H15" i="8"/>
  <c r="I15" i="8"/>
  <c r="J11" i="8"/>
  <c r="J10" i="8"/>
  <c r="L24" i="7"/>
  <c r="L31" i="7"/>
  <c r="L30" i="7" s="1"/>
  <c r="O33" i="7"/>
  <c r="O26" i="7"/>
  <c r="L37" i="7"/>
  <c r="L36" i="7" s="1"/>
  <c r="L21" i="7"/>
  <c r="M28" i="6"/>
  <c r="M27" i="6" s="1"/>
  <c r="M26" i="6" s="1"/>
  <c r="M14" i="6"/>
  <c r="M12" i="6"/>
  <c r="M10" i="6"/>
  <c r="M15" i="6"/>
  <c r="M25" i="6"/>
  <c r="J8" i="6"/>
  <c r="J35" i="6" s="1"/>
  <c r="F8" i="6"/>
  <c r="D8" i="6"/>
  <c r="D35" i="6" s="1"/>
  <c r="M23" i="6"/>
  <c r="M19" i="6"/>
  <c r="E23" i="20"/>
  <c r="C15" i="16"/>
  <c r="L15" i="15"/>
  <c r="C16" i="19"/>
  <c r="J7" i="15"/>
  <c r="F18" i="20"/>
  <c r="K12" i="15" s="1"/>
  <c r="F13" i="20"/>
  <c r="I12" i="15" s="1"/>
  <c r="F21" i="20"/>
  <c r="C17" i="22"/>
  <c r="L16" i="15"/>
  <c r="L14" i="15"/>
  <c r="H7" i="15"/>
  <c r="D86" i="2"/>
  <c r="D48" i="2"/>
  <c r="D91" i="1"/>
  <c r="E47" i="1"/>
  <c r="E141" i="1"/>
  <c r="E7" i="1"/>
  <c r="O25" i="9"/>
  <c r="O22" i="9"/>
  <c r="O19" i="9"/>
  <c r="O9" i="9"/>
  <c r="R22" i="9"/>
  <c r="O30" i="9"/>
  <c r="O29" i="9"/>
  <c r="R25" i="9"/>
  <c r="O18" i="9"/>
  <c r="O10" i="9"/>
  <c r="G7" i="13"/>
  <c r="M13" i="6"/>
  <c r="I30" i="6"/>
  <c r="I29" i="6" s="1"/>
  <c r="M31" i="6"/>
  <c r="M30" i="6" s="1"/>
  <c r="M29" i="6" s="1"/>
  <c r="N35" i="6"/>
  <c r="G8" i="6"/>
  <c r="G35" i="6" s="1"/>
  <c r="M24" i="6"/>
  <c r="I18" i="6"/>
  <c r="K35" i="6"/>
  <c r="E8" i="6"/>
  <c r="E35" i="6" s="1"/>
  <c r="H9" i="6"/>
  <c r="I45" i="5"/>
  <c r="I39" i="5" s="1"/>
  <c r="H55" i="5"/>
  <c r="I40" i="5"/>
  <c r="M35" i="5"/>
  <c r="L35" i="5"/>
  <c r="I28" i="5"/>
  <c r="I10" i="5" s="1"/>
  <c r="I9" i="5" s="1"/>
  <c r="M57" i="5"/>
  <c r="H40" i="5"/>
  <c r="K55" i="5"/>
  <c r="H45" i="5"/>
  <c r="M16" i="5"/>
  <c r="M41" i="5" s="1"/>
  <c r="M40" i="5" s="1"/>
  <c r="L16" i="5"/>
  <c r="L15" i="5" s="1"/>
  <c r="L11" i="5" s="1"/>
  <c r="I51" i="5"/>
  <c r="F35" i="6"/>
  <c r="O10" i="7"/>
  <c r="O9" i="7" s="1"/>
  <c r="O8" i="7" s="1"/>
  <c r="O38" i="7" s="1"/>
  <c r="H9" i="7"/>
  <c r="H8" i="7" s="1"/>
  <c r="H38" i="7" s="1"/>
  <c r="L10" i="7"/>
  <c r="R12" i="9"/>
  <c r="O12" i="9"/>
  <c r="O31" i="7"/>
  <c r="M49" i="5"/>
  <c r="M45" i="5" s="1"/>
  <c r="E87" i="2"/>
  <c r="E89" i="2" s="1"/>
  <c r="D141" i="1"/>
  <c r="J51" i="5"/>
  <c r="J50" i="5" s="1"/>
  <c r="J45" i="5"/>
  <c r="L44" i="5"/>
  <c r="L49" i="5"/>
  <c r="L45" i="5" s="1"/>
  <c r="L58" i="5"/>
  <c r="L25" i="5"/>
  <c r="L21" i="5" s="1"/>
  <c r="H21" i="5"/>
  <c r="K53" i="5"/>
  <c r="K51" i="5" s="1"/>
  <c r="K41" i="5"/>
  <c r="K40" i="5" s="1"/>
  <c r="K39" i="5" s="1"/>
  <c r="K15" i="5"/>
  <c r="K11" i="5" s="1"/>
  <c r="K10" i="5" s="1"/>
  <c r="K9" i="5" s="1"/>
  <c r="H11" i="5"/>
  <c r="H10" i="5" s="1"/>
  <c r="H9" i="5" s="1"/>
  <c r="M22" i="6"/>
  <c r="H18" i="6"/>
  <c r="O11" i="6"/>
  <c r="M11" i="6"/>
  <c r="I9" i="6"/>
  <c r="H36" i="7"/>
  <c r="O36" i="7" s="1"/>
  <c r="O37" i="7"/>
  <c r="O19" i="7"/>
  <c r="L19" i="7"/>
  <c r="O16" i="9"/>
  <c r="R16" i="9"/>
  <c r="J8" i="8"/>
  <c r="M17" i="6"/>
  <c r="I15" i="14"/>
  <c r="I55" i="5"/>
  <c r="J15" i="5"/>
  <c r="J11" i="5" s="1"/>
  <c r="J10" i="5" s="1"/>
  <c r="J9" i="5" s="1"/>
  <c r="J41" i="5"/>
  <c r="J40" i="5" s="1"/>
  <c r="J39" i="5" s="1"/>
  <c r="I33" i="6"/>
  <c r="I32" i="6" s="1"/>
  <c r="O34" i="6"/>
  <c r="O33" i="6" s="1"/>
  <c r="O32" i="6" s="1"/>
  <c r="M34" i="6"/>
  <c r="M33" i="6" s="1"/>
  <c r="M32" i="6" s="1"/>
  <c r="H30" i="6"/>
  <c r="H29" i="6" s="1"/>
  <c r="O16" i="6"/>
  <c r="M16" i="6"/>
  <c r="H28" i="7"/>
  <c r="O28" i="7" s="1"/>
  <c r="O29" i="7"/>
  <c r="L13" i="15"/>
  <c r="L41" i="5"/>
  <c r="O20" i="6"/>
  <c r="O18" i="6" s="1"/>
  <c r="M20" i="6"/>
  <c r="M56" i="5"/>
  <c r="M55" i="5" s="1"/>
  <c r="C26" i="17"/>
  <c r="K9" i="15"/>
  <c r="M15" i="14"/>
  <c r="H50" i="5"/>
  <c r="L52" i="5"/>
  <c r="L57" i="5"/>
  <c r="L55" i="5" s="1"/>
  <c r="M21" i="6"/>
  <c r="N14" i="8"/>
  <c r="N15" i="8" s="1"/>
  <c r="J14" i="8"/>
  <c r="O21" i="9"/>
  <c r="R21" i="9"/>
  <c r="I10" i="15"/>
  <c r="L10" i="15" s="1"/>
  <c r="C9" i="18"/>
  <c r="D23" i="20"/>
  <c r="F22" i="20"/>
  <c r="I11" i="15"/>
  <c r="L11" i="15" s="1"/>
  <c r="L8" i="6"/>
  <c r="L35" i="6" s="1"/>
  <c r="L13" i="7"/>
  <c r="J15" i="8" l="1"/>
  <c r="M9" i="6"/>
  <c r="L12" i="15"/>
  <c r="F23" i="20"/>
  <c r="D87" i="2"/>
  <c r="D89" i="2" s="1"/>
  <c r="D92" i="2" s="1"/>
  <c r="E91" i="1"/>
  <c r="I8" i="6"/>
  <c r="I35" i="6" s="1"/>
  <c r="O9" i="6"/>
  <c r="O8" i="6" s="1"/>
  <c r="O35" i="6" s="1"/>
  <c r="H8" i="6"/>
  <c r="H35" i="6" s="1"/>
  <c r="L53" i="5"/>
  <c r="L40" i="5"/>
  <c r="L39" i="5" s="1"/>
  <c r="K50" i="5"/>
  <c r="H39" i="5"/>
  <c r="L10" i="5"/>
  <c r="L9" i="5" s="1"/>
  <c r="M53" i="5"/>
  <c r="M51" i="5" s="1"/>
  <c r="M50" i="5" s="1"/>
  <c r="M15" i="5"/>
  <c r="M11" i="5" s="1"/>
  <c r="M10" i="5" s="1"/>
  <c r="M9" i="5" s="1"/>
  <c r="M39" i="5"/>
  <c r="I50" i="5"/>
  <c r="M18" i="6"/>
  <c r="L9" i="7"/>
  <c r="L8" i="7" s="1"/>
  <c r="L38" i="7" s="1"/>
  <c r="D91" i="2"/>
  <c r="K7" i="15"/>
  <c r="L9" i="15"/>
  <c r="L7" i="15" s="1"/>
  <c r="I7" i="15"/>
  <c r="L51" i="5"/>
  <c r="L50" i="5" s="1"/>
  <c r="M8" i="6" l="1"/>
  <c r="M35" i="6" s="1"/>
</calcChain>
</file>

<file path=xl/sharedStrings.xml><?xml version="1.0" encoding="utf-8"?>
<sst xmlns="http://schemas.openxmlformats.org/spreadsheetml/2006/main" count="4983" uniqueCount="1924">
  <si>
    <t>AKTIVA</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</si>
  <si>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</si>
  <si>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</si>
  <si>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</si>
  <si>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</si>
  <si>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</si>
  <si>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</si>
  <si>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</si>
  <si>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</si>
  <si>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</si>
  <si>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</si>
  <si>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</si>
  <si>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</si>
  <si>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</si>
  <si>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</si>
  <si>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</si>
  <si>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</si>
  <si>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</si>
  <si>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</si>
  <si>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</si>
  <si>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</si>
  <si>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</si>
  <si>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</si>
  <si>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</si>
  <si>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</si>
  <si>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</si>
  <si>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</si>
  <si>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</si>
  <si>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</si>
  <si>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</si>
  <si>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</si>
  <si>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</si>
  <si>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</si>
  <si>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</si>
  <si>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</si>
  <si>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</si>
  <si>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</si>
  <si>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</si>
  <si>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</si>
  <si>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</si>
  <si>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</si>
  <si>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</si>
  <si>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</si>
  <si>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</si>
  <si>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</si>
  <si>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</si>
  <si>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</si>
  <si>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</si>
  <si>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</si>
  <si>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</si>
  <si>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</si>
  <si>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</si>
  <si>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</si>
  <si>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</si>
  <si>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</si>
  <si>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</si>
  <si>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</si>
  <si>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</si>
  <si>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 xml:space="preserve">                  10.Poskytnuté zálohy na dlouhodobý hnotný majetek</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</si>
  <si>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</si>
  <si>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</si>
  <si>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</si>
  <si>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</si>
  <si>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</si>
  <si>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</si>
  <si>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</si>
  <si>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</si>
  <si>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</si>
  <si>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</si>
  <si>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</si>
  <si>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</si>
  <si>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</si>
  <si>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</si>
  <si>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</si>
  <si>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</si>
  <si>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</si>
  <si>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</si>
  <si>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</si>
  <si>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</si>
  <si>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</si>
  <si>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</si>
  <si>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</si>
  <si>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</si>
  <si>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</si>
  <si>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</si>
  <si>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</si>
  <si>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</si>
  <si>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</si>
  <si>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</si>
  <si>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</si>
  <si>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</si>
  <si>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</si>
  <si>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</si>
  <si>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</si>
  <si>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</si>
  <si>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</si>
  <si>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</si>
  <si>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</si>
  <si>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</si>
  <si>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</si>
  <si>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</si>
  <si>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</si>
  <si>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</si>
  <si>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</si>
  <si>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</si>
  <si>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</si>
  <si>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</si>
  <si>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</si>
  <si>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</si>
  <si>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</si>
  <si>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</si>
  <si>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</si>
  <si>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</si>
  <si>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</si>
  <si>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</si>
  <si>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</si>
  <si>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</si>
  <si>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</si>
  <si>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</si>
  <si>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</si>
  <si>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</si>
  <si>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</si>
  <si>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</si>
  <si>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</si>
  <si>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</si>
  <si>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</si>
  <si>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</si>
  <si>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</si>
  <si>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</si>
  <si>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</si>
  <si>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</si>
  <si>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</si>
  <si>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</si>
  <si>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</si>
  <si>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</si>
  <si>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</si>
  <si>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</si>
  <si>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</si>
  <si>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</si>
  <si>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</si>
  <si>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</si>
  <si>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</si>
  <si>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</si>
  <si>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</si>
  <si>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</si>
  <si>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</si>
  <si>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</si>
  <si>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</si>
  <si>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</si>
  <si>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</si>
  <si>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</si>
  <si>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</si>
  <si>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</si>
  <si>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</si>
  <si>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</si>
  <si>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</si>
  <si>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</si>
  <si>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</si>
  <si>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</si>
  <si>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</si>
  <si>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</si>
  <si>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</si>
  <si>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</si>
  <si>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</si>
  <si>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</si>
  <si>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</si>
  <si>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</si>
  <si>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</si>
  <si>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</si>
  <si>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</si>
  <si>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</si>
  <si>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</si>
  <si>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</si>
  <si>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</si>
  <si>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</si>
  <si>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</si>
  <si>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</si>
  <si>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</si>
  <si>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</si>
  <si>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</si>
  <si>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</si>
  <si>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</si>
  <si>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</si>
  <si>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</si>
  <si>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</si>
  <si>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 xml:space="preserve">                   12.Nároky na dotace a ostatní zúčtování se st.ozpočtem</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</si>
  <si>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</si>
  <si>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</si>
  <si>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</si>
  <si>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</si>
  <si>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</si>
  <si>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</si>
  <si>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</si>
  <si>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</si>
  <si>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</si>
  <si>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</si>
  <si>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</si>
  <si>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</si>
  <si>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</si>
  <si>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</si>
  <si>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</si>
  <si>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</si>
  <si>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</si>
  <si>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</si>
  <si>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</si>
  <si>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</si>
  <si>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</si>
  <si>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</si>
  <si>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</si>
  <si>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</si>
  <si>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</si>
  <si>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</si>
  <si>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</si>
  <si>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</si>
  <si>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</si>
  <si>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</si>
  <si>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</si>
  <si>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</si>
  <si>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</si>
  <si>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</si>
  <si>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</si>
  <si>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</si>
  <si>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</si>
  <si>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</si>
  <si>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</si>
  <si>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</si>
  <si>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</si>
  <si>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</si>
  <si>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</si>
  <si>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</si>
  <si>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</si>
  <si>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</si>
  <si>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</si>
  <si>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</si>
  <si>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</si>
  <si>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</si>
  <si>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</si>
  <si>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</si>
  <si>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</si>
  <si>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</si>
  <si>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</si>
  <si>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</si>
  <si>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</si>
  <si>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</si>
  <si>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</si>
  <si>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</si>
  <si>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</si>
  <si>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</si>
  <si>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</si>
  <si>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</si>
  <si>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</si>
  <si>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</si>
  <si>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</si>
  <si>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</si>
  <si>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</si>
  <si>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</si>
  <si>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</si>
  <si>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</si>
  <si>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</si>
  <si>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</si>
  <si>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</si>
  <si>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</si>
  <si>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</si>
  <si>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</si>
  <si>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</si>
  <si>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</si>
  <si>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</si>
  <si>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</si>
  <si>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</si>
  <si>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</si>
  <si>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</si>
  <si>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</si>
  <si>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</si>
  <si>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</si>
  <si>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</si>
  <si>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</si>
  <si>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</si>
  <si>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</si>
  <si>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</si>
  <si>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</si>
  <si>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</si>
  <si>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</si>
  <si>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</si>
  <si>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</si>
  <si>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</si>
  <si>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</si>
  <si>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</si>
  <si>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</si>
  <si>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</si>
  <si>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</si>
  <si>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</si>
  <si>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</si>
  <si>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</si>
  <si>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</si>
  <si>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</si>
  <si>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</si>
  <si>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</si>
  <si>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</si>
  <si>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</si>
  <si>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</si>
  <si>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</si>
  <si>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</si>
  <si>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</si>
  <si>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</si>
  <si>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</si>
  <si>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</si>
  <si>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</si>
  <si>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</si>
  <si>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</si>
  <si>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</si>
  <si>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</si>
  <si>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</si>
  <si>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</si>
  <si>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</si>
  <si>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</si>
  <si>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</si>
  <si>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</si>
  <si>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</si>
  <si>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</si>
  <si>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</si>
  <si>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</si>
  <si>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</si>
  <si>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</si>
  <si>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</si>
  <si>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</si>
  <si>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</si>
  <si>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</si>
  <si>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</si>
  <si>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</si>
  <si>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</si>
  <si>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</si>
  <si>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</si>
  <si>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</si>
  <si>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</si>
  <si>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</si>
  <si>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</si>
  <si>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</si>
  <si>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</si>
  <si>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</si>
  <si>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</si>
  <si>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</si>
  <si>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</si>
  <si>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</si>
  <si>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</si>
  <si>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</si>
  <si>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</si>
  <si>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</si>
  <si>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</si>
  <si>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</si>
  <si>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</si>
  <si>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</si>
  <si>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</si>
  <si>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</si>
  <si>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</si>
  <si>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</si>
  <si>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</si>
  <si>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</si>
  <si>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</si>
  <si>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</si>
  <si>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</si>
  <si>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</si>
  <si>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</si>
  <si>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</si>
  <si>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</si>
  <si>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</si>
  <si>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</si>
  <si>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</si>
  <si>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</si>
  <si>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</si>
  <si>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</si>
  <si>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</si>
  <si>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</si>
  <si>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</si>
  <si>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</si>
  <si>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</si>
  <si>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</si>
  <si>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</si>
  <si>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</si>
  <si>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</si>
  <si>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</si>
  <si>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</si>
  <si>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</si>
  <si>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</si>
  <si>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</si>
  <si>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</si>
  <si>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</si>
  <si>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</si>
  <si>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</si>
  <si>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</si>
  <si>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</si>
  <si>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</si>
  <si>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</si>
  <si>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7.Náklady na reprezentaci</t>
  </si>
  <si>
    <t xml:space="preserve">            8.Ostatní služby</t>
  </si>
  <si>
    <t xml:space="preserve">     III.Osobní náklady celkem</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</si>
  <si>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</si>
  <si>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</si>
  <si>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</si>
  <si>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</si>
  <si>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</si>
  <si>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</si>
  <si>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</si>
  <si>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</si>
  <si>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</si>
  <si>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</si>
  <si>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</si>
  <si>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</si>
  <si>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</si>
  <si>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</si>
  <si>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</si>
  <si>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</si>
  <si>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</si>
  <si>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</si>
  <si>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</si>
  <si>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</si>
  <si>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</si>
  <si>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</si>
  <si>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</si>
  <si>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</si>
  <si>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</si>
  <si>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</si>
  <si>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</si>
  <si>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</si>
  <si>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</si>
  <si>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</si>
  <si>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</si>
  <si>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</si>
  <si>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</si>
  <si>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</si>
  <si>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</si>
  <si>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</si>
  <si>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</si>
  <si>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</si>
  <si>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</si>
  <si>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</si>
  <si>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</si>
  <si>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</si>
  <si>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</si>
  <si>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</si>
  <si>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</si>
  <si>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</si>
  <si>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</si>
  <si>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</si>
  <si>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</si>
  <si>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</si>
  <si>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</si>
  <si>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</si>
  <si>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</si>
  <si>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</si>
  <si>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</si>
  <si>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</si>
  <si>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</si>
  <si>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</si>
  <si>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</si>
  <si>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</si>
  <si>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</si>
  <si>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</si>
  <si>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</si>
  <si>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</si>
  <si>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</si>
  <si>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</si>
  <si>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</si>
  <si>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</si>
  <si>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</si>
  <si>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</si>
  <si>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</si>
  <si>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</si>
  <si>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</si>
  <si>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</si>
  <si>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</si>
  <si>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</si>
  <si>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</si>
  <si>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</si>
  <si>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</si>
  <si>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</si>
  <si>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</si>
  <si>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</si>
  <si>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</si>
  <si>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</si>
  <si>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</si>
  <si>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</si>
  <si>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</si>
  <si>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</si>
  <si>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</si>
  <si>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</si>
  <si>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</si>
  <si>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</si>
  <si>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</si>
  <si>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 xml:space="preserve">  (+)</t>
  </si>
  <si>
    <t>Fond rezervní</t>
  </si>
  <si>
    <t>Fond reprodukce investičního majetku</t>
  </si>
  <si>
    <t>Stipendijní fond</t>
  </si>
  <si>
    <t>Fond odměn</t>
  </si>
  <si>
    <t>Fond účelově určených prostředků</t>
  </si>
  <si>
    <t>Fond sociální</t>
  </si>
  <si>
    <t>Fond provozních prostředků</t>
  </si>
  <si>
    <t>z toho:</t>
  </si>
  <si>
    <t>na jednotlivé projekty VaV či výzkumné záměry</t>
  </si>
  <si>
    <t>jiné podpory z veřejných prostředků</t>
  </si>
  <si>
    <t>(tis. Kč)</t>
  </si>
  <si>
    <t>HV z hlavní činnosti</t>
  </si>
  <si>
    <t>HV z doplňkové činnosti</t>
  </si>
  <si>
    <t>HV celkem</t>
  </si>
  <si>
    <t>C e l k e 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</si>
  <si>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</si>
  <si>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</si>
  <si>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</si>
  <si>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</si>
  <si>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</si>
  <si>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</si>
  <si>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</si>
  <si>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</si>
  <si>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</si>
  <si>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</si>
  <si>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</si>
  <si>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</si>
  <si>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</si>
  <si>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</si>
  <si>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</si>
  <si>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</si>
  <si>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</si>
  <si>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</si>
  <si>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</si>
  <si>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</si>
  <si>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</si>
  <si>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</si>
  <si>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</si>
  <si>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</si>
  <si>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</si>
  <si>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</si>
  <si>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</si>
  <si>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</si>
  <si>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</si>
  <si>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</si>
  <si>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</si>
  <si>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</si>
  <si>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</si>
  <si>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</si>
  <si>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</si>
  <si>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</si>
  <si>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</si>
  <si>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</si>
  <si>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</si>
  <si>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</si>
  <si>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</si>
  <si>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</si>
  <si>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</si>
  <si>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</si>
  <si>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</si>
  <si>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</si>
  <si>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</si>
  <si>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</si>
  <si>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</si>
  <si>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</si>
  <si>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</si>
  <si>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</si>
  <si>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</si>
  <si>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</si>
  <si>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</si>
  <si>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</si>
  <si>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</si>
  <si>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</si>
  <si>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</si>
  <si>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</si>
  <si>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</si>
  <si>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</si>
  <si>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</si>
  <si>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</si>
  <si>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</si>
  <si>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</si>
  <si>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</si>
  <si>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</si>
  <si>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</si>
  <si>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SOCRATES</t>
  </si>
  <si>
    <t>CEEPUS</t>
  </si>
  <si>
    <t>na podporu studia v ČR dle § 91 odst. 4 písm. b)</t>
  </si>
  <si>
    <t>AKTION</t>
  </si>
  <si>
    <t xml:space="preserve">studentům doktorských studijních programů dle § 91 odst. 4 písm. c) </t>
  </si>
  <si>
    <t>(v tis.Kč)</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</si>
  <si>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</si>
  <si>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</si>
  <si>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</si>
  <si>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</si>
  <si>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</si>
  <si>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</si>
  <si>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</si>
  <si>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</si>
  <si>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</si>
  <si>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</si>
  <si>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</si>
  <si>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</si>
  <si>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(tis. kč)</t>
  </si>
  <si>
    <t>Hlavní   činnost</t>
  </si>
  <si>
    <t>poplatky za nadstandardní dobu studia (§58 odst. 3)</t>
  </si>
  <si>
    <t>poplatky za studium v dalším stud. programu (§58 odst. 4)</t>
  </si>
  <si>
    <t>úplata za poskytování U3V</t>
  </si>
  <si>
    <t>úplata za poskytování programů CŽV (§ 60) mimo U3V</t>
  </si>
  <si>
    <t>Investiční celkem</t>
  </si>
  <si>
    <t>účelově určené prostředky na VaV kapitoly 333-MŠMT, § 18 odst.9 c) zák. č. 111/1998 Sb.</t>
  </si>
  <si>
    <t>účelově určené prostředky z jiné podpory z veř. prostředků, § 18 odst.9 c) zák. č. 111/1998 Sb.</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</si>
  <si>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</si>
  <si>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</si>
  <si>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</si>
  <si>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</si>
  <si>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</si>
  <si>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</si>
  <si>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</si>
  <si>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</si>
  <si>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</si>
  <si>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</si>
  <si>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k</t>
  </si>
  <si>
    <t>profesoři</t>
  </si>
  <si>
    <t>docenti</t>
  </si>
  <si>
    <t>odborní asistenti</t>
  </si>
  <si>
    <t>asistenti</t>
  </si>
  <si>
    <t>lektoři</t>
  </si>
  <si>
    <t>akademičtí pracovníci</t>
  </si>
  <si>
    <t>CELKEM</t>
  </si>
  <si>
    <t>Fondy</t>
  </si>
  <si>
    <t>bez VaV</t>
  </si>
  <si>
    <t>Operační programy EU</t>
  </si>
  <si>
    <t>Ostatní zdroje</t>
  </si>
  <si>
    <t>Počet pracovníků</t>
  </si>
  <si>
    <t>Průměrná měsíční mzda</t>
  </si>
  <si>
    <t>Kapitola 333 - MŠMT</t>
  </si>
  <si>
    <t>VZaLS</t>
  </si>
  <si>
    <t>Vysoká škola</t>
  </si>
  <si>
    <t>VaV</t>
  </si>
  <si>
    <t>VaV z ostatních zdrojů (bez operačních progr.)</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</si>
  <si>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</si>
  <si>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</si>
  <si>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</si>
  <si>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</si>
  <si>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</si>
  <si>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</si>
  <si>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</si>
  <si>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</si>
  <si>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</si>
  <si>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</si>
  <si>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</si>
  <si>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</si>
  <si>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</si>
  <si>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</si>
  <si>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</si>
  <si>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</si>
  <si>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</si>
  <si>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další dle specifikace VŠ</t>
  </si>
  <si>
    <t>Výsledek hospodaření</t>
  </si>
  <si>
    <t>l=h-b</t>
  </si>
  <si>
    <t>m=k-c</t>
  </si>
  <si>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</si>
  <si>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</si>
  <si>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</si>
  <si>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</si>
  <si>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</si>
  <si>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</si>
  <si>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t xml:space="preserve">účet / součet </t>
    </r>
    <r>
      <rPr>
        <sz val="8"/>
        <rFont val="Calibri"/>
        <family val="2"/>
        <charset val="238"/>
      </rPr>
      <t>(2)</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</si>
  <si>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</si>
  <si>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</si>
  <si>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</si>
  <si>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</si>
  <si>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</si>
  <si>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</si>
  <si>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</si>
  <si>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</si>
  <si>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</si>
  <si>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</si>
  <si>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</si>
  <si>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</si>
  <si>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</si>
  <si>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</si>
  <si>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t>Poznámka</t>
  </si>
  <si>
    <t>(1)</t>
  </si>
  <si>
    <t>STIPENDIA přiznána a vyplacena</t>
  </si>
  <si>
    <t>na výzkumnou, vývojovou a inovační činnost podle zvláštního právního předpisu, § 91 odst.2 písm. c)</t>
  </si>
  <si>
    <t>v případech zvláštního zřetele hodných dle § 91 odst. 2 písm. e)</t>
  </si>
  <si>
    <t>v případě tíživé sociální situace studenta dle § 91 odst. 2 písm. d)</t>
  </si>
  <si>
    <t>Příspěvek / dotace MŠMT</t>
  </si>
  <si>
    <t>Stipendijní fond VŠ</t>
  </si>
  <si>
    <r>
      <t xml:space="preserve">Ostatní </t>
    </r>
    <r>
      <rPr>
        <sz val="8"/>
        <rFont val="Calibri"/>
        <family val="2"/>
        <charset val="238"/>
      </rPr>
      <t>(1)</t>
    </r>
  </si>
  <si>
    <r>
      <t xml:space="preserve">Celkem vyplaceno </t>
    </r>
    <r>
      <rPr>
        <sz val="8"/>
        <rFont val="Calibri"/>
        <family val="2"/>
        <charset val="238"/>
      </rPr>
      <t>(2)</t>
    </r>
  </si>
  <si>
    <t>Studenti</t>
  </si>
  <si>
    <t>Ostatní</t>
  </si>
  <si>
    <t>jiná stipendia</t>
  </si>
  <si>
    <t>Kontrolní vazba</t>
  </si>
  <si>
    <t>Kontrolní vazby</t>
  </si>
  <si>
    <t xml:space="preserve">                    13.Závazky ze vztahu k rozpočtu orgánů územních samosprávných celků</t>
  </si>
  <si>
    <t xml:space="preserve">                   13.Nároky na dotace a ostatní zúčtování s rozpočtem orgánů územních samospr.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</si>
  <si>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</si>
  <si>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</si>
  <si>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</si>
  <si>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</si>
  <si>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</si>
  <si>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</si>
  <si>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</si>
  <si>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</si>
  <si>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VI.Odpisy, prodaný majetek, tvorba rezerv a opravných položek celkem</t>
  </si>
  <si>
    <t xml:space="preserve">            25.Odpisy dlouhodobého nehmotného a hmotného majetku</t>
  </si>
  <si>
    <t xml:space="preserve">            26.Zůstat. cena prodaného dlouh. nehmotného a hmotného majetku</t>
  </si>
  <si>
    <t xml:space="preserve">            31.Poskytnuté příspěvky zúčtované mezi organizačními složkami</t>
  </si>
  <si>
    <t xml:space="preserve">       V.Tržby z prodeje majetku, zúčtování rezerv a opravných položek celkem</t>
  </si>
  <si>
    <t xml:space="preserve">             19.Tržby z prodeje dlouh. nehmotného a hmotného majetku</t>
  </si>
  <si>
    <t>Poplatky stanovené dle § 58 zákona 111/1998 Sb.</t>
  </si>
  <si>
    <t>Pronájem</t>
  </si>
  <si>
    <t>Tržby z prodeje majetku</t>
  </si>
  <si>
    <t>Dary</t>
  </si>
  <si>
    <t>Dědictví</t>
  </si>
  <si>
    <t>Vybrané činnosti</t>
  </si>
  <si>
    <t>Zdroje</t>
  </si>
  <si>
    <r>
      <t xml:space="preserve">Součásti VVŠ </t>
    </r>
    <r>
      <rPr>
        <sz val="8"/>
        <rFont val="Calibri"/>
        <family val="2"/>
        <charset val="238"/>
      </rPr>
      <t>(1)</t>
    </r>
  </si>
  <si>
    <t>(1) Členění se uvádí podle § 22 odst.1 a) zákona č.111/1998 Sb. Počet řádků rozšířit dle potřeby.</t>
  </si>
  <si>
    <t>Zemědělské a lesní statky - celkem</t>
  </si>
  <si>
    <t>Koleje a menzy - celkem</t>
  </si>
  <si>
    <t>hlavní + doplňková (hospodářská) činnost</t>
  </si>
  <si>
    <t>Ostatní součásti vysoké školy (výše neuvedené) - celkem</t>
  </si>
  <si>
    <r>
      <t xml:space="preserve">Průměrná částka na 1 studenta </t>
    </r>
    <r>
      <rPr>
        <sz val="8"/>
        <rFont val="Calibri"/>
        <family val="2"/>
        <charset val="238"/>
      </rPr>
      <t>(3)</t>
    </r>
  </si>
  <si>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</si>
  <si>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</si>
  <si>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</si>
  <si>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</si>
  <si>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</si>
  <si>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</si>
  <si>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</si>
  <si>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</si>
  <si>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</si>
  <si>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</si>
  <si>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</si>
  <si>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</si>
  <si>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</si>
  <si>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</si>
  <si>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</si>
  <si>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</si>
  <si>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</si>
  <si>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</si>
  <si>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</si>
  <si>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3 - Komercializace a popularizace VaV</t>
  </si>
  <si>
    <t>PO 4 – Infrastruktura pro výuku na VŠ spojenou s výzkumem</t>
  </si>
  <si>
    <t>4.1 Infrastruktura pro výuku na VŠ spojenou s výzkumem</t>
  </si>
  <si>
    <t>C  e  l  k  e  m</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</si>
  <si>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</si>
  <si>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</si>
  <si>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</si>
  <si>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</si>
  <si>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</si>
  <si>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</si>
  <si>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</si>
  <si>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</si>
  <si>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</si>
  <si>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</si>
  <si>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</si>
  <si>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</si>
  <si>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</si>
  <si>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</si>
  <si>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</si>
  <si>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</si>
  <si>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</si>
  <si>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</si>
  <si>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</si>
  <si>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</si>
  <si>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</si>
  <si>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</si>
  <si>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</si>
  <si>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</si>
  <si>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</si>
  <si>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</si>
  <si>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</si>
  <si>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</si>
  <si>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</si>
  <si>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</si>
  <si>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</si>
  <si>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</si>
  <si>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</si>
  <si>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Rozvojové programy</t>
  </si>
  <si>
    <t>J</t>
  </si>
  <si>
    <t>Dotace na ubytování a stravování</t>
  </si>
  <si>
    <t>A+B</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</si>
  <si>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</si>
  <si>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</si>
  <si>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</si>
  <si>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další dle specifikace VVŠ</t>
  </si>
  <si>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</si>
  <si>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</si>
  <si>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</si>
  <si>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</si>
  <si>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</si>
  <si>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r>
      <t>Studijní programy a s nimi spojená tvůrčí činnost</t>
    </r>
    <r>
      <rPr>
        <sz val="8"/>
        <color indexed="8"/>
        <rFont val="Calibri"/>
        <family val="2"/>
        <charset val="238"/>
      </rPr>
      <t xml:space="preserve"> (6)</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</si>
  <si>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</si>
  <si>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</si>
  <si>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</si>
  <si>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</si>
  <si>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</si>
  <si>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poskytnuté </t>
    </r>
    <r>
      <rPr>
        <sz val="8"/>
        <color indexed="8"/>
        <rFont val="Calibri"/>
        <family val="2"/>
        <charset val="238"/>
      </rPr>
      <t>(2)</t>
    </r>
  </si>
  <si>
    <r>
      <t xml:space="preserve">použité </t>
    </r>
    <r>
      <rPr>
        <sz val="8"/>
        <color indexed="8"/>
        <rFont val="Calibri"/>
        <family val="2"/>
        <charset val="238"/>
      </rPr>
      <t>(3)</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</si>
  <si>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</si>
  <si>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t>j=f+i</t>
  </si>
  <si>
    <t>specifikovat dle programu</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</si>
  <si>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</si>
  <si>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</si>
  <si>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</si>
  <si>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</si>
  <si>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</si>
  <si>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</si>
  <si>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z toho zdroje EU v</t>
    </r>
    <r>
      <rPr>
        <sz val="10"/>
        <color indexed="8"/>
        <rFont val="Calibri"/>
        <family val="2"/>
        <charset val="238"/>
      </rPr>
      <t xml:space="preserve"> %</t>
    </r>
    <r>
      <rPr>
        <sz val="8"/>
        <color indexed="8"/>
        <rFont val="Calibri"/>
        <family val="2"/>
        <charset val="238"/>
      </rPr>
      <t xml:space="preserve"> (5)</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</si>
  <si>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</si>
  <si>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</si>
  <si>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</si>
  <si>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t>další dle operačního programu, PO a oblasti podpory</t>
  </si>
  <si>
    <r>
      <t>Prostředky ze zahraničí</t>
    </r>
    <r>
      <rPr>
        <b/>
        <sz val="10"/>
        <color indexed="8"/>
        <rFont val="Calibri"/>
        <family val="2"/>
        <charset val="238"/>
      </rPr>
      <t xml:space="preserve"> (získané přímo VVŠ)</t>
    </r>
  </si>
  <si>
    <r>
      <t>VaV z národních zdrojů</t>
    </r>
    <r>
      <rPr>
        <sz val="8"/>
        <rFont val="Calibri"/>
        <family val="2"/>
        <charset val="238"/>
      </rPr>
      <t xml:space="preserve"> (2)</t>
    </r>
  </si>
  <si>
    <r>
      <t xml:space="preserve">Počet pracovníků </t>
    </r>
    <r>
      <rPr>
        <sz val="8"/>
        <rFont val="Calibri"/>
        <family val="2"/>
        <charset val="238"/>
      </rPr>
      <t>(3)</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</si>
  <si>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</si>
  <si>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t xml:space="preserve">akademičtí pracovníci </t>
    </r>
    <r>
      <rPr>
        <sz val="8"/>
        <rFont val="Calibri"/>
        <family val="2"/>
        <charset val="238"/>
      </rPr>
      <t>(4)</t>
    </r>
  </si>
  <si>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</si>
  <si>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</si>
  <si>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</si>
  <si>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t xml:space="preserve">  C  e  l  k  e  m</t>
    </r>
    <r>
      <rPr>
        <sz val="11"/>
        <rFont val="Calibri"/>
        <family val="2"/>
        <charset val="238"/>
      </rPr>
      <t xml:space="preserve"> </t>
    </r>
    <r>
      <rPr>
        <sz val="8"/>
        <rFont val="Calibri"/>
        <family val="2"/>
        <charset val="238"/>
      </rPr>
      <t xml:space="preserve"> (5)</t>
    </r>
  </si>
  <si>
    <t>Tabulka 1   Rozvaha (bilance)</t>
  </si>
  <si>
    <t>Tabulka 2   Výkaz zisku a ztráty</t>
  </si>
  <si>
    <t>Tabulka 4   Přehled o peněžních tocích (výkaz cash flow)</t>
  </si>
  <si>
    <t>Tabulka 7   Příjmy z poplatků a úhrad za další činnosti poskytované veřejnou vysokou školou</t>
  </si>
  <si>
    <r>
      <t xml:space="preserve">Tabulka 10   Neinvestiční náklady a výnosy - Koleje a menzy </t>
    </r>
    <r>
      <rPr>
        <sz val="12"/>
        <rFont val="Calibri"/>
        <family val="2"/>
        <charset val="238"/>
      </rPr>
      <t>(KaM)</t>
    </r>
  </si>
  <si>
    <t>Tabulka 10.a   Neinvestiční náklady a výnosy - oblast stravování</t>
  </si>
  <si>
    <t>Tabulka 10.b   Neinvestiční náklady a výnosy - oblast ubytování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</si>
  <si>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</si>
  <si>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</si>
  <si>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</si>
  <si>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</si>
  <si>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</si>
  <si>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</si>
  <si>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</si>
  <si>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</si>
  <si>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</si>
  <si>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</si>
  <si>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</si>
  <si>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</si>
  <si>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</si>
  <si>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</si>
  <si>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</si>
  <si>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</si>
  <si>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</si>
  <si>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</si>
  <si>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</si>
  <si>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</si>
  <si>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</si>
  <si>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</si>
  <si>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</si>
  <si>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</si>
  <si>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</si>
  <si>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</si>
  <si>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</si>
  <si>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</si>
  <si>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</si>
  <si>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</si>
  <si>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</si>
  <si>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</si>
  <si>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</si>
  <si>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</si>
  <si>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</si>
  <si>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</si>
  <si>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</si>
  <si>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</si>
  <si>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</si>
  <si>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</si>
  <si>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</si>
  <si>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</si>
  <si>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</si>
  <si>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</si>
  <si>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</si>
  <si>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</si>
  <si>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</si>
  <si>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t>d=a+b+c</t>
  </si>
  <si>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</si>
  <si>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</si>
  <si>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</si>
  <si>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</si>
  <si>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</si>
  <si>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</si>
  <si>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t xml:space="preserve">     součtový řádek pro poskytovatele</t>
  </si>
  <si>
    <t xml:space="preserve">          Příspěvek</t>
  </si>
  <si>
    <t xml:space="preserve">          Dotace</t>
  </si>
  <si>
    <t xml:space="preserve">          součtový řádek pro poskytovatele</t>
  </si>
  <si>
    <t xml:space="preserve">     Institucionální podpora (IP)</t>
  </si>
  <si>
    <t xml:space="preserve">     IP na mezinárodní spolupráci ČR ve VaV</t>
  </si>
  <si>
    <t xml:space="preserve">     Aplikovaný výzkum</t>
  </si>
  <si>
    <t xml:space="preserve">     NPV</t>
  </si>
  <si>
    <t xml:space="preserve">     Specifický vysokoškolský výzkum</t>
  </si>
  <si>
    <t xml:space="preserve">     Velké infrastruktury</t>
  </si>
  <si>
    <t xml:space="preserve">     GAČR</t>
  </si>
  <si>
    <t xml:space="preserve">     TAČR</t>
  </si>
  <si>
    <t xml:space="preserve">    součtový řádek pro poskytovatele</t>
  </si>
  <si>
    <t xml:space="preserve">     IP na dlouh. koncepční rozvoj výzk. organizací</t>
  </si>
  <si>
    <t xml:space="preserve">     OP VK -Vzdělávání pro konkurenceschopnost</t>
  </si>
  <si>
    <t xml:space="preserve">     OP VaVpI - Výzkum a vývoj pro inovace</t>
  </si>
  <si>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</si>
  <si>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t>3=sl.2/12/sl.1</t>
  </si>
  <si>
    <t>6=sl.5/12     /sl.4</t>
  </si>
  <si>
    <t>9=sl.8/12   /sl.7</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</si>
  <si>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</si>
  <si>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</si>
  <si>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t>specifikace VŠ</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</si>
  <si>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</si>
  <si>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</si>
  <si>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</si>
  <si>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</si>
  <si>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</si>
  <si>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</si>
  <si>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t>z toho převody do FÚUP</t>
    </r>
    <r>
      <rPr>
        <sz val="8"/>
        <color indexed="8"/>
        <rFont val="Calibri"/>
        <family val="2"/>
        <charset val="238"/>
      </rPr>
      <t xml:space="preserve"> (6)</t>
    </r>
  </si>
  <si>
    <t xml:space="preserve">     Základní výzkum</t>
  </si>
  <si>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</si>
  <si>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</si>
  <si>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</si>
  <si>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</si>
  <si>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t xml:space="preserve">     součtový řádek pro poskytovatele </t>
    </r>
    <r>
      <rPr>
        <sz val="8"/>
        <color indexed="8"/>
        <rFont val="Calibri"/>
        <family val="2"/>
        <charset val="238"/>
      </rPr>
      <t>(8)</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</si>
  <si>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</si>
  <si>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Účelová podpora </t>
  </si>
  <si>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</si>
  <si>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</si>
  <si>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</si>
  <si>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</si>
  <si>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</si>
  <si>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</si>
  <si>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</si>
  <si>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</si>
  <si>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</si>
  <si>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</si>
  <si>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</si>
  <si>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</si>
  <si>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</si>
  <si>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</si>
  <si>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</si>
  <si>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</si>
  <si>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</si>
  <si>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</si>
  <si>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</si>
  <si>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</si>
  <si>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</si>
  <si>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</si>
  <si>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</si>
  <si>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</si>
  <si>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</si>
  <si>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</si>
  <si>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</si>
  <si>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</si>
  <si>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</si>
  <si>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</si>
  <si>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</si>
  <si>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</si>
  <si>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</si>
  <si>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</si>
  <si>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</si>
  <si>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</si>
  <si>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</si>
  <si>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</si>
  <si>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</si>
  <si>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</si>
  <si>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</si>
  <si>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</si>
  <si>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</si>
  <si>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</si>
  <si>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</si>
  <si>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</si>
  <si>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</si>
  <si>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</si>
  <si>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</si>
  <si>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</si>
  <si>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</si>
  <si>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</si>
  <si>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</si>
  <si>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</si>
  <si>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</si>
  <si>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</si>
  <si>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</si>
  <si>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</si>
  <si>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</si>
  <si>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</si>
  <si>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</si>
  <si>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</si>
  <si>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</si>
  <si>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</si>
  <si>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</si>
  <si>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</si>
  <si>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</si>
  <si>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</si>
  <si>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</si>
  <si>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</si>
  <si>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</si>
  <si>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</si>
  <si>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</si>
  <si>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</si>
  <si>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</si>
  <si>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</si>
  <si>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</si>
  <si>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</si>
  <si>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</si>
  <si>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</si>
  <si>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</si>
  <si>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</si>
  <si>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</si>
  <si>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</si>
  <si>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</si>
  <si>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</si>
  <si>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</si>
  <si>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</si>
  <si>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</si>
  <si>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</si>
  <si>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</si>
  <si>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</si>
  <si>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</si>
  <si>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</si>
  <si>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</si>
  <si>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</si>
  <si>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</si>
  <si>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</si>
  <si>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</si>
  <si>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</si>
  <si>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</si>
  <si>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</si>
  <si>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</si>
  <si>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</si>
  <si>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</si>
  <si>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</si>
  <si>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</si>
  <si>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</si>
  <si>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</si>
  <si>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</si>
  <si>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</si>
  <si>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</si>
  <si>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</si>
  <si>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</si>
  <si>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</si>
  <si>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</si>
  <si>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</si>
  <si>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</si>
  <si>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</si>
  <si>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</si>
  <si>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</si>
  <si>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</si>
  <si>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</si>
  <si>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</si>
  <si>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</si>
  <si>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</si>
  <si>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</si>
  <si>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</si>
  <si>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</si>
  <si>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</si>
  <si>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</si>
  <si>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</si>
  <si>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</si>
  <si>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</si>
  <si>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</si>
  <si>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</si>
  <si>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</si>
  <si>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</si>
  <si>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</si>
  <si>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</si>
  <si>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</si>
  <si>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</si>
  <si>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</si>
  <si>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</si>
  <si>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</si>
  <si>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</si>
  <si>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</si>
  <si>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</si>
  <si>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</si>
  <si>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</si>
  <si>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</si>
  <si>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</si>
  <si>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</si>
  <si>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</si>
  <si>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</si>
  <si>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</si>
  <si>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</si>
  <si>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</si>
  <si>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</si>
  <si>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</si>
  <si>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</si>
  <si>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</si>
  <si>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</si>
  <si>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</si>
  <si>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</si>
  <si>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</si>
  <si>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</si>
  <si>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</si>
  <si>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</si>
  <si>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</si>
  <si>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</si>
  <si>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</si>
  <si>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</si>
  <si>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</si>
  <si>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</si>
  <si>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</si>
  <si>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</si>
  <si>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</si>
  <si>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</si>
  <si>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</si>
  <si>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</si>
  <si>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</si>
  <si>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</si>
  <si>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</si>
  <si>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</si>
  <si>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</si>
  <si>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</si>
  <si>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</si>
  <si>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</si>
  <si>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</si>
  <si>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</si>
  <si>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</si>
  <si>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</si>
  <si>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</si>
  <si>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ostatní příjmy celkem</t>
    </r>
    <r>
      <rPr>
        <sz val="10"/>
        <rFont val="Calibri"/>
        <family val="2"/>
        <charset val="238"/>
      </rPr>
      <t xml:space="preserve"> </t>
    </r>
    <r>
      <rPr>
        <sz val="8"/>
        <rFont val="Calibri"/>
        <family val="2"/>
        <charset val="238"/>
      </rPr>
      <t>(1)</t>
    </r>
  </si>
  <si>
    <r>
      <t xml:space="preserve">            ostatní inv. užití </t>
    </r>
    <r>
      <rPr>
        <sz val="8"/>
        <rFont val="Calibri"/>
        <family val="2"/>
        <charset val="238"/>
      </rPr>
      <t>(1)</t>
    </r>
  </si>
  <si>
    <r>
      <t>Neinvestiční celkem</t>
    </r>
    <r>
      <rPr>
        <sz val="8"/>
        <rFont val="Calibri"/>
        <family val="2"/>
        <charset val="238"/>
      </rPr>
      <t xml:space="preserve"> (1)</t>
    </r>
  </si>
  <si>
    <r>
      <t xml:space="preserve">Transfer znalostí </t>
    </r>
    <r>
      <rPr>
        <sz val="8"/>
        <rFont val="Calibri"/>
        <family val="2"/>
        <charset val="238"/>
      </rPr>
      <t>(1)</t>
    </r>
  </si>
  <si>
    <r>
      <t xml:space="preserve">Příjmy z licenčních smluv </t>
    </r>
    <r>
      <rPr>
        <sz val="8"/>
        <rFont val="Calibri"/>
        <family val="2"/>
        <charset val="238"/>
      </rPr>
      <t>(2)</t>
    </r>
  </si>
  <si>
    <r>
      <t xml:space="preserve">Příjmy ze smluvního výzkumu </t>
    </r>
    <r>
      <rPr>
        <sz val="8"/>
        <rFont val="Calibri"/>
        <family val="2"/>
        <charset val="238"/>
      </rPr>
      <t>(3)</t>
    </r>
  </si>
  <si>
    <r>
      <t xml:space="preserve">Placené vzdělávací kurzy pro zaměstnance subjektů aplikační sféry </t>
    </r>
    <r>
      <rPr>
        <sz val="8"/>
        <rFont val="Calibri"/>
        <family val="2"/>
        <charset val="238"/>
      </rPr>
      <t>(4)</t>
    </r>
  </si>
  <si>
    <r>
      <t xml:space="preserve">Konzultace a poradenství </t>
    </r>
    <r>
      <rPr>
        <sz val="8"/>
        <rFont val="Calibri"/>
        <family val="2"/>
        <charset val="238"/>
      </rPr>
      <t>(5)</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</si>
  <si>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</si>
  <si>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rFont val="Calibri"/>
        <family val="2"/>
        <charset val="238"/>
      </rPr>
      <t>(4)</t>
    </r>
    <r>
      <rPr>
        <sz val="10"/>
        <rFont val="Calibri"/>
        <family val="2"/>
        <charset val="238"/>
      </rPr>
      <t xml:space="preserve"> Údaje se vyplňují  zaokrouhlené na celé tisíce bez desetinných míst.</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</si>
  <si>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</si>
  <si>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t xml:space="preserve">prostory </t>
    </r>
    <r>
      <rPr>
        <sz val="8"/>
        <rFont val="Calibri"/>
        <family val="2"/>
        <charset val="238"/>
      </rPr>
      <t>(7)</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</si>
  <si>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</si>
  <si>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</si>
  <si>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t>A</t>
  </si>
  <si>
    <t>A.1</t>
  </si>
  <si>
    <t>A.2</t>
  </si>
  <si>
    <t>A.3</t>
  </si>
  <si>
    <t>A.4</t>
  </si>
  <si>
    <t>B</t>
  </si>
  <si>
    <t>C.1</t>
  </si>
  <si>
    <t>C.2</t>
  </si>
  <si>
    <t>C.3</t>
  </si>
  <si>
    <t>C.4</t>
  </si>
  <si>
    <t>D.3</t>
  </si>
  <si>
    <t>D.1</t>
  </si>
  <si>
    <t>D.2</t>
  </si>
  <si>
    <t>E</t>
  </si>
  <si>
    <r>
      <t xml:space="preserve">Tržby  za vlastní služby </t>
    </r>
    <r>
      <rPr>
        <sz val="8"/>
        <rFont val="Calibri"/>
        <family val="2"/>
        <charset val="238"/>
      </rPr>
      <t>(6)</t>
    </r>
  </si>
  <si>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</si>
  <si>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r>
      <t xml:space="preserve">Tab. 8.a:    Pracovníci a mzdové prostředky </t>
    </r>
    <r>
      <rPr>
        <sz val="11"/>
        <rFont val="Calibri"/>
        <family val="2"/>
        <charset val="238"/>
      </rPr>
      <t>(dle zdroje financování mzdy a OON)</t>
    </r>
    <r>
      <rPr>
        <sz val="8"/>
        <rFont val="Calibri"/>
        <family val="2"/>
        <charset val="238"/>
      </rPr>
      <t xml:space="preserve"> (1)</t>
    </r>
  </si>
  <si>
    <t xml:space="preserve">Tabulka 8   Pracovníci a mzdové prostředky </t>
  </si>
  <si>
    <r>
      <t xml:space="preserve">Tab. 8.b:    Pracovníci a mzdové prostředky </t>
    </r>
    <r>
      <rPr>
        <sz val="11"/>
        <rFont val="Calibri"/>
        <family val="2"/>
        <charset val="238"/>
      </rPr>
      <t>(bez OON)</t>
    </r>
  </si>
  <si>
    <t xml:space="preserve">Tabulka 3   Hospodářský výsledek </t>
  </si>
  <si>
    <r>
      <t xml:space="preserve">Tabulka 5   Veřejné zdroje financování VVŠ: prostředky poskytnuté a prostředky použité </t>
    </r>
    <r>
      <rPr>
        <sz val="8"/>
        <rFont val="Calibri"/>
        <family val="2"/>
        <charset val="238"/>
      </rPr>
      <t>(1)</t>
    </r>
  </si>
  <si>
    <t>Tabulka 5.a   Financování vzdělávací a vědecké, výzkumné, vývojové a inovační, umělecké a další tvůrčí činnosti</t>
  </si>
  <si>
    <t xml:space="preserve">Tabulka 5.b   Financování výzkumu a vývoje  </t>
  </si>
  <si>
    <t>Tabulka 5.c  Financování programů reprodukce majetku</t>
  </si>
  <si>
    <r>
      <rPr>
        <sz val="8"/>
        <rFont val="Calibri"/>
        <family val="2"/>
        <charset val="238"/>
      </rPr>
      <t>(1)</t>
    </r>
    <r>
      <rPr>
        <sz val="10"/>
        <rFont val="Calibri"/>
        <family val="2"/>
        <charset val="238"/>
      </rPr>
      <t xml:space="preserve"> Uvedou se prostředky, které škola v roce </t>
    </r>
    <r>
      <rPr>
        <sz val="10"/>
        <rFont val="Calibri"/>
        <family val="2"/>
        <charset val="238"/>
      </rPr>
      <t>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</si>
  <si>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rFont val="Calibri"/>
        <family val="2"/>
        <charset val="238"/>
      </rPr>
      <t>(2)</t>
    </r>
    <r>
      <rPr>
        <sz val="10"/>
        <rFont val="Calibri"/>
        <family val="2"/>
        <charset val="238"/>
      </rPr>
      <t xml:space="preserve"> Uvedou se finanční prostředky ve výši dle vystavených limitek k 31. 12. </t>
    </r>
  </si>
  <si>
    <t>Tabulka 5.d   Financování programů strukturálních fondů</t>
  </si>
  <si>
    <t xml:space="preserve">Tabulka 6  Přehled vybraných výnosů </t>
  </si>
  <si>
    <t>Tabulka 9  Stipendia</t>
  </si>
  <si>
    <t xml:space="preserve">Tabulka 11.a   Rezervní fond </t>
  </si>
  <si>
    <t xml:space="preserve">Tabulka 11.b   Fond reprodukce investičního majetku </t>
  </si>
  <si>
    <t xml:space="preserve">Tabulka 11.c   Stipendijní fond </t>
  </si>
  <si>
    <t xml:space="preserve">Tabulka 11.d   Fond odměn </t>
  </si>
  <si>
    <t xml:space="preserve">Tabulka 11.e   Fond účelově určených prostředků </t>
  </si>
  <si>
    <t xml:space="preserve">Tabulka 11.f   Fond sociální </t>
  </si>
  <si>
    <t xml:space="preserve">Tabulka 11.g   Fond provozních prostředků </t>
  </si>
  <si>
    <t>počáteční stav k 1. 1.</t>
  </si>
  <si>
    <r>
      <rPr>
        <sz val="8"/>
        <rFont val="Calibri"/>
        <family val="2"/>
        <charset val="238"/>
      </rPr>
      <t>(1)</t>
    </r>
    <r>
      <rPr>
        <sz val="10"/>
        <rFont val="Calibri"/>
        <family val="2"/>
        <charset val="238"/>
      </rPr>
      <t xml:space="preserve"> V případě použití tohoto řádku VVŠ blíže specifikuje.</t>
    </r>
  </si>
  <si>
    <t>ze zisku za předchozí rok</t>
  </si>
  <si>
    <t>ze  zisku za předchozí rok</t>
  </si>
  <si>
    <r>
      <t xml:space="preserve">mzdy </t>
    </r>
    <r>
      <rPr>
        <sz val="8"/>
        <rFont val="Calibri"/>
        <family val="2"/>
        <charset val="238"/>
      </rPr>
      <t>(7)</t>
    </r>
  </si>
  <si>
    <t xml:space="preserve">Tabulka 11   Fondy a návrh na příděly do fondů v následujícím roce </t>
  </si>
  <si>
    <t xml:space="preserve">z toho příděl ze zisku za předchozí r. </t>
  </si>
  <si>
    <r>
      <t xml:space="preserve">Návrh na příděl ze zisku do fondů v násled. roce </t>
    </r>
    <r>
      <rPr>
        <sz val="9"/>
        <rFont val="Calibri"/>
        <family val="2"/>
        <charset val="238"/>
      </rPr>
      <t>(1)</t>
    </r>
  </si>
  <si>
    <r>
      <t xml:space="preserve">Výnosy za rok </t>
    </r>
    <r>
      <rPr>
        <sz val="8"/>
        <rFont val="Calibri"/>
        <family val="2"/>
        <charset val="238"/>
      </rPr>
      <t xml:space="preserve"> (1)</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</si>
  <si>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</si>
  <si>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rFont val="Calibri"/>
        <family val="2"/>
        <charset val="238"/>
      </rPr>
      <t>(4)</t>
    </r>
    <r>
      <rPr>
        <sz val="10"/>
        <rFont val="Calibri"/>
        <family val="2"/>
        <charset val="238"/>
      </rPr>
      <t xml:space="preserve"> Jedná se o činnosti související se studiem jiné než podle § 58 zák.111/1998 Sb.</t>
    </r>
  </si>
  <si>
    <r>
      <rPr>
        <sz val="8"/>
        <rFont val="Calibri"/>
        <family val="2"/>
        <charset val="238"/>
      </rPr>
      <t>(1)</t>
    </r>
    <r>
      <rPr>
        <sz val="10"/>
        <rFont val="Calibri"/>
        <family val="2"/>
        <charset val="238"/>
      </rPr>
      <t xml:space="preserve"> Zpracování "Výkazu zisku a ztráty" se řídí § 6 a §§ 26 až 28  Vyhlášky 504/2002 Sb.</t>
    </r>
  </si>
  <si>
    <r>
      <rPr>
        <sz val="8"/>
        <rFont val="Calibri"/>
        <family val="2"/>
        <charset val="238"/>
      </rPr>
      <t>(1)</t>
    </r>
    <r>
      <rPr>
        <sz val="10"/>
        <rFont val="Calibri"/>
        <family val="2"/>
        <charset val="238"/>
      </rPr>
      <t xml:space="preserve"> Údaje budou vyplněny v souladu s účetní evidencí vysoké školy.</t>
    </r>
  </si>
  <si>
    <r>
      <rPr>
        <sz val="8"/>
        <color indexed="8"/>
        <rFont val="Calibri"/>
        <family val="2"/>
        <charset val="238"/>
      </rPr>
      <t>(7)</t>
    </r>
    <r>
      <rPr>
        <sz val="10"/>
        <color indexed="8"/>
        <rFont val="Calibri"/>
        <family val="2"/>
        <charset val="238"/>
      </rPr>
      <t xml:space="preserve"> Hodnota mezd CELKEM v řádku 6 (CELKEM) tab. 8.a se rovná hodnotě mezd CELKEM ve sl. 8, ř. 11 tabulky 8.b.</t>
    </r>
  </si>
  <si>
    <r>
      <rPr>
        <sz val="8"/>
        <rFont val="Calibri"/>
        <family val="2"/>
        <charset val="238"/>
      </rPr>
      <t>(1)</t>
    </r>
    <r>
      <rPr>
        <sz val="10"/>
        <rFont val="Calibri"/>
        <family val="2"/>
        <charset val="238"/>
      </rPr>
      <t xml:space="preserve"> VVŠ uvede, jaké další zdroje použila k financování stipendií.</t>
    </r>
  </si>
  <si>
    <r>
      <rPr>
        <sz val="8"/>
        <rFont val="Calibri"/>
        <family val="2"/>
        <charset val="238"/>
      </rPr>
      <t>(2)</t>
    </r>
    <r>
      <rPr>
        <sz val="10"/>
        <rFont val="Calibri"/>
        <family val="2"/>
        <charset val="238"/>
      </rPr>
      <t xml:space="preserve"> VVŠ uvede celkovou částku, kterou vyplatila na stipendiích - odděleně pro studenty a pro ostatní účastníky vzdělávání.</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</si>
  <si>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</si>
  <si>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</si>
  <si>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</si>
  <si>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</si>
  <si>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</si>
  <si>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</si>
  <si>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(2)</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</si>
  <si>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</si>
  <si>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</si>
  <si>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</si>
  <si>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t>Podle potřeby vložit další řádky.</t>
  </si>
  <si>
    <r>
      <rPr>
        <sz val="8"/>
        <rFont val="Calibri"/>
        <family val="2"/>
        <charset val="238"/>
      </rPr>
      <t>(3)</t>
    </r>
    <r>
      <rPr>
        <sz val="10"/>
        <rFont val="Calibri"/>
        <family val="2"/>
        <charset val="238"/>
      </rPr>
      <t xml:space="preserve"> Jedná se o veřejné prostředky na financování projektů strukturálních fondů, zahrnuje všechny veřejné prostředky (jak evropskou, tak českou část spolufinancování).</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</si>
  <si>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</si>
  <si>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</si>
  <si>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</si>
  <si>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"f" a pod tabulkou stručně upřesní, o co se jedná.</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</si>
  <si>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</si>
  <si>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t>tis. Kč</t>
  </si>
  <si>
    <r>
      <rPr>
        <sz val="8"/>
        <color indexed="8"/>
        <rFont val="Calibri"/>
        <family val="2"/>
        <charset val="238"/>
      </rPr>
      <t>(6)</t>
    </r>
    <r>
      <rPr>
        <sz val="10"/>
        <color indexed="8"/>
        <rFont val="Calibri"/>
        <family val="2"/>
        <charset val="238"/>
      </rPr>
      <t xml:space="preserve"> Úvazky pracovníků, kteří se nevěnují ani pedagogické ani vědecké činnosti. Jde zejména o technicko- hospodářské pracovníky, provozní a obchodně provozní pracovníky, zdravotní a ostatní pracovníky, atp.</t>
    </r>
  </si>
  <si>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kategoriích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</si>
  <si>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t>Výnosy (1)</t>
  </si>
  <si>
    <r>
      <rPr>
        <sz val="8"/>
        <rFont val="Calibri"/>
        <family val="2"/>
        <charset val="238"/>
      </rPr>
      <t>(3)</t>
    </r>
    <r>
      <rPr>
        <sz val="10"/>
        <rFont val="Calibri"/>
        <family val="2"/>
        <charset val="238"/>
      </rPr>
      <t xml:space="preserve"> Položku v každém řádku sloupce "a" vydělí VŠ počtem studentů /účastníků vzdělávání ve sloupci "c". Pokud existuje jednotková sazba, stačí zde uvést tuto. </t>
    </r>
  </si>
  <si>
    <t>sl. b" Celkem = vazba na stipendijní fond (Tab. 11.c)</t>
  </si>
  <si>
    <r>
      <t xml:space="preserve">Z toho stipendijní fond - tvorba </t>
    </r>
    <r>
      <rPr>
        <sz val="8"/>
        <rFont val="Calibri"/>
        <family val="2"/>
        <charset val="238"/>
      </rPr>
      <t>(1)</t>
    </r>
  </si>
  <si>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 dodatečný zápis, atp.</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</si>
  <si>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</si>
  <si>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(4)</t>
    </r>
    <r>
      <rPr>
        <sz val="10"/>
        <color indexed="8"/>
        <rFont val="Calibri"/>
        <family val="2"/>
        <charset val="238"/>
      </rPr>
      <t xml:space="preserve"> Uvedou se prostředky použité daném roce na přípravu a realizaci projektů v souladu s Rozhodnutím.</t>
    </r>
  </si>
  <si>
    <t>Není určeno pro VZH AMU!</t>
  </si>
  <si>
    <t>Podklady A.S. - není určeno k převodu do wordu</t>
  </si>
  <si>
    <t>AMU:</t>
  </si>
  <si>
    <t>Předběžný materiál</t>
  </si>
  <si>
    <t>kontrola</t>
  </si>
  <si>
    <t>VVŠ:</t>
  </si>
  <si>
    <t>poznámky MŠMT i AMU:</t>
  </si>
  <si>
    <t>vratky, VPO atd.</t>
  </si>
  <si>
    <t>Prostředky z veřejných zdrojů (dotace a příspěvky) národní i zahraniční</t>
  </si>
  <si>
    <t xml:space="preserve"> = ř.2 + ř.27</t>
  </si>
  <si>
    <t>vratky a HV celkem</t>
  </si>
  <si>
    <r>
      <t xml:space="preserve">v tom: </t>
    </r>
    <r>
      <rPr>
        <b/>
        <sz val="10"/>
        <rFont val="Calibri"/>
        <family val="2"/>
        <charset val="238"/>
      </rPr>
      <t>1. prostředky plynoucí přes (z) veřejné rozpočty ČR</t>
    </r>
  </si>
  <si>
    <t xml:space="preserve"> = ř.3 + ř.13 + ř.20</t>
  </si>
  <si>
    <t>v tom: získané přes kapitolu MŠMT</t>
  </si>
  <si>
    <t xml:space="preserve"> = ř.4 + ř.7</t>
  </si>
  <si>
    <r>
      <t xml:space="preserve">v tom: </t>
    </r>
    <r>
      <rPr>
        <b/>
        <sz val="10"/>
        <color indexed="20"/>
        <rFont val="Calibri"/>
        <family val="2"/>
        <charset val="238"/>
      </rPr>
      <t>dotace na operační programy EU</t>
    </r>
    <r>
      <rPr>
        <sz val="10"/>
        <rFont val="Calibri"/>
        <family val="2"/>
        <charset val="238"/>
      </rPr>
      <t xml:space="preserve"> </t>
    </r>
    <r>
      <rPr>
        <sz val="8"/>
        <rFont val="Calibri"/>
        <family val="2"/>
        <charset val="238"/>
      </rPr>
      <t>(3)</t>
    </r>
  </si>
  <si>
    <t xml:space="preserve"> = ř.5 + ř.6</t>
  </si>
  <si>
    <t>dotace ostatní</t>
  </si>
  <si>
    <t xml:space="preserve"> = ř.8 + ř.12</t>
  </si>
  <si>
    <t xml:space="preserve"> = ř.9 + ř.10 + ř.11</t>
  </si>
  <si>
    <t>příspěvek</t>
  </si>
  <si>
    <t>dotace spojené s programy reprodukce majetku</t>
  </si>
  <si>
    <t>PROGFIN , TA 06, 02</t>
  </si>
  <si>
    <t>ostatní dotace</t>
  </si>
  <si>
    <t>vratky MŠMT</t>
  </si>
  <si>
    <t>v tom: získané přes ostatní kapitoly státního rozpočtu</t>
  </si>
  <si>
    <t xml:space="preserve"> = ř.14 + ř.17</t>
  </si>
  <si>
    <r>
      <t xml:space="preserve">v tom: </t>
    </r>
    <r>
      <rPr>
        <b/>
        <sz val="10"/>
        <color indexed="20"/>
        <rFont val="Calibri"/>
        <family val="2"/>
        <charset val="238"/>
      </rPr>
      <t>dotace na operační programy EU</t>
    </r>
  </si>
  <si>
    <t xml:space="preserve"> = ř.15 + ř.16</t>
  </si>
  <si>
    <t xml:space="preserve"> = ř.18 + ř.19</t>
  </si>
  <si>
    <t>VRATKA NAKI</t>
  </si>
  <si>
    <t>TA 14, 36, 39, 40</t>
  </si>
  <si>
    <t>v tom: získané přes územní rozpočty</t>
  </si>
  <si>
    <t xml:space="preserve"> = ř.21 + ř.24</t>
  </si>
  <si>
    <t xml:space="preserve"> = ř.22 + ř.23</t>
  </si>
  <si>
    <t>TA 37 OPPA: poskyt. vč. VPO</t>
  </si>
  <si>
    <t xml:space="preserve"> = ř.25 + ř.26</t>
  </si>
  <si>
    <t>TA 08 (bez SFK v r.2013)</t>
  </si>
  <si>
    <t>v tom: 2. veřejné prostředky ze zahraničí (získané přímo VVŠ)</t>
  </si>
  <si>
    <t xml:space="preserve"> = ř.28 + ř.29</t>
  </si>
  <si>
    <t>HV TA 20</t>
  </si>
  <si>
    <t>TA 26</t>
  </si>
  <si>
    <r>
      <t xml:space="preserve">SOUHRN 1 </t>
    </r>
    <r>
      <rPr>
        <b/>
        <sz val="8"/>
        <rFont val="Calibri"/>
        <family val="2"/>
        <charset val="238"/>
      </rPr>
      <t>(4)</t>
    </r>
  </si>
  <si>
    <t xml:space="preserve"> = ř.31 + ř.36</t>
  </si>
  <si>
    <t>v tom: dotace spojené se vzdělávací činností</t>
  </si>
  <si>
    <t xml:space="preserve"> = ř.32 + ř.33 + ř.34 + ř.35</t>
  </si>
  <si>
    <t xml:space="preserve"> = ř.5 + ř.8</t>
  </si>
  <si>
    <t>získané přes ostatní kapitoly státního rozpočtu</t>
  </si>
  <si>
    <t xml:space="preserve"> = ř.15 + ř.18</t>
  </si>
  <si>
    <t>získané přes územní rozpočty</t>
  </si>
  <si>
    <t xml:space="preserve"> = ř.22 + ř.25</t>
  </si>
  <si>
    <t>veřejné prostředky ze zahraničí (získané přímo VVŠ)</t>
  </si>
  <si>
    <t xml:space="preserve"> = ř.28</t>
  </si>
  <si>
    <t>v tom: dotace na VaV</t>
  </si>
  <si>
    <t xml:space="preserve"> = ř. 37 + ř.38 + ř.39 + ř.40</t>
  </si>
  <si>
    <t xml:space="preserve"> = ř.6 + ř.12</t>
  </si>
  <si>
    <t xml:space="preserve"> = ř.16 + ř.19</t>
  </si>
  <si>
    <t xml:space="preserve"> = ř.23 + ř.26</t>
  </si>
  <si>
    <t xml:space="preserve"> = ř.29</t>
  </si>
  <si>
    <t>SOUHRN 2</t>
  </si>
  <si>
    <t xml:space="preserve"> = ř.42 + ř.46</t>
  </si>
  <si>
    <t xml:space="preserve"> = ř.43 + ř.44 + ř.45</t>
  </si>
  <si>
    <t>v tom: dotace na operační programy EU</t>
  </si>
  <si>
    <t xml:space="preserve"> = ř.5 + ř.15 + ř.22</t>
  </si>
  <si>
    <t xml:space="preserve"> = ř.8 + ř.18 + ř.25</t>
  </si>
  <si>
    <t xml:space="preserve"> = ř.47 + ř.48 + ř.49</t>
  </si>
  <si>
    <t xml:space="preserve"> = ř.6 + ř.16 + ř.23</t>
  </si>
  <si>
    <t xml:space="preserve"> = ř.12 + ř.19 + ř.26</t>
  </si>
  <si>
    <r>
      <rPr>
        <sz val="12"/>
        <color rgb="FF0000CC"/>
        <rFont val="Calibri"/>
        <family val="2"/>
        <charset val="238"/>
      </rPr>
      <t>(1)</t>
    </r>
    <r>
      <rPr>
        <sz val="12"/>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</si>
  <si>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r>
      <rPr>
        <sz val="12"/>
        <color rgb="FF0000CC"/>
        <rFont val="Calibri"/>
        <family val="2"/>
        <charset val="238"/>
      </rPr>
      <t>(2)</t>
    </r>
    <r>
      <rPr>
        <sz val="12"/>
        <rFont val="Calibri"/>
        <family val="2"/>
        <charset val="238"/>
      </rPr>
      <t xml:space="preserve"> Jedná se o finanční prostředky poskytnuté  vysoké škole rozhodnutím (sloupec 1, 3, 5) a použité na určitý účel v souladu s rozhodnutím (sloupec 2, 4, 6). </t>
    </r>
    <r>
      <rPr>
        <u/>
        <sz val="12"/>
        <rFont val="Calibri"/>
        <family val="2"/>
        <charset val="238"/>
      </rPr>
      <t>Poskytnuto</t>
    </r>
    <r>
      <rPr>
        <sz val="12"/>
        <rFont val="Calibri"/>
        <family val="2"/>
        <charset val="238"/>
      </rPr>
      <t xml:space="preserve">: jedná se o finanční prostředky, které vysoká škola v daném kalendářním roce získala na základě rozhodnutí. </t>
    </r>
    <r>
      <rPr>
        <u/>
        <sz val="12"/>
        <rFont val="Calibri"/>
        <family val="2"/>
        <charset val="238"/>
      </rPr>
      <t>Použito</t>
    </r>
    <r>
      <rPr>
        <sz val="12"/>
        <rFont val="Calibri"/>
        <family val="2"/>
        <charset val="238"/>
      </rPr>
      <t>: jedná se o finanční prostředky, které VŠ v daném kalendářním roce použila na účel v souladu s rozhodnutím.</t>
    </r>
  </si>
  <si>
    <r>
      <rPr>
        <sz val="12"/>
        <color rgb="FF0000CC"/>
        <rFont val="Calibri"/>
        <family val="2"/>
        <charset val="238"/>
      </rPr>
      <t>(3)</t>
    </r>
    <r>
      <rPr>
        <sz val="12"/>
        <rFont val="Calibri"/>
        <family val="2"/>
        <charset val="238"/>
      </rPr>
      <t xml:space="preserve"> Jedná se o veřejné prostředky na financování projektů strukturálních fondů, zahranuje všechny veřejné prostředky (jak evropskou, tak českou část spolufinancování).</t>
    </r>
  </si>
  <si>
    <r>
      <rPr>
        <sz val="12"/>
        <color rgb="FF0000CC"/>
        <rFont val="Calibri"/>
        <family val="2"/>
        <charset val="238"/>
      </rPr>
      <t>(4)</t>
    </r>
    <r>
      <rPr>
        <sz val="12"/>
        <rFont val="Calibri"/>
        <family val="2"/>
        <charset val="238"/>
      </rPr>
      <t xml:space="preserve"> Část tabulky Souhrn 1 a Souhrn 2 slouží k třídění údajů uvedených v předchozích řádcích tabulky 5</t>
    </r>
  </si>
  <si>
    <r>
      <t xml:space="preserve">Tabulka 5   Zdroje financování VVŠ v roce 2015: prostředky poskytnuté a prostředky použité </t>
    </r>
    <r>
      <rPr>
        <sz val="8"/>
        <rFont val="Calibri"/>
        <family val="2"/>
        <charset val="238"/>
      </rPr>
      <t>(1)</t>
    </r>
  </si>
  <si>
    <t>dotace odb. 32 a 64 (DZS)</t>
  </si>
  <si>
    <r>
      <t>TA 29, 11, 38+</t>
    </r>
    <r>
      <rPr>
        <sz val="10"/>
        <color indexed="10"/>
        <rFont val="Calibri"/>
        <family val="2"/>
        <charset val="238"/>
      </rPr>
      <t xml:space="preserve"> TA 46</t>
    </r>
  </si>
  <si>
    <t>VPO: TA 37</t>
  </si>
  <si>
    <t>K převodu do wordu:</t>
  </si>
  <si>
    <r>
      <t xml:space="preserve">Prostředky z veřejných zdrojů běžné </t>
    </r>
    <r>
      <rPr>
        <b/>
        <sz val="8"/>
        <color indexed="8"/>
        <rFont val="Calibri"/>
        <family val="2"/>
        <charset val="238"/>
      </rPr>
      <t>(1)</t>
    </r>
  </si>
  <si>
    <t>Prostředky z veřejných zdrojů kapitálové</t>
  </si>
  <si>
    <t xml:space="preserve">Prostředky z veřejných zdrojů celkem </t>
  </si>
  <si>
    <r>
      <t>Vlastní použité</t>
    </r>
    <r>
      <rPr>
        <b/>
        <sz val="8"/>
        <color indexed="8"/>
        <rFont val="Calibri"/>
        <family val="2"/>
        <charset val="238"/>
      </rPr>
      <t xml:space="preserve"> (3)</t>
    </r>
  </si>
  <si>
    <r>
      <t>Ostatní použité neveřejné zdroje celkem</t>
    </r>
    <r>
      <rPr>
        <b/>
        <sz val="8"/>
        <color indexed="8"/>
        <rFont val="Calibri"/>
        <family val="2"/>
        <charset val="238"/>
      </rPr>
      <t xml:space="preserve"> (4)</t>
    </r>
  </si>
  <si>
    <r>
      <t xml:space="preserve">poskytnuté </t>
    </r>
    <r>
      <rPr>
        <b/>
        <sz val="8"/>
        <color indexed="8"/>
        <rFont val="Calibri"/>
        <family val="2"/>
        <charset val="238"/>
      </rPr>
      <t>(2)</t>
    </r>
  </si>
  <si>
    <r>
      <t>poskytnuté</t>
    </r>
    <r>
      <rPr>
        <b/>
        <sz val="8"/>
        <color indexed="8"/>
        <rFont val="Calibri"/>
        <family val="2"/>
        <charset val="238"/>
      </rPr>
      <t xml:space="preserve"> (2)</t>
    </r>
  </si>
  <si>
    <t>133D21A006602</t>
  </si>
  <si>
    <t>AMU - Generální rekonstrukce a oprava objektu Tržiště 20</t>
  </si>
  <si>
    <t>133D21A006604</t>
  </si>
  <si>
    <t>AMU - Rekonstrukce stávajícího divadla Inspirace vč.zázemí</t>
  </si>
  <si>
    <t>133D21A006613</t>
  </si>
  <si>
    <t>AMU - Generální rekonstrukce Studia FAMU</t>
  </si>
  <si>
    <t>133D21A006617</t>
  </si>
  <si>
    <t>AMU - Rekonstrukce střechy Lažanského paláce</t>
  </si>
  <si>
    <r>
      <t xml:space="preserve">  Celkem </t>
    </r>
    <r>
      <rPr>
        <b/>
        <sz val="8"/>
        <rFont val="Calibri"/>
        <family val="2"/>
        <charset val="238"/>
      </rPr>
      <t xml:space="preserve"> (5)</t>
    </r>
  </si>
  <si>
    <t>fondy 2014</t>
  </si>
  <si>
    <r>
      <t xml:space="preserve">Návrh na příděl ze zisku do fondů v násled. roce </t>
    </r>
    <r>
      <rPr>
        <b/>
        <sz val="9"/>
        <rFont val="Calibri"/>
        <family val="2"/>
        <charset val="238"/>
      </rPr>
      <t>(1)</t>
    </r>
  </si>
  <si>
    <t>fondy 2015</t>
  </si>
  <si>
    <t>FÚUP V+V</t>
  </si>
  <si>
    <t>ROZDÍL</t>
  </si>
  <si>
    <t>poč. stav.</t>
  </si>
  <si>
    <t>k 1.1.</t>
  </si>
  <si>
    <t>Rok 2015 oproti roku 2014:</t>
  </si>
  <si>
    <r>
      <t xml:space="preserve">z toho příděl ze zisku </t>
    </r>
    <r>
      <rPr>
        <i/>
        <sz val="10"/>
        <color indexed="8"/>
        <rFont val="Calibri"/>
        <family val="2"/>
        <charset val="238"/>
      </rPr>
      <t>(1)</t>
    </r>
  </si>
  <si>
    <t>Komentář: Na uvedené akce byly použity i prostředky FRIMu v celkové výši 7.879 tis.Kč.</t>
  </si>
  <si>
    <t>příspěvek odb. 32 a 64 (DZS)</t>
  </si>
  <si>
    <t>NPÚ</t>
  </si>
  <si>
    <r>
      <t xml:space="preserve">Druh podpory/název programu </t>
    </r>
    <r>
      <rPr>
        <b/>
        <sz val="8"/>
        <rFont val="Calibri"/>
        <family val="2"/>
        <charset val="238"/>
      </rPr>
      <t>(1)</t>
    </r>
  </si>
  <si>
    <t>Prostředky z veřejných zdrojů běžné</t>
  </si>
  <si>
    <t>Prostředky z veřejných zdrojů celkem</t>
  </si>
  <si>
    <r>
      <t>z toho zdroje zahr. v %</t>
    </r>
    <r>
      <rPr>
        <b/>
        <sz val="8"/>
        <rFont val="Calibri"/>
        <family val="2"/>
        <charset val="238"/>
      </rPr>
      <t xml:space="preserve"> (4)</t>
    </r>
  </si>
  <si>
    <r>
      <t>z toho zajištěno spoluřešit.</t>
    </r>
    <r>
      <rPr>
        <b/>
        <sz val="8"/>
        <rFont val="Calibri"/>
        <family val="2"/>
        <charset val="238"/>
      </rPr>
      <t xml:space="preserve"> (5)</t>
    </r>
  </si>
  <si>
    <r>
      <t>z toho převody do FÚUP</t>
    </r>
    <r>
      <rPr>
        <b/>
        <sz val="8"/>
        <rFont val="Calibri"/>
        <family val="2"/>
        <charset val="238"/>
      </rPr>
      <t xml:space="preserve"> (6)</t>
    </r>
  </si>
  <si>
    <r>
      <t xml:space="preserve">Ostatní použité neveřejné zdroje </t>
    </r>
    <r>
      <rPr>
        <b/>
        <sz val="8"/>
        <rFont val="Calibri"/>
        <family val="2"/>
        <charset val="238"/>
      </rPr>
      <t>(7)</t>
    </r>
  </si>
  <si>
    <r>
      <t xml:space="preserve">poskytnuté </t>
    </r>
    <r>
      <rPr>
        <b/>
        <sz val="8"/>
        <rFont val="Calibri"/>
        <family val="2"/>
        <charset val="238"/>
      </rPr>
      <t>(2)</t>
    </r>
  </si>
  <si>
    <r>
      <t xml:space="preserve">použité </t>
    </r>
    <r>
      <rPr>
        <b/>
        <sz val="8"/>
        <rFont val="Calibri"/>
        <family val="2"/>
        <charset val="238"/>
      </rPr>
      <t>(3)</t>
    </r>
  </si>
  <si>
    <t xml:space="preserve">     IP na dlouh. koncepční rozvoj výzk. organizací (DKR)</t>
  </si>
  <si>
    <t xml:space="preserve">     Specifický vysokoškolský výzkum (SGS)</t>
  </si>
  <si>
    <t xml:space="preserve">    Ministerstvo kultury ČR</t>
  </si>
  <si>
    <r>
      <t xml:space="preserve">    Projekty NAKI MK ČR </t>
    </r>
    <r>
      <rPr>
        <b/>
        <i/>
        <sz val="10"/>
        <rFont val="Calibri"/>
        <family val="2"/>
        <charset val="238"/>
      </rPr>
      <t>(aplikovaný výzkum)</t>
    </r>
  </si>
  <si>
    <r>
      <t xml:space="preserve">    Projekty GAČR </t>
    </r>
    <r>
      <rPr>
        <b/>
        <i/>
        <sz val="10"/>
        <rFont val="Calibri"/>
        <family val="2"/>
        <charset val="238"/>
      </rPr>
      <t>(základní výzkum)</t>
    </r>
  </si>
  <si>
    <t>Prostředky ze zahraničí (získané přímo VVŠ)</t>
  </si>
  <si>
    <t xml:space="preserve">   EK - GN3Plus (DANTE, VB) </t>
  </si>
  <si>
    <t>Prostředky ze z neveřjných zdrojů (získané přímo VVŠ)</t>
  </si>
  <si>
    <t xml:space="preserve">   CESNET </t>
  </si>
  <si>
    <t>Mimo převod do wordu:</t>
  </si>
  <si>
    <t>Podle potřeby vložit další řádky</t>
  </si>
  <si>
    <t>Vypracovala: Ing. Alena Slepičková</t>
  </si>
  <si>
    <t>Formální úpravy provedla: Ing. Alena Slepičková</t>
  </si>
  <si>
    <t>Komentář: A.S.</t>
  </si>
  <si>
    <t>rozdíly (ze zaokr.)</t>
  </si>
  <si>
    <r>
      <t xml:space="preserve">Druh podpory (dotační položky a ukazatele) </t>
    </r>
    <r>
      <rPr>
        <sz val="10"/>
        <rFont val="Calibri"/>
        <family val="2"/>
        <charset val="238"/>
      </rPr>
      <t>(1)</t>
    </r>
  </si>
  <si>
    <r>
      <t xml:space="preserve">Převody do fondů </t>
    </r>
    <r>
      <rPr>
        <sz val="10"/>
        <rFont val="Calibri"/>
        <family val="2"/>
        <charset val="238"/>
      </rPr>
      <t>(4)</t>
    </r>
  </si>
  <si>
    <r>
      <t xml:space="preserve">Ostatní použité neveřej. zdroje </t>
    </r>
    <r>
      <rPr>
        <sz val="10"/>
        <rFont val="Calibri"/>
        <family val="2"/>
        <charset val="238"/>
      </rPr>
      <t>(5)</t>
    </r>
  </si>
  <si>
    <r>
      <t>poskytnuté</t>
    </r>
    <r>
      <rPr>
        <sz val="10"/>
        <rFont val="Calibri"/>
        <family val="2"/>
        <charset val="238"/>
      </rPr>
      <t xml:space="preserve"> (2)</t>
    </r>
  </si>
  <si>
    <r>
      <t>použité</t>
    </r>
    <r>
      <rPr>
        <sz val="10"/>
        <rFont val="Calibri"/>
        <family val="2"/>
        <charset val="238"/>
      </rPr>
      <t xml:space="preserve"> (3)</t>
    </r>
  </si>
  <si>
    <t>A+K</t>
  </si>
  <si>
    <t>Studijní programy a s nimi spojená tvůrčí činnost (6)</t>
  </si>
  <si>
    <t>Ministerstvo kultury ČR</t>
  </si>
  <si>
    <t>18a</t>
  </si>
  <si>
    <t>MIDPOINT : Centrum středoevr. scénár. tvorby  (FAMU)</t>
  </si>
  <si>
    <t>18b</t>
  </si>
  <si>
    <t>18c</t>
  </si>
  <si>
    <t>18d</t>
  </si>
  <si>
    <t>18e</t>
  </si>
  <si>
    <t>Celoroční výstavní program GALERIE AMU (FAMU)</t>
  </si>
  <si>
    <t>18f</t>
  </si>
  <si>
    <t>18g</t>
  </si>
  <si>
    <t>18h</t>
  </si>
  <si>
    <t>Workshop SAPIR Izrael (FAMU)</t>
  </si>
  <si>
    <t>18ch</t>
  </si>
  <si>
    <t>18i</t>
  </si>
  <si>
    <t>Ministerstvo zahraničních věcí ČR</t>
  </si>
  <si>
    <t>19a</t>
  </si>
  <si>
    <t>Státní fond kinematografie a ostatní státní fondy</t>
  </si>
  <si>
    <t>20a</t>
  </si>
  <si>
    <t>20b</t>
  </si>
  <si>
    <t>SFK MIDPOINT: C. středoevr. scénárist. tvorby (FAMU)</t>
  </si>
  <si>
    <t>20c</t>
  </si>
  <si>
    <t>20d</t>
  </si>
  <si>
    <t>20e</t>
  </si>
  <si>
    <t>20f</t>
  </si>
  <si>
    <t>Magistrát hl. města Praha</t>
  </si>
  <si>
    <t>22a</t>
  </si>
  <si>
    <t>22b</t>
  </si>
  <si>
    <t>22c</t>
  </si>
  <si>
    <t>22d</t>
  </si>
  <si>
    <t>Celoroční výstavní program Galerie AMU (GAMU)</t>
  </si>
  <si>
    <t>22e</t>
  </si>
  <si>
    <t>22f</t>
  </si>
  <si>
    <t>22g</t>
  </si>
  <si>
    <t>22h</t>
  </si>
  <si>
    <t>22ch</t>
  </si>
  <si>
    <t>23a</t>
  </si>
  <si>
    <t>Město Beroun</t>
  </si>
  <si>
    <t>24a</t>
  </si>
  <si>
    <t>Výstavy katedry fotog. (FAMU)</t>
  </si>
  <si>
    <t>DZS, Národní agentura</t>
  </si>
  <si>
    <t>26a</t>
  </si>
  <si>
    <t>Visegrad a ost. evropské zdroje kromě EK</t>
  </si>
  <si>
    <t>27a</t>
  </si>
  <si>
    <t>27b</t>
  </si>
  <si>
    <t>27c</t>
  </si>
  <si>
    <t>27d</t>
  </si>
  <si>
    <t>27e</t>
  </si>
  <si>
    <t>27f</t>
  </si>
  <si>
    <t>27g</t>
  </si>
  <si>
    <t>Evropská komise</t>
  </si>
  <si>
    <t>28a</t>
  </si>
  <si>
    <t>28b</t>
  </si>
  <si>
    <t>Shared Space (DAMU)</t>
  </si>
  <si>
    <t>28c</t>
  </si>
  <si>
    <t>Shared Space (DISK)</t>
  </si>
  <si>
    <t>28d</t>
  </si>
  <si>
    <t>Nová generace 2015 (HAMU)</t>
  </si>
  <si>
    <t>Svár teorie s praxí (HAMU)</t>
  </si>
  <si>
    <t>Město Unhošť</t>
  </si>
  <si>
    <t>Kouzelná flétna (HAMU)</t>
  </si>
  <si>
    <t>Nová generace  2015 (HAMU)</t>
  </si>
  <si>
    <t>Klarinetové dny  - Žirovnice (HAMU)</t>
  </si>
  <si>
    <t>HIROSHI Koizumi (HAMU)</t>
  </si>
  <si>
    <t>Na Balkáně (DAMU)</t>
  </si>
  <si>
    <t>IVF Cieslaková (DAMU)</t>
  </si>
  <si>
    <t>FAMUfest 2015  (FAMU)</t>
  </si>
  <si>
    <t>FAMUFEST 2015 (FAMU)</t>
  </si>
  <si>
    <t>SFK FAMUFEST 2015 (FAMU)</t>
  </si>
  <si>
    <t>Festival ZLOMVAZ 2015 (DISK)</t>
  </si>
  <si>
    <t xml:space="preserve"> MIDPOINT Visegradský fond 2015 </t>
  </si>
  <si>
    <t>MIDPOINT - Iceland</t>
  </si>
  <si>
    <t>MIDPOINT - Norské fondy</t>
  </si>
  <si>
    <t>British Council (FAMU)</t>
  </si>
  <si>
    <t>SFK Joris Ivens (NAMU)</t>
  </si>
  <si>
    <t xml:space="preserve"> Projekt MIDPOINT - MEDIA 2015 </t>
  </si>
  <si>
    <t>3Layers (DAMU)</t>
  </si>
  <si>
    <t>kontrola tabulky 5</t>
  </si>
  <si>
    <t>5a</t>
  </si>
  <si>
    <t>5b</t>
  </si>
  <si>
    <t>5c</t>
  </si>
  <si>
    <r>
      <t>TA 20 (a.u.649x)</t>
    </r>
    <r>
      <rPr>
        <sz val="10"/>
        <color indexed="17"/>
        <rFont val="Calibri"/>
        <family val="2"/>
        <charset val="238"/>
      </rPr>
      <t>, posk.bez VPO xxx, TA 43,28-část.649</t>
    </r>
  </si>
  <si>
    <t>PLUS doplnit převody do fondů!!!</t>
  </si>
  <si>
    <t>STIPENDIA 2015</t>
  </si>
  <si>
    <t>řazení dle analytického účtu</t>
  </si>
  <si>
    <t>Synt.úč.</t>
  </si>
  <si>
    <t>Anal. úč.</t>
  </si>
  <si>
    <t>název účtu</t>
  </si>
  <si>
    <t>NS</t>
  </si>
  <si>
    <t>TA</t>
  </si>
  <si>
    <t>KP</t>
  </si>
  <si>
    <t>Má Dáti</t>
  </si>
  <si>
    <t>poznámka</t>
  </si>
  <si>
    <t>Stip.F.- studij. výsledky</t>
  </si>
  <si>
    <t>0  AMU</t>
  </si>
  <si>
    <r>
      <rPr>
        <b/>
        <sz val="10"/>
        <color rgb="FF660066"/>
        <rFont val="Arial CE"/>
        <charset val="238"/>
      </rPr>
      <t>009</t>
    </r>
    <r>
      <rPr>
        <sz val="10"/>
        <color rgb="FF660066"/>
        <rFont val="Arial CE"/>
        <charset val="238"/>
      </rPr>
      <t xml:space="preserve">        Ostatní zdroje hlavní činnosti</t>
    </r>
  </si>
  <si>
    <t>1-HČ</t>
  </si>
  <si>
    <t>Stip.F.- tvůrčí výsledky</t>
  </si>
  <si>
    <t>Stip.F.- sociální důvody</t>
  </si>
  <si>
    <t>FPP-stip. na zvýš.náklady</t>
  </si>
  <si>
    <t>Stip. § 91,odst.2,b) bez SF</t>
  </si>
  <si>
    <r>
      <rPr>
        <b/>
        <sz val="10"/>
        <color rgb="FF0000CC"/>
        <rFont val="Arial CE"/>
        <charset val="238"/>
      </rPr>
      <t>001</t>
    </r>
    <r>
      <rPr>
        <sz val="10"/>
        <color rgb="FF0000CC"/>
        <rFont val="Arial CE"/>
        <charset val="238"/>
      </rPr>
      <t xml:space="preserve">        Prostředky na studijní progr. v HČ</t>
    </r>
  </si>
  <si>
    <r>
      <rPr>
        <b/>
        <sz val="10"/>
        <color rgb="FF0000CC"/>
        <rFont val="Arial CE"/>
        <charset val="238"/>
      </rPr>
      <t>002</t>
    </r>
    <r>
      <rPr>
        <sz val="10"/>
        <color rgb="FF0000CC"/>
        <rFont val="Arial CE"/>
        <charset val="238"/>
      </rPr>
      <t xml:space="preserve">        Účelové neinvestiční prostředky</t>
    </r>
  </si>
  <si>
    <r>
      <rPr>
        <b/>
        <sz val="10"/>
        <color rgb="FF0000CC"/>
        <rFont val="Arial CE"/>
        <charset val="238"/>
      </rPr>
      <t>011</t>
    </r>
    <r>
      <rPr>
        <sz val="10"/>
        <color rgb="FF0000CC"/>
        <rFont val="Arial CE"/>
        <charset val="238"/>
      </rPr>
      <t xml:space="preserve">        Granty MK</t>
    </r>
  </si>
  <si>
    <r>
      <rPr>
        <b/>
        <sz val="10"/>
        <color rgb="FF0000CC"/>
        <rFont val="Arial CE"/>
        <charset val="238"/>
      </rPr>
      <t>041</t>
    </r>
    <r>
      <rPr>
        <sz val="10"/>
        <color rgb="FF0000CC"/>
        <rFont val="Arial CE"/>
        <charset val="238"/>
      </rPr>
      <t xml:space="preserve">        IRP NEINV MŠMT</t>
    </r>
  </si>
  <si>
    <t>Stip. § 91,odst.2,c) bez SF</t>
  </si>
  <si>
    <r>
      <rPr>
        <b/>
        <sz val="10"/>
        <color rgb="FF0000CC"/>
        <rFont val="Arial CE"/>
        <charset val="238"/>
      </rPr>
      <t>013</t>
    </r>
    <r>
      <rPr>
        <sz val="10"/>
        <color rgb="FF0000CC"/>
        <rFont val="Arial CE"/>
        <charset val="238"/>
      </rPr>
      <t xml:space="preserve">        V a V - účelová podpora</t>
    </r>
  </si>
  <si>
    <r>
      <rPr>
        <b/>
        <sz val="10"/>
        <color rgb="FF0000CC"/>
        <rFont val="Arial CE"/>
        <charset val="238"/>
      </rPr>
      <t>018</t>
    </r>
    <r>
      <rPr>
        <sz val="10"/>
        <color rgb="FF0000CC"/>
        <rFont val="Arial CE"/>
        <charset val="238"/>
      </rPr>
      <t xml:space="preserve">        V a V - institucionál. podpora</t>
    </r>
  </si>
  <si>
    <r>
      <rPr>
        <b/>
        <sz val="10"/>
        <color rgb="FF0000CC"/>
        <rFont val="Arial CE"/>
        <charset val="238"/>
      </rPr>
      <t>039</t>
    </r>
    <r>
      <rPr>
        <sz val="10"/>
        <color rgb="FF0000CC"/>
        <rFont val="Arial CE"/>
        <charset val="238"/>
      </rPr>
      <t xml:space="preserve">        V+V ost. zdroje SR</t>
    </r>
  </si>
  <si>
    <t>Stip. § 91,odst.3 bez SF</t>
  </si>
  <si>
    <t>Stip. § 91,odst.4,a)</t>
  </si>
  <si>
    <r>
      <rPr>
        <b/>
        <sz val="10"/>
        <color rgb="FF0000CC"/>
        <rFont val="Arial CE"/>
        <charset val="238"/>
      </rPr>
      <t>019</t>
    </r>
    <r>
      <rPr>
        <sz val="10"/>
        <color rgb="FF0000CC"/>
        <rFont val="Arial CE"/>
        <charset val="238"/>
      </rPr>
      <t xml:space="preserve">        Dotace MŠMT - zahraniční projekty</t>
    </r>
  </si>
  <si>
    <t>020        Zahraniční projekty</t>
  </si>
  <si>
    <t>není SR ! Patří na 549499</t>
  </si>
  <si>
    <t>Stip. § 91,odst.4,b)</t>
  </si>
  <si>
    <t>Stip. § 91,odst.4,c) - PGS</t>
  </si>
  <si>
    <t>Stip. § 91,odst.2,e) bez SF</t>
  </si>
  <si>
    <t>Stip.mimo SR a SF</t>
  </si>
  <si>
    <r>
      <rPr>
        <b/>
        <sz val="10"/>
        <color rgb="FF006600"/>
        <rFont val="Arial CE"/>
        <charset val="238"/>
      </rPr>
      <t>003</t>
    </r>
    <r>
      <rPr>
        <sz val="10"/>
        <color rgb="FF006600"/>
        <rFont val="Arial CE"/>
        <charset val="238"/>
      </rPr>
      <t xml:space="preserve">        Dary</t>
    </r>
  </si>
  <si>
    <r>
      <rPr>
        <b/>
        <sz val="10"/>
        <color rgb="FF006600"/>
        <rFont val="Arial CE"/>
        <charset val="238"/>
      </rPr>
      <t>020</t>
    </r>
    <r>
      <rPr>
        <sz val="10"/>
        <color rgb="FF006600"/>
        <rFont val="Arial CE"/>
        <charset val="238"/>
      </rPr>
      <t xml:space="preserve">        Zahraniční projekty</t>
    </r>
  </si>
  <si>
    <r>
      <rPr>
        <b/>
        <sz val="10"/>
        <color rgb="FF006600"/>
        <rFont val="Arial CE"/>
        <charset val="238"/>
      </rPr>
      <t>022</t>
    </r>
    <r>
      <rPr>
        <sz val="10"/>
        <color rgb="FF006600"/>
        <rFont val="Arial CE"/>
        <charset val="238"/>
      </rPr>
      <t xml:space="preserve">        Granty nadací</t>
    </r>
  </si>
  <si>
    <r>
      <rPr>
        <b/>
        <sz val="10"/>
        <color rgb="FF006600"/>
        <rFont val="Arial CE"/>
        <charset val="238"/>
      </rPr>
      <t>028</t>
    </r>
    <r>
      <rPr>
        <sz val="10"/>
        <color rgb="FF006600"/>
        <rFont val="Arial CE"/>
        <charset val="238"/>
      </rPr>
      <t xml:space="preserve">        Zahraniční projekty ostatní</t>
    </r>
  </si>
  <si>
    <r>
      <rPr>
        <b/>
        <sz val="10"/>
        <color rgb="FF006600"/>
        <rFont val="Arial CE"/>
        <charset val="238"/>
      </rPr>
      <t>037</t>
    </r>
    <r>
      <rPr>
        <sz val="10"/>
        <color rgb="FF006600"/>
        <rFont val="Arial CE"/>
        <charset val="238"/>
      </rPr>
      <t xml:space="preserve">        Fondy EU-MhmP</t>
    </r>
  </si>
  <si>
    <r>
      <rPr>
        <b/>
        <sz val="10"/>
        <color rgb="FF006600"/>
        <rFont val="Arial CE"/>
        <charset val="238"/>
      </rPr>
      <t>043</t>
    </r>
    <r>
      <rPr>
        <sz val="10"/>
        <color rgb="FF006600"/>
        <rFont val="Arial CE"/>
        <charset val="238"/>
      </rPr>
      <t xml:space="preserve">        Fondy EU</t>
    </r>
  </si>
  <si>
    <t>V Praze 11. 2. 2016, Ing. Alena Slepičková</t>
  </si>
  <si>
    <r>
      <t xml:space="preserve">Celkem vyplaceno </t>
    </r>
    <r>
      <rPr>
        <b/>
        <sz val="8"/>
        <rFont val="Calibri"/>
        <family val="2"/>
        <charset val="238"/>
      </rPr>
      <t>(2)</t>
    </r>
  </si>
  <si>
    <t>Stipendijní fond VVŠ</t>
  </si>
  <si>
    <t>Ostatní (1)</t>
  </si>
  <si>
    <r>
      <t xml:space="preserve">za vynikající </t>
    </r>
    <r>
      <rPr>
        <b/>
        <sz val="9"/>
        <rFont val="Calibri"/>
        <family val="2"/>
        <charset val="238"/>
      </rPr>
      <t>studijní</t>
    </r>
    <r>
      <rPr>
        <sz val="9"/>
        <rFont val="Calibri"/>
        <family val="2"/>
        <charset val="238"/>
      </rPr>
      <t xml:space="preserve"> výsledky dle </t>
    </r>
    <r>
      <rPr>
        <b/>
        <sz val="9"/>
        <rFont val="Calibri"/>
        <family val="2"/>
        <charset val="238"/>
      </rPr>
      <t xml:space="preserve">§ 91 odst. 2 písm. a) </t>
    </r>
    <r>
      <rPr>
        <b/>
        <sz val="12"/>
        <color rgb="FF0000CC"/>
        <rFont val="Calibri"/>
        <family val="2"/>
        <charset val="238"/>
      </rPr>
      <t>*</t>
    </r>
  </si>
  <si>
    <t>x</t>
  </si>
  <si>
    <r>
      <t xml:space="preserve">za vynikající vědecké, výzkumné, vývojové, umělecké nebo další </t>
    </r>
    <r>
      <rPr>
        <b/>
        <sz val="9"/>
        <rFont val="Calibri"/>
        <family val="2"/>
        <charset val="238"/>
      </rPr>
      <t>tvůrčí</t>
    </r>
    <r>
      <rPr>
        <sz val="9"/>
        <rFont val="Calibri"/>
        <family val="2"/>
        <charset val="238"/>
      </rPr>
      <t xml:space="preserve"> výsledky přispívající </t>
    </r>
    <r>
      <rPr>
        <b/>
        <sz val="9"/>
        <rFont val="Calibri"/>
        <family val="2"/>
        <charset val="238"/>
      </rPr>
      <t>k prohloubení znalostí</t>
    </r>
    <r>
      <rPr>
        <sz val="9"/>
        <rFont val="Calibri"/>
        <family val="2"/>
        <charset val="238"/>
      </rPr>
      <t xml:space="preserve"> dle </t>
    </r>
    <r>
      <rPr>
        <b/>
        <sz val="9"/>
        <rFont val="Calibri"/>
        <family val="2"/>
        <charset val="238"/>
      </rPr>
      <t xml:space="preserve">§ 91 odst. 2 písm. b) </t>
    </r>
    <r>
      <rPr>
        <b/>
        <sz val="12"/>
        <color rgb="FF0000CC"/>
        <rFont val="Calibri"/>
        <family val="2"/>
        <charset val="238"/>
      </rPr>
      <t>*</t>
    </r>
  </si>
  <si>
    <t>Státní fond kinematografie</t>
  </si>
  <si>
    <r>
      <t xml:space="preserve">na výzkumnou, vývojovou a inovační činnost podle zvláštního právního předpisu, </t>
    </r>
    <r>
      <rPr>
        <b/>
        <sz val="9"/>
        <rFont val="Calibri"/>
        <family val="2"/>
        <charset val="238"/>
      </rPr>
      <t>§ 91 odst.2 písm. c)  = V + V (pouze)</t>
    </r>
  </si>
  <si>
    <t xml:space="preserve"> z toho</t>
  </si>
  <si>
    <r>
      <t xml:space="preserve">v případě </t>
    </r>
    <r>
      <rPr>
        <b/>
        <sz val="9"/>
        <rFont val="Calibri"/>
        <family val="2"/>
        <charset val="238"/>
      </rPr>
      <t>tíživé sociální situace</t>
    </r>
    <r>
      <rPr>
        <sz val="9"/>
        <rFont val="Calibri"/>
        <family val="2"/>
        <charset val="238"/>
      </rPr>
      <t xml:space="preserve"> studenta dle </t>
    </r>
    <r>
      <rPr>
        <b/>
        <sz val="9"/>
        <rFont val="Calibri"/>
        <family val="2"/>
        <charset val="238"/>
      </rPr>
      <t xml:space="preserve">§ 91 odst. 2 písm. d) </t>
    </r>
    <r>
      <rPr>
        <b/>
        <sz val="12"/>
        <color rgb="FF0000CC"/>
        <rFont val="Calibri"/>
        <family val="2"/>
        <charset val="238"/>
      </rPr>
      <t>*</t>
    </r>
  </si>
  <si>
    <r>
      <t xml:space="preserve">v případě tíživé sociální situace studenta dle </t>
    </r>
    <r>
      <rPr>
        <b/>
        <sz val="9"/>
        <rFont val="Calibri"/>
        <family val="2"/>
        <charset val="238"/>
      </rPr>
      <t>§ 91 odst. 3)</t>
    </r>
  </si>
  <si>
    <r>
      <t xml:space="preserve">v případech </t>
    </r>
    <r>
      <rPr>
        <b/>
        <sz val="9"/>
        <rFont val="Calibri"/>
        <family val="2"/>
        <charset val="238"/>
      </rPr>
      <t>zvláštního zřetele</t>
    </r>
    <r>
      <rPr>
        <sz val="9"/>
        <rFont val="Calibri"/>
        <family val="2"/>
        <charset val="238"/>
      </rPr>
      <t xml:space="preserve"> hodných dle </t>
    </r>
    <r>
      <rPr>
        <b/>
        <sz val="9"/>
        <rFont val="Calibri"/>
        <family val="2"/>
        <charset val="238"/>
      </rPr>
      <t>§ 91 odst. 2 písm. e)</t>
    </r>
  </si>
  <si>
    <r>
      <t xml:space="preserve">na podporu studia </t>
    </r>
    <r>
      <rPr>
        <b/>
        <sz val="9"/>
        <rFont val="Calibri"/>
        <family val="2"/>
        <charset val="238"/>
      </rPr>
      <t>v zahraničí</t>
    </r>
    <r>
      <rPr>
        <sz val="9"/>
        <rFont val="Calibri"/>
        <family val="2"/>
        <charset val="238"/>
      </rPr>
      <t xml:space="preserve"> dle </t>
    </r>
    <r>
      <rPr>
        <b/>
        <sz val="9"/>
        <rFont val="Calibri"/>
        <family val="2"/>
        <charset val="238"/>
      </rPr>
      <t>§ 91 odst. 4 písm. a)</t>
    </r>
  </si>
  <si>
    <t>Rozvojové projekty (pouze mobility studentů)</t>
  </si>
  <si>
    <r>
      <t xml:space="preserve">na podporu studia </t>
    </r>
    <r>
      <rPr>
        <b/>
        <sz val="9"/>
        <rFont val="Calibri"/>
        <family val="2"/>
        <charset val="238"/>
      </rPr>
      <t>v ČR</t>
    </r>
    <r>
      <rPr>
        <sz val="9"/>
        <rFont val="Calibri"/>
        <family val="2"/>
        <charset val="238"/>
      </rPr>
      <t xml:space="preserve"> dle </t>
    </r>
    <r>
      <rPr>
        <b/>
        <sz val="9"/>
        <rFont val="Calibri"/>
        <family val="2"/>
        <charset val="238"/>
      </rPr>
      <t>§ 91 odst. 4 písm. b)</t>
    </r>
  </si>
  <si>
    <t xml:space="preserve">DZS (TA 02)  </t>
  </si>
  <si>
    <r>
      <t xml:space="preserve">studentům doktorských studijních programů dle </t>
    </r>
    <r>
      <rPr>
        <b/>
        <sz val="9"/>
        <rFont val="Calibri"/>
        <family val="2"/>
        <charset val="238"/>
      </rPr>
      <t>§ 91 odst. 4 písm. c)</t>
    </r>
    <r>
      <rPr>
        <sz val="9"/>
        <rFont val="Calibri"/>
        <family val="2"/>
        <charset val="238"/>
      </rPr>
      <t xml:space="preserve"> </t>
    </r>
  </si>
  <si>
    <t>jiná stipendia (než SR a SF)</t>
  </si>
  <si>
    <t xml:space="preserve">v tom </t>
  </si>
  <si>
    <t>ZDROJE:</t>
  </si>
  <si>
    <t>FPP (TA 09)</t>
  </si>
  <si>
    <t>Zahraniční zdroje V+V</t>
  </si>
  <si>
    <t>Dary (TA 03)</t>
  </si>
  <si>
    <t>Višegradský fond apod. (TA 28)</t>
  </si>
  <si>
    <t>OPPA - MhmP (TA 37)</t>
  </si>
  <si>
    <t>FONDY EU - např. MIDPOINT (TA 43)</t>
  </si>
  <si>
    <t>*</t>
  </si>
  <si>
    <t>Stipendia Stipendijního fondu  nejsou vyplácena dle § 91 zákona o VŠ.</t>
  </si>
  <si>
    <r>
      <t>(1) VVŠ uvede, jaké další zdroje použila k financování stipendií</t>
    </r>
    <r>
      <rPr>
        <b/>
        <sz val="10"/>
        <rFont val="Calibri"/>
        <family val="2"/>
        <charset val="238"/>
      </rPr>
      <t/>
    </r>
  </si>
  <si>
    <t>(2) VVŠ uvede celkovou částku, kterou vyplatila na stipendiích - odděleně pro studenty a pro ostatní účastníky vzdělávání</t>
  </si>
  <si>
    <t xml:space="preserve">Vypracovala: Ing. Alena Slepičková </t>
  </si>
  <si>
    <t>SOCRATES, ERASMUS</t>
  </si>
  <si>
    <t>Nadace (TA 22)</t>
  </si>
  <si>
    <t>Erasmus , EU (TA 20)</t>
  </si>
  <si>
    <r>
      <t xml:space="preserve">Operační program/prioritní osa/oblast podpory  </t>
    </r>
    <r>
      <rPr>
        <b/>
        <sz val="8"/>
        <color indexed="8"/>
        <rFont val="Calibri"/>
        <family val="2"/>
        <charset val="238"/>
      </rPr>
      <t>(1)</t>
    </r>
  </si>
  <si>
    <r>
      <t xml:space="preserve">VaV </t>
    </r>
    <r>
      <rPr>
        <b/>
        <sz val="8"/>
        <color indexed="8"/>
        <rFont val="Calibri"/>
        <family val="2"/>
        <charset val="238"/>
      </rPr>
      <t>(2)</t>
    </r>
  </si>
  <si>
    <r>
      <t>z toho zdroje EU v %</t>
    </r>
    <r>
      <rPr>
        <b/>
        <sz val="8"/>
        <color indexed="8"/>
        <rFont val="Calibri"/>
        <family val="2"/>
        <charset val="238"/>
      </rPr>
      <t xml:space="preserve"> (5)</t>
    </r>
  </si>
  <si>
    <r>
      <t>z toho zajištěno spoluřešit.</t>
    </r>
    <r>
      <rPr>
        <b/>
        <sz val="8"/>
        <color indexed="8"/>
        <rFont val="Calibri"/>
        <family val="2"/>
        <charset val="238"/>
      </rPr>
      <t xml:space="preserve"> (6)</t>
    </r>
  </si>
  <si>
    <r>
      <t xml:space="preserve">Nevyčerp. z poskyt. veřejných prostředků v roce </t>
    </r>
    <r>
      <rPr>
        <b/>
        <sz val="8"/>
        <color indexed="8"/>
        <rFont val="Calibri"/>
        <family val="2"/>
        <charset val="238"/>
      </rPr>
      <t>(7)</t>
    </r>
  </si>
  <si>
    <r>
      <t xml:space="preserve">Vratka nevyčerp. prostředků  </t>
    </r>
    <r>
      <rPr>
        <b/>
        <sz val="8"/>
        <color indexed="8"/>
        <rFont val="Calibri"/>
        <family val="2"/>
        <charset val="238"/>
      </rPr>
      <t>(8)</t>
    </r>
  </si>
  <si>
    <r>
      <t xml:space="preserve">Ostatní použ. neveřejné zdroje celkem </t>
    </r>
    <r>
      <rPr>
        <b/>
        <sz val="8"/>
        <color indexed="8"/>
        <rFont val="Calibri"/>
        <family val="2"/>
        <charset val="238"/>
      </rPr>
      <t>(9)</t>
    </r>
  </si>
  <si>
    <r>
      <t xml:space="preserve">poskytnuté </t>
    </r>
    <r>
      <rPr>
        <b/>
        <sz val="8"/>
        <color indexed="8"/>
        <rFont val="Calibri"/>
        <family val="2"/>
        <charset val="238"/>
      </rPr>
      <t>(3)</t>
    </r>
  </si>
  <si>
    <r>
      <t xml:space="preserve">použité </t>
    </r>
    <r>
      <rPr>
        <b/>
        <sz val="8"/>
        <color indexed="8"/>
        <rFont val="Calibri"/>
        <family val="2"/>
        <charset val="238"/>
      </rPr>
      <t>(4)</t>
    </r>
  </si>
  <si>
    <t>OPPA</t>
  </si>
  <si>
    <t>Inovace studijních programů v bakalářském a magisterském cyklu formou spolupráce s českými a zahr. televizními stanicemi (FAMU)</t>
  </si>
  <si>
    <t>NE</t>
  </si>
  <si>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</si>
  <si>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(4)</t>
    </r>
    <r>
      <rPr>
        <sz val="10"/>
        <color indexed="8"/>
        <rFont val="Calibri"/>
        <family val="2"/>
        <charset val="238"/>
      </rPr>
      <t xml:space="preserve"> Uvedou se prostředky použité v roce 2012 na přípravu a realizaci projektů v souladu s Rozhodnutím.</t>
    </r>
  </si>
  <si>
    <t xml:space="preserve">Komenář: V jediném případě OPPA se jedná o prioritní osu (PO) - "Modernizace počátečního vzdělávání". Celkově (tedy včetně použitých výnosů převedených z výnosů příštích období) bylo v r. 2015 na projekt OPPA použito 1.332 tis.Kč. </t>
  </si>
  <si>
    <t>Komentář: Projekty NAKI zahrnují i spoluúčast (spoluřešitelství) Národního památkového ústavu (NPÚ)   ve výši 1.421 tis. Kč. Za vratkou 106 tis. Kč z původní dotace ve výši 1.527 tis. Kč stojí právě NPÚ.</t>
  </si>
  <si>
    <t>použité zdroje</t>
  </si>
  <si>
    <t>převody do fondů</t>
  </si>
  <si>
    <t>V+V</t>
  </si>
  <si>
    <t>příspěvek MŠMT FPP</t>
  </si>
  <si>
    <t>příspěvek MŠMT FÚUP</t>
  </si>
  <si>
    <r>
      <rPr>
        <sz val="8"/>
        <rFont val="Calibri"/>
        <family val="2"/>
        <charset val="238"/>
      </rPr>
      <t>(1)</t>
    </r>
    <r>
      <rPr>
        <sz val="10"/>
        <rFont val="Calibri"/>
        <family val="2"/>
        <charset val="238"/>
      </rPr>
      <t xml:space="preserve"> Do projednání výroční zprávy o hospodaření s MŠMT se jedná o návrh</t>
    </r>
  </si>
  <si>
    <t>Součet počátečních stavů fondů k 1. 1. roku (pole a1) se rovná  údaji z řádku 0089 sl. 1 tab. 1 - Rozvaha</t>
  </si>
  <si>
    <t>Součet koncových stavů fondů k 31. 12. roku (pole e1) se rovná  údaji z řádku 0089 sl. 2 tab. 1 - Rozvaha</t>
  </si>
  <si>
    <t>K přenosům do wordu:</t>
  </si>
  <si>
    <t>Náklady</t>
  </si>
  <si>
    <t>HČ</t>
  </si>
  <si>
    <t>DČ</t>
  </si>
  <si>
    <t>Č.ř.</t>
  </si>
  <si>
    <t>Synt.účet</t>
  </si>
  <si>
    <t>Anal.účet</t>
  </si>
  <si>
    <t>Název účtu</t>
  </si>
  <si>
    <t>HČ+DČ</t>
  </si>
  <si>
    <t>Spotř.DHM     600- 1.000Kč</t>
  </si>
  <si>
    <t>Spotř.DHM   1.001- 3.000Kč</t>
  </si>
  <si>
    <t>Spotř.DHM   3.001-40.000Kč</t>
  </si>
  <si>
    <t>Přísluš. k majetku - neevidováno</t>
  </si>
  <si>
    <t>Spotř.-běžný spotř.mater.</t>
  </si>
  <si>
    <t>Spotř.-potraviny Poněšice</t>
  </si>
  <si>
    <t>Spotř.knih.skripta,časopisy</t>
  </si>
  <si>
    <t>Spotř.ochr.pomůc.</t>
  </si>
  <si>
    <t>Spotřeba elektrické energie</t>
  </si>
  <si>
    <t>Spotřeba plynu</t>
  </si>
  <si>
    <t>Spotřeba vody</t>
  </si>
  <si>
    <t>5021491</t>
  </si>
  <si>
    <t>Ostatní - nedańové</t>
  </si>
  <si>
    <t>Pohonné hmoty</t>
  </si>
  <si>
    <t>Pohonné hmoty-služby CCS</t>
  </si>
  <si>
    <t>Pohonné hmoty-ostatní</t>
  </si>
  <si>
    <t>Stavební údržba</t>
  </si>
  <si>
    <t>Ostatní údržba a opravy</t>
  </si>
  <si>
    <t>Cestovné tuzemsko</t>
  </si>
  <si>
    <t>Cestovné zahraniční</t>
  </si>
  <si>
    <t>Cest. náhrady - MIDPOINT</t>
  </si>
  <si>
    <t>Náklady na reprezentaci</t>
  </si>
  <si>
    <t>Náklady na cestovné hostů</t>
  </si>
  <si>
    <t>Ost.služby-školení, kurzovné</t>
  </si>
  <si>
    <t>Ost.služby-poštovné</t>
  </si>
  <si>
    <t>Ost.služby-telef.karty,dobíj.</t>
  </si>
  <si>
    <t>Ost.služby-telefony-EMEA</t>
  </si>
  <si>
    <t>Ost.služby-telefony ostatní</t>
  </si>
  <si>
    <t>Ost.služby-IP-TELEFONIE</t>
  </si>
  <si>
    <t>Ost.sl.-telefony NEDAŇOVÉ</t>
  </si>
  <si>
    <t>Ost.služby-úklidové služby</t>
  </si>
  <si>
    <t>Ost.služby-praní prádla</t>
  </si>
  <si>
    <t>Ost.-DDNM do 60 tis/licence</t>
  </si>
  <si>
    <t>Ost.služby-lic.práva-dědická</t>
  </si>
  <si>
    <t>Ost.služby-lic.práva-autorská</t>
  </si>
  <si>
    <t>Ost.služby-lic.práva-zahraničí</t>
  </si>
  <si>
    <t>Ost.služby-výroba AVD</t>
  </si>
  <si>
    <t>Ost.služby-reklama</t>
  </si>
  <si>
    <t>Ost.služby-tlumočení</t>
  </si>
  <si>
    <t>Ost.služby-pronájem předmětu</t>
  </si>
  <si>
    <t>Ost.služby-pronájem prostor</t>
  </si>
  <si>
    <t>Ost.služby-inzerce</t>
  </si>
  <si>
    <t>Ost.-DDNM 7.000-60.000 SW</t>
  </si>
  <si>
    <t>Ost.-DDNM do 7.000 SW</t>
  </si>
  <si>
    <t>Ost.služby-software</t>
  </si>
  <si>
    <t>Ost.služby-zpracování filmů</t>
  </si>
  <si>
    <t>Ost.služby-ostatní</t>
  </si>
  <si>
    <t>Ost.služby-parkovné</t>
  </si>
  <si>
    <t>Ost.služby-servis-bankomat</t>
  </si>
  <si>
    <t>Ost.služby-sportovní</t>
  </si>
  <si>
    <t>Ost.služby-samopl. TA 23,33,34</t>
  </si>
  <si>
    <t>Ost.služby-publik.nákl.</t>
  </si>
  <si>
    <t>Ost.služby-tantiemy</t>
  </si>
  <si>
    <t>Ost.služby-ostraha</t>
  </si>
  <si>
    <t>Ost.služby-překlady</t>
  </si>
  <si>
    <t>Os.sl.-s.umělec.agentur a div.</t>
  </si>
  <si>
    <t>Ost.služby-titulkování filmů</t>
  </si>
  <si>
    <t>Ost.služby-technické služby</t>
  </si>
  <si>
    <t>Ost.služby-NEDAŇOVÉ</t>
  </si>
  <si>
    <t>Ost.služby-scénické práce</t>
  </si>
  <si>
    <t>Ost.služby-kopírování</t>
  </si>
  <si>
    <t>Ost.služby-ladění hud.nástrojů</t>
  </si>
  <si>
    <t>Ost.služby-tiskařské práce</t>
  </si>
  <si>
    <t>Ost.služby-požární ochrana</t>
  </si>
  <si>
    <t>Ost.služby-zvukař.práce</t>
  </si>
  <si>
    <t>Ost.služby-přeprava</t>
  </si>
  <si>
    <t>Ost.služby-předpl.čas.a knih</t>
  </si>
  <si>
    <t>Mzdové náklady (mzdy)</t>
  </si>
  <si>
    <t>Mzdové náklady (OON)</t>
  </si>
  <si>
    <t>Mzd.náklady-náhrada nemoc</t>
  </si>
  <si>
    <t>Zák.soc.poj.sociální</t>
  </si>
  <si>
    <t>Zák.soc.poj.zdravotní</t>
  </si>
  <si>
    <t>Daň silniční</t>
  </si>
  <si>
    <t>Daň z nemovitostí</t>
  </si>
  <si>
    <t>Ostatní nepřímé daně a poplat.</t>
  </si>
  <si>
    <t>Poplatky za ubyt. kapacity</t>
  </si>
  <si>
    <t>Poplatky notářské a správná</t>
  </si>
  <si>
    <t>Poplatky za rozhlas+televizi</t>
  </si>
  <si>
    <t>Smluvní pok.,úroky z prodl.</t>
  </si>
  <si>
    <t>Ostatní pokuty a penále</t>
  </si>
  <si>
    <t>Kurzové ztráty</t>
  </si>
  <si>
    <t>Manka a škody</t>
  </si>
  <si>
    <t>Manka a škody na majetku</t>
  </si>
  <si>
    <t>Jiné ost.nákl.-neuplatn.DPH</t>
  </si>
  <si>
    <t>Jiné ost.nákl.-zák.poj.-ÚP</t>
  </si>
  <si>
    <t>Pojištění ostatní</t>
  </si>
  <si>
    <t>Pojištění auta</t>
  </si>
  <si>
    <t>Stip.F.- výsledky V + V</t>
  </si>
  <si>
    <t>Stip. § 91,odst.2,a) bez SF</t>
  </si>
  <si>
    <t>Jiné ost.nákl.-člen. popl.</t>
  </si>
  <si>
    <t>Jiné ost.nákl.-RN a vyrovnání</t>
  </si>
  <si>
    <t>JON-RN a vyr.-energie</t>
  </si>
  <si>
    <t>JON-RN a vyr.-staveb.opr.a údr</t>
  </si>
  <si>
    <t>JON-RN a vyr.-pojistné</t>
  </si>
  <si>
    <t>JON-RN a vyr.-odpisy</t>
  </si>
  <si>
    <t>Jiné ost.nákl.-bank. popl.</t>
  </si>
  <si>
    <t>Jiné ost.nákl.-celní popl.</t>
  </si>
  <si>
    <t>Jiné ost.nákl.-různé</t>
  </si>
  <si>
    <t>Jiné ost.nákl.-NEDAŇOVÉ</t>
  </si>
  <si>
    <t>Odpisy DNM</t>
  </si>
  <si>
    <t>Odpisy DHM</t>
  </si>
  <si>
    <t>Zůstatková cena vyřazeného DM</t>
  </si>
  <si>
    <t>Daň z příjmů</t>
  </si>
  <si>
    <t>vč.DP:</t>
  </si>
  <si>
    <t>Trž.za vl.výrobky-skripta</t>
  </si>
  <si>
    <t>Trž.za vl.výrobky V+V-Očenášek</t>
  </si>
  <si>
    <t>Tržby z prod.sl.strav.Poněšice</t>
  </si>
  <si>
    <t>Tržby- ubytování Poněšice</t>
  </si>
  <si>
    <t>Tržby- ubyt. Kolej-Beroun</t>
  </si>
  <si>
    <t>Tržby- ubytování Kolej</t>
  </si>
  <si>
    <t>Tržby- ubytování UZA</t>
  </si>
  <si>
    <t>Tržby- bankomat</t>
  </si>
  <si>
    <t>Tržby-ubyt.cizí Hradební</t>
  </si>
  <si>
    <t>Tržby-ubyt.Beroun-cizí</t>
  </si>
  <si>
    <t>Tržby z prod.sl. vstupenky</t>
  </si>
  <si>
    <t>Tržby z prod.sl. ostatní</t>
  </si>
  <si>
    <t>Tržby z prod.sl. užití práv</t>
  </si>
  <si>
    <t>Tržby-z automatu-praní prádla</t>
  </si>
  <si>
    <t>Tržby za pronájem prostor</t>
  </si>
  <si>
    <t>Tržby za pronájem.zařízení</t>
  </si>
  <si>
    <t>Tržby za prod.zboží</t>
  </si>
  <si>
    <t>Změna stavu-nedok. výr.</t>
  </si>
  <si>
    <t>Změna stav.zás.výr.-skripta</t>
  </si>
  <si>
    <t>Úroky</t>
  </si>
  <si>
    <t>Úroky - ZVLÁŠTNÍ ÚROČENÍ</t>
  </si>
  <si>
    <t>Úroky - TERMÍNOVANÝ ( VK)</t>
  </si>
  <si>
    <t>Kurzové zisky</t>
  </si>
  <si>
    <t>Zúčtování fondu odměn</t>
  </si>
  <si>
    <t>Zúčtování fondu stipendijního</t>
  </si>
  <si>
    <t>Zúčtování stipend.FPP na zvýš. N</t>
  </si>
  <si>
    <t>Zúčtování fondu ÚUP-ONEI</t>
  </si>
  <si>
    <t>Zúčtování fondu ÚUP-OSOBNÍ</t>
  </si>
  <si>
    <t>Zúčtování fondu ÚUP-NIV</t>
  </si>
  <si>
    <t>Zúčtování fondů FPP</t>
  </si>
  <si>
    <t>Jiné ost.v.-popl.za přij.říz.</t>
  </si>
  <si>
    <t>Jiné ost.v.-neupl. DPH</t>
  </si>
  <si>
    <t>Jiné ost.v.-ost.plat.posluch.</t>
  </si>
  <si>
    <t>Jiné ost.v.-neident.plat.posluch.</t>
  </si>
  <si>
    <t>Jiné ost.v.-celoživotní vzd.HČ</t>
  </si>
  <si>
    <t>Jiné ost.v.-stud.ciz.jaz.KP01</t>
  </si>
  <si>
    <t>Jiné ost.v.-kurz pro ciz.KP09</t>
  </si>
  <si>
    <t>Jiné ost.v.-kurz pro tuz.KP09</t>
  </si>
  <si>
    <t>Jiné ost.v.-ostatní stipendia</t>
  </si>
  <si>
    <t>Jiné ost.v.-Erasmus</t>
  </si>
  <si>
    <t>Jiné ost.v.-Mezinár. spolupráce</t>
  </si>
  <si>
    <t>INV-úč.odpis z rozdílu cen Ú-D</t>
  </si>
  <si>
    <t>Jiné ost.v.-různé</t>
  </si>
  <si>
    <t>Jiné ost.v.- účastnický popl.</t>
  </si>
  <si>
    <t>Jiné ost.v.-náhr.od pojišť.</t>
  </si>
  <si>
    <t>Jiné ost.v.-náhr.šk.od stud.</t>
  </si>
  <si>
    <t>Tržby z prod. DNM,DHM</t>
  </si>
  <si>
    <t>Přijaté dary prav.osob</t>
  </si>
  <si>
    <t>Přijaté dary fyz.osob</t>
  </si>
  <si>
    <t>Dotace MŠMT uk. D-TA 19</t>
  </si>
  <si>
    <t>Dotace MŠMT uk. G-TA 10</t>
  </si>
  <si>
    <t>Dotace MŠMT uk. I - TA 02</t>
  </si>
  <si>
    <t>Dotace MŠMT V + V TA 13</t>
  </si>
  <si>
    <t>Dotace MŠMT V + V TA 18</t>
  </si>
  <si>
    <t>Dotace MŠMT uk. I - TA 41</t>
  </si>
  <si>
    <t>Příspěvek MŠMT uk.A+B-TA 01</t>
  </si>
  <si>
    <t>Příspěvek MŠMT uk.C-TA 02</t>
  </si>
  <si>
    <t>Příspěvek MŠMT uk.D-TA 02</t>
  </si>
  <si>
    <t>Příspěvek MŠMT uk.F-TA 02</t>
  </si>
  <si>
    <t>Příspěvek MŠMT uk.S-TA 02</t>
  </si>
  <si>
    <t>Příspěvek MŠMT uk.U-TA 02</t>
  </si>
  <si>
    <t>Dotace MK TA11,29 MZV+st.fondy</t>
  </si>
  <si>
    <t>Dotace MK TA 39 NAKI</t>
  </si>
  <si>
    <t>Dotace ÚSC TA 08,</t>
  </si>
  <si>
    <t>Dotace EU - TA 37,43</t>
  </si>
  <si>
    <t>Dotace-Visegrad TA 28</t>
  </si>
  <si>
    <t>Dotace E - VaV - TA 26</t>
  </si>
  <si>
    <t>Dotace GAČR V +V TA 14,36</t>
  </si>
  <si>
    <t>K přenosu do wordu:</t>
  </si>
  <si>
    <t>Tržby z přef. energie</t>
  </si>
  <si>
    <t>Tržby z přef. plynu</t>
  </si>
  <si>
    <t>Tržby z přef. vody</t>
  </si>
  <si>
    <t>Tržby-užití práv-nápoj. automat</t>
  </si>
  <si>
    <t>Tržby-užití práv-vysílač na bud.</t>
  </si>
  <si>
    <t>Tržby z prod.sl. e-knihy</t>
  </si>
  <si>
    <t>Jiné ost.v.-granty+nadace</t>
  </si>
  <si>
    <t>Jiné ost.v.-nedaňové</t>
  </si>
  <si>
    <t>Dotace MŠMT uk.D-TA 02</t>
  </si>
  <si>
    <t>Komentář:</t>
  </si>
  <si>
    <t>Vypracovala: Olga Altmanová (opis MÚZO)</t>
  </si>
  <si>
    <t>POZOR: 3 výsledovky pod sebou!</t>
  </si>
  <si>
    <t>Tabulka 2a   Výkaz zisku a ztráty - SUMÁŘ VVŠ</t>
  </si>
  <si>
    <t>Vypracovala: Olga Altmanová (opis)</t>
  </si>
  <si>
    <t>Tabulka 2 b  Výkaz zisku a ztráty - KOLEJ</t>
  </si>
  <si>
    <t>Tabulka 2 c  Výkaz zisku a ztráty - ŠKOLA</t>
  </si>
  <si>
    <t>v tis.Kč</t>
  </si>
  <si>
    <t>Struktura celkového CASH FLOW</t>
  </si>
  <si>
    <t>Hospodářský výsledek běžného roku</t>
  </si>
  <si>
    <t>Odpisy dlohodobeho majetku</t>
  </si>
  <si>
    <t>Rezervy řízené předpisy</t>
  </si>
  <si>
    <t>Přechodné účty pasivní</t>
  </si>
  <si>
    <t>Výdaje příštích období</t>
  </si>
  <si>
    <t>Výnosy příštích období</t>
  </si>
  <si>
    <t>Kursové rozdíly pasivní</t>
  </si>
  <si>
    <t>Dohadné účty pasivní</t>
  </si>
  <si>
    <t>Přechodné účty aktivní</t>
  </si>
  <si>
    <t>Náklady příštích období</t>
  </si>
  <si>
    <t>Příjmy příštích období</t>
  </si>
  <si>
    <t>Kursové rozdíly aktivní</t>
  </si>
  <si>
    <t>Dohadné účty aktivní</t>
  </si>
  <si>
    <t>Pohledávky celkem</t>
  </si>
  <si>
    <t>Z obchodniho styku</t>
  </si>
  <si>
    <t>K účastníkům sdružení</t>
  </si>
  <si>
    <t>Za institucemi soc.zabezp. a zdravot.poj.</t>
  </si>
  <si>
    <t>Daň z příjmu</t>
  </si>
  <si>
    <t>Ostatní přímé daně</t>
  </si>
  <si>
    <t>Daň z přidané hodnoty</t>
  </si>
  <si>
    <t>Ostatní daně a poplatky</t>
  </si>
  <si>
    <t>Ze vztahu ke státnímu rozpočtu</t>
  </si>
  <si>
    <t>Ze vztahu k rozpočtu orgánů ÚSC</t>
  </si>
  <si>
    <t>Za zaměstnanci</t>
  </si>
  <si>
    <t>Z emitovaných dluhopisů a jiné pohled.</t>
  </si>
  <si>
    <t>Opravná položka k pohledávkám</t>
  </si>
  <si>
    <t>Ceniny</t>
  </si>
  <si>
    <t>Majetkové cenné papiry</t>
  </si>
  <si>
    <t>Dlužné cenné pap. a vlastní dluhopisy</t>
  </si>
  <si>
    <t>Ostatní cenné papíry a poříz. krátkod.fin.maj.</t>
  </si>
  <si>
    <t>Zásoby celkem</t>
  </si>
  <si>
    <t>Materiál na skladě a na cestě</t>
  </si>
  <si>
    <t>Nedokončená výroba a polotovary vl.výroby</t>
  </si>
  <si>
    <t>Výrobky</t>
  </si>
  <si>
    <t>Zvířata</t>
  </si>
  <si>
    <t>Zboží na skladě a na cestě</t>
  </si>
  <si>
    <t>Poskytnuté zálohy na zásoby</t>
  </si>
  <si>
    <t>Krátkodobé závazky</t>
  </si>
  <si>
    <t>Dodavatelé</t>
  </si>
  <si>
    <t>Směnky k úhradě</t>
  </si>
  <si>
    <t>Přijaté zálohy</t>
  </si>
  <si>
    <t>Ostatni závazky</t>
  </si>
  <si>
    <t>Zaměstnanci</t>
  </si>
  <si>
    <t>Ostatni závazky vůči zaměstnancům</t>
  </si>
  <si>
    <t>K institucím soc.zabezp. a zdravot.poj.</t>
  </si>
  <si>
    <t>Ze vztahu k rozpočtu ÚSC</t>
  </si>
  <si>
    <t>Jiné závazky</t>
  </si>
  <si>
    <t>Krátkodobé bankovní úvěry</t>
  </si>
  <si>
    <t>Přijaté finanční výpomoci</t>
  </si>
  <si>
    <t>Cash flow provozní</t>
  </si>
  <si>
    <t>Nehmotný dlouhodobý majetek</t>
  </si>
  <si>
    <t>Nehmotné výsledky výzkumu a vývoje</t>
  </si>
  <si>
    <t>Software</t>
  </si>
  <si>
    <t>Předměty ocenitelných práv</t>
  </si>
  <si>
    <t>Drobný  dlouhodobý nehmotný majetek</t>
  </si>
  <si>
    <t>Ostatní  dlouhodobý nehmotný majetek</t>
  </si>
  <si>
    <t>Nedokončené nehmotné investice</t>
  </si>
  <si>
    <t>Poskytnuté zálohy na nehmot.dlouhod.maj.</t>
  </si>
  <si>
    <t>Oprávky celkem</t>
  </si>
  <si>
    <t>K nehmotným výsledkům výzkumné čin.</t>
  </si>
  <si>
    <t>K softwaru</t>
  </si>
  <si>
    <t>K předmětům ocenitelných práv</t>
  </si>
  <si>
    <t>K drobnému nehmot.dlouhodobému maj.</t>
  </si>
  <si>
    <t>K ostatnímu nehmot.dlouhodobému maj.</t>
  </si>
  <si>
    <t>Hmotný dlouhodobý majetek</t>
  </si>
  <si>
    <t>Pozemky</t>
  </si>
  <si>
    <t>Umělecká díla a sbirky</t>
  </si>
  <si>
    <t>Stavby</t>
  </si>
  <si>
    <t>Samostatné movité věci a soubory mov.věcí</t>
  </si>
  <si>
    <t>Pěstitelské celky trvalých porostů</t>
  </si>
  <si>
    <t>Základní stádo a tažná zvířata</t>
  </si>
  <si>
    <t>Drobný hmotný dlouhodoby majetek</t>
  </si>
  <si>
    <t>Ostatní hmotný dlouhodobý majetek</t>
  </si>
  <si>
    <t>Nedokončené hmotné investice</t>
  </si>
  <si>
    <t>Poskyt. zálohy na hmotný dlouhod. majetek</t>
  </si>
  <si>
    <t>Ke stavbám</t>
  </si>
  <si>
    <t>K movitým věcem a souborům mov.věcí</t>
  </si>
  <si>
    <t>K pěstitelským celkům trvalých porostů</t>
  </si>
  <si>
    <t>K základnímu stádu a tažným zvířatům</t>
  </si>
  <si>
    <t>K drobnému hmotnému dlouhodobému majetku</t>
  </si>
  <si>
    <t>K ostatnímu hmotnému dlouhodobému majetku</t>
  </si>
  <si>
    <t>Korekce vyloučením odpisů</t>
  </si>
  <si>
    <t>Dlouhodobý finanční majetek</t>
  </si>
  <si>
    <t>Podíl. cen. pap. a vklady-rozhod. vliv</t>
  </si>
  <si>
    <t>Podíl. cen. pap. a vklady-podstatny vliv</t>
  </si>
  <si>
    <t>Ostatní dlouhodobé cenné papíry a vklady</t>
  </si>
  <si>
    <t>Půjčky podnikům ve skupině</t>
  </si>
  <si>
    <t>Ostatní dlouhodobý finanční majetek</t>
  </si>
  <si>
    <t>Cash flow z investiční činnosti</t>
  </si>
  <si>
    <t>Dlouhodobé závazky celkem</t>
  </si>
  <si>
    <t>Emitované dluhopisy</t>
  </si>
  <si>
    <t>Závazky z pronájmu</t>
  </si>
  <si>
    <t>Dlouhodobé přijaté zálohy</t>
  </si>
  <si>
    <t>Dlouhodobé směnky k úhradě</t>
  </si>
  <si>
    <t>Ostatní dlouhodobé závazky</t>
  </si>
  <si>
    <t>Dlouhodobé bankovní úvěry</t>
  </si>
  <si>
    <t>Vlastni jmění</t>
  </si>
  <si>
    <t>Oceňovací rozdíly z přecenění majetku a závazků</t>
  </si>
  <si>
    <t>Nerozděl.zisk, neuhraz.ztráta minul.let</t>
  </si>
  <si>
    <t>Hospodářský výsledek ve schvalovacím řízení</t>
  </si>
  <si>
    <t>Korekce snížením disponibilního zisku běžného roku</t>
  </si>
  <si>
    <t>Cash flow z finanční činnosti</t>
  </si>
  <si>
    <t>Cash flow celkové</t>
  </si>
  <si>
    <t>Stav peněžních prostředků</t>
  </si>
  <si>
    <t>ROK 2015:</t>
  </si>
  <si>
    <t>N bez DP</t>
  </si>
  <si>
    <t>DP</t>
  </si>
  <si>
    <t>N vč. DP</t>
  </si>
  <si>
    <t xml:space="preserve">Cestovné tuzemsko-nedaňové </t>
  </si>
  <si>
    <t>Ost.služby-telefony-Č.TELECOM</t>
  </si>
  <si>
    <t>Ost.služby-předpl.knih 2011-v.</t>
  </si>
  <si>
    <t>Mzd.náklady-OON náhr. nemoc</t>
  </si>
  <si>
    <t>rok 2014</t>
  </si>
  <si>
    <t xml:space="preserve">DP </t>
  </si>
  <si>
    <t>Celkem stipendia 2015 po analytických účtech (bez rozlišení TA):</t>
  </si>
  <si>
    <t>Stipendijní fond - tvorba (1)</t>
  </si>
  <si>
    <t>Počet studentů (2)</t>
  </si>
  <si>
    <t>Průměrná částka na 1 studenta (3), bez des.míst</t>
  </si>
  <si>
    <t>Průměrná částka na 1 studenta (3), na des.místa</t>
  </si>
  <si>
    <r>
      <t xml:space="preserve">Úhrada za další činnosti poskytované vysokou školou </t>
    </r>
    <r>
      <rPr>
        <b/>
        <sz val="10"/>
        <rFont val="Calibri"/>
        <family val="2"/>
        <charset val="238"/>
      </rPr>
      <t>(4) (5)</t>
    </r>
  </si>
  <si>
    <t>ostatní platby posluchačů - DČ</t>
  </si>
  <si>
    <t xml:space="preserve">zápis předmětu mimo termín zápisu (TA 30) </t>
  </si>
  <si>
    <t>přeložení zkoušek (TA 30)</t>
  </si>
  <si>
    <t>podmíněné zápisy do dalšího semestru či ročníku (TA30)</t>
  </si>
  <si>
    <r>
      <t>poplatky za pozdní vyškrtávání předmětů (TA30</t>
    </r>
    <r>
      <rPr>
        <i/>
        <sz val="10"/>
        <rFont val="Calibri"/>
        <family val="2"/>
        <charset val="238"/>
      </rPr>
      <t>)</t>
    </r>
  </si>
  <si>
    <t>poplatky za kurzy pro cizince (TA 33)</t>
  </si>
  <si>
    <t>poplatky za kurzy pro tuzemce (TA 34)</t>
  </si>
  <si>
    <t xml:space="preserve">    Celkem</t>
  </si>
  <si>
    <r>
      <rPr>
        <sz val="8"/>
        <rFont val="Calibri"/>
        <family val="2"/>
        <charset val="238"/>
      </rPr>
      <t>(3)</t>
    </r>
    <r>
      <rPr>
        <sz val="10"/>
        <rFont val="Calibri"/>
        <family val="2"/>
        <charset val="238"/>
      </rPr>
      <t xml:space="preserve"> Položku v každém řádku sloupce "a" nebo "b" (vždy je možná pouze jedna hodnota) vydělí VŠ počtem studentů /účastníků vzdělávání ve sloupci "c". Pokud existuje jednotková sazba, stačí zde uvést tuto. </t>
    </r>
  </si>
  <si>
    <t>(4) Jedná se o činnosti související se studiem jiné než podle § 58 zák.111/1998 Sb.</t>
  </si>
  <si>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studium, dodatečný zápis, atp.</t>
    </r>
  </si>
  <si>
    <t>sl. "a" Celkem = vazba na stipendijní fond (Tab. 11.c)</t>
  </si>
  <si>
    <t xml:space="preserve"> sl. "b" Celkem = poplatky zaúčtované ve výnosech.</t>
  </si>
  <si>
    <t>Tab. 3 HV</t>
  </si>
  <si>
    <r>
      <t xml:space="preserve">Součásti VVŠ </t>
    </r>
    <r>
      <rPr>
        <b/>
        <sz val="8"/>
        <rFont val="Calibri"/>
        <family val="2"/>
        <charset val="238"/>
      </rPr>
      <t>(1)</t>
    </r>
  </si>
  <si>
    <t>%</t>
  </si>
  <si>
    <t>Divadelní fakulta</t>
  </si>
  <si>
    <t xml:space="preserve">Filmová fakulta </t>
  </si>
  <si>
    <t>Hudební fakulta</t>
  </si>
  <si>
    <t>Kolej</t>
  </si>
  <si>
    <t xml:space="preserve">Mezifakultní katedry, rektorát, UZA, UVS a CP   </t>
  </si>
  <si>
    <t>příspěvky a dotace v roce 2014</t>
  </si>
  <si>
    <t>001        Prostředky na studijní progr. v HČ</t>
  </si>
  <si>
    <t>schválený příspěvek A+K</t>
  </si>
  <si>
    <t>po úpravách</t>
  </si>
  <si>
    <t>převod na KD</t>
  </si>
  <si>
    <t>navýšení z MŠMT na konci roku</t>
  </si>
  <si>
    <t>po úpravách, převodech na KD a do FPP</t>
  </si>
  <si>
    <t>převody na KD</t>
  </si>
  <si>
    <t>rok 2013:</t>
  </si>
  <si>
    <t>příspěvky a dotace v roce 2013</t>
  </si>
  <si>
    <t>ROK 2015</t>
  </si>
  <si>
    <t xml:space="preserve">Studia, mezifak. katedry, rektorát, UZA, UVS a CP   </t>
  </si>
  <si>
    <t>poměr 2014/2015:</t>
  </si>
  <si>
    <t>poměr 2015/2014:</t>
  </si>
  <si>
    <t>poměr rozdílu 2015/2014 ku 2014:</t>
  </si>
  <si>
    <t xml:space="preserve">Studia, mezifakult. katedry, rektorát, UZA, UVS a CP   </t>
  </si>
  <si>
    <r>
      <t xml:space="preserve">Transfer znalostí </t>
    </r>
    <r>
      <rPr>
        <b/>
        <sz val="8"/>
        <rFont val="Calibri"/>
        <family val="2"/>
        <charset val="238"/>
      </rPr>
      <t>(1)</t>
    </r>
  </si>
  <si>
    <r>
      <t xml:space="preserve">Tržby  za vlastní služby </t>
    </r>
    <r>
      <rPr>
        <b/>
        <sz val="8"/>
        <rFont val="Calibri"/>
        <family val="2"/>
        <charset val="238"/>
      </rPr>
      <t>(6)</t>
    </r>
  </si>
  <si>
    <t>ostatní (DHM, a. ú. 652)</t>
  </si>
  <si>
    <r>
      <t xml:space="preserve">ostatní příjmy (2) </t>
    </r>
    <r>
      <rPr>
        <sz val="12"/>
        <color rgb="FF0000CC"/>
        <rFont val="Calibri"/>
        <family val="2"/>
        <charset val="238"/>
      </rPr>
      <t>*</t>
    </r>
  </si>
  <si>
    <r>
      <rPr>
        <sz val="8"/>
        <rFont val="Calibri"/>
        <family val="2"/>
        <charset val="238"/>
      </rPr>
      <t>(2)</t>
    </r>
    <r>
      <rPr>
        <sz val="10"/>
        <rFont val="Calibri"/>
        <family val="2"/>
        <charset val="238"/>
      </rPr>
      <t xml:space="preserve"> V případě použití tohoto řádku VVŠ blíže specifikuje</t>
    </r>
  </si>
  <si>
    <r>
      <t xml:space="preserve">ostatní užití (1) </t>
    </r>
    <r>
      <rPr>
        <sz val="12"/>
        <color rgb="FF0000CC"/>
        <rFont val="Calibri"/>
        <family val="2"/>
        <charset val="238"/>
      </rPr>
      <t>*</t>
    </r>
  </si>
  <si>
    <t>ROZDĚLIT!</t>
  </si>
  <si>
    <r>
      <t>ostatní příjmy (1)</t>
    </r>
    <r>
      <rPr>
        <sz val="10"/>
        <color rgb="FF0000CC"/>
        <rFont val="Calibri"/>
        <family val="2"/>
        <charset val="238"/>
      </rPr>
      <t>*</t>
    </r>
  </si>
  <si>
    <t>Kolej Hradební</t>
  </si>
  <si>
    <t>Ing. Petlach:</t>
  </si>
  <si>
    <r>
      <rPr>
        <sz val="8"/>
        <rFont val="Calibri"/>
        <family val="2"/>
        <charset val="238"/>
      </rPr>
      <t>(1)</t>
    </r>
    <r>
      <rPr>
        <sz val="10"/>
        <rFont val="Calibri"/>
        <family val="2"/>
        <charset val="238"/>
      </rPr>
      <t xml:space="preserve"> V případě použití tohoto řádku, VVŠ blíže specifikuje</t>
    </r>
  </si>
  <si>
    <r>
      <t xml:space="preserve">            ostatní inv. užití </t>
    </r>
    <r>
      <rPr>
        <sz val="8"/>
        <rFont val="Calibri"/>
        <family val="2"/>
        <charset val="238"/>
      </rPr>
      <t>(1) - projektová dokumentace</t>
    </r>
  </si>
  <si>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</si>
  <si>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</si>
  <si>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r>
      <t xml:space="preserve">Koleje a ostatní ubytovací zařízení provozované VVŠ </t>
    </r>
    <r>
      <rPr>
        <b/>
        <sz val="8"/>
        <rFont val="Calibri"/>
        <family val="2"/>
        <charset val="238"/>
      </rPr>
      <t>(1)</t>
    </r>
  </si>
  <si>
    <r>
      <t xml:space="preserve">od zaměst-  nanců </t>
    </r>
    <r>
      <rPr>
        <b/>
        <sz val="8"/>
        <rFont val="Calibri"/>
        <family val="2"/>
        <charset val="238"/>
      </rPr>
      <t>(2)</t>
    </r>
  </si>
  <si>
    <r>
      <t xml:space="preserve">ostatní </t>
    </r>
    <r>
      <rPr>
        <b/>
        <sz val="8"/>
        <rFont val="Calibri"/>
        <family val="2"/>
        <charset val="238"/>
      </rPr>
      <t>(3)</t>
    </r>
  </si>
  <si>
    <t>k převodu do wordu:</t>
  </si>
  <si>
    <t>a.ú.</t>
  </si>
  <si>
    <t>příspěvky a dotace v roce 2015</t>
  </si>
  <si>
    <t>převody na KD a do FPP</t>
  </si>
  <si>
    <t>čerpání fondů</t>
  </si>
  <si>
    <t>tj. 43.947</t>
  </si>
  <si>
    <t>FRIM - INVESTICE</t>
  </si>
  <si>
    <t>kontrola:</t>
  </si>
  <si>
    <t>náklady bez DP - jako výsledovka</t>
  </si>
  <si>
    <t>veřejné zdroje</t>
  </si>
  <si>
    <t>STIPENDIA</t>
  </si>
  <si>
    <r>
      <t xml:space="preserve">z toho příděl ze zisku </t>
    </r>
    <r>
      <rPr>
        <i/>
        <sz val="14"/>
        <color indexed="8"/>
        <rFont val="Calibri"/>
        <family val="2"/>
        <charset val="238"/>
      </rPr>
      <t>(1)</t>
    </r>
  </si>
  <si>
    <t xml:space="preserve">Komentář: Použití vlastních zdrojů z fondů mělo proti roku 2014 celkově vzestupnou tendenci, a to ze 25.380 tis.Kč na 43.947 tis. Kč. Projevilo se to nejvíce u FO (+6.915 tis. Kč), dále velkou měrou u FRIMu (+5.222 tis.Kč) a taktéž u FPP (+5.069 tis.Kč). Žádný fond nezaznamenal pokles čerpání. Ke snížení tvorby došlo pouze u stipendijního fondu.  </t>
  </si>
  <si>
    <t>KOMENTÁŘ:</t>
  </si>
  <si>
    <r>
      <t xml:space="preserve">z toho příděl ze zisku </t>
    </r>
    <r>
      <rPr>
        <i/>
        <sz val="11"/>
        <color indexed="8"/>
        <rFont val="Calibri"/>
        <family val="2"/>
        <charset val="238"/>
      </rPr>
      <t>(1)</t>
    </r>
  </si>
  <si>
    <t>* Jedná se v podstatě o opravu účetního zápisu z r. 2013, 2014 a 2015 na účtech 911, určených pro fondy AMU.  V roce 2013 bylo čerpání některých částek FPP omylem uvedeno na analytickém účtu 911xxx, který by měl obsahovat pouze čerpání stipendijního fondu. V roce 2014 byla tedy provedena oprava, která se projevila u SF jako tvorba ("vrácení" zdrojů) a u FPP jako čerpání ("použití" zdrojů). Nasazování PS roku 2015 bylo ale bohužel opět provedeno chybně, takže oprava musela být opět provedena u SF v oblasti tvorby, a to snížením. Skutečné čerpání a proúčtování fondů na účtech třídy  5 a 6 jak v roce 2013, tak v roce 2014 a 2015 tím nebylo nijak ovlivněno.  Tabulka 11c ale o upravovanou částku nekoresponduje s tabulkou 7 VZH.</t>
  </si>
  <si>
    <r>
      <t xml:space="preserve">poskytnuto </t>
    </r>
    <r>
      <rPr>
        <b/>
        <sz val="8"/>
        <rFont val="Calibri"/>
        <family val="2"/>
        <charset val="238"/>
      </rPr>
      <t>(2)</t>
    </r>
  </si>
  <si>
    <r>
      <t xml:space="preserve">v tom: </t>
    </r>
    <r>
      <rPr>
        <b/>
        <sz val="10"/>
        <rFont val="Calibri"/>
        <family val="2"/>
        <charset val="238"/>
      </rPr>
      <t xml:space="preserve">2. veřejné prostředky ze zahraničí (získané přímo VVŠ)  </t>
    </r>
    <r>
      <rPr>
        <b/>
        <sz val="8"/>
        <rFont val="Calibri"/>
        <family val="2"/>
        <charset val="238"/>
      </rPr>
      <t>(ř.28+ř.29)</t>
    </r>
  </si>
  <si>
    <t>Podklady A.S. - není určeno k převodu do wordu:</t>
  </si>
  <si>
    <t>5d</t>
  </si>
  <si>
    <t xml:space="preserve"> Převod příspěvku MŠMT na rok 2015 do FPP činí 10.559 tis. Kč. Největší podíl tvoří převod příspěvku A+K z druhé poloviny prosince 2015 částkou 9.116 tis. Kč, který je určen na financování provozu AMU v roce 2016.</t>
  </si>
  <si>
    <t>Podklady z FRIMu: Hana Šillerová</t>
  </si>
  <si>
    <t>Podklady A.S. - není určeno k převodu do wordu (od sl.H):</t>
  </si>
  <si>
    <t>Kontrola:</t>
  </si>
  <si>
    <t>Komentář: AMU neprovozuje menzu.</t>
  </si>
  <si>
    <t xml:space="preserve">* Jedná se opět o opravu účetního zápisu z r. 2013, 2014 a 2015 na účtech 911, určených pro fondy AMU.  V roce 2013 bylo čerpání některých částek FPP omylem uvedeno na analytickém účtu 911xxx, který by měl obsahovat pouze čerpání stipendijního fondu. V roce 2014 byla tedy provedena oprava, která se projevila u SF jako tvorba ("vrácení" zdrojů) a u FPP jako čerpání ("použití" zdrojů). Nasazování PS roku 2015 bylo ale bohužel opět provedeno chybně, takže oprava musela být opět provedena u SF v oblasti tvorby, a to snížením (u FPP navýšením). Skutečné čerpání a proúčtování fondů na účtech třídy  5 a 6 jak v roce 2013, tak v roce 2014 a 2015 tím nebylo nijak ovlivněno. </t>
  </si>
  <si>
    <t>Výkazy MÚZO jsou v roce 2015 stejně jako v roce 2014 vykazovány ve tvaru čísla v tis. Kč se dvěma desetinnými místy na rozdíl od roku 2013, kdy se desetinná místa neuváděla. Ovlivňuje to míru a přesnost zaokrouhlení čísla a způsobuje to rozdíly v ostatních tabulkách MŠMT, které až na výjimky jsou nastaveny na formát tis. Kč bez desetinných míst.</t>
  </si>
  <si>
    <t>Výkazy MÚZO jsou v roce 2015 opět vykazovány ve tvaru čísla v tis. Kč se dvěma desetinnými místy na rozdíl od roku 2013, kdy se desetinná místa neuváděla. Ovlivňuje to míru a přesnost zaokrouhlení čísla a způsobuje to rozdíly v ostatních tabulkách MŠMT VZH 2015.</t>
  </si>
  <si>
    <t>Komentář: Řádek B (tržby za vlastní služby) obsahuje údaje ze syntetického účtu 602 bez výnosů za pronájmy a bez příjmů z licenčních smluv.</t>
  </si>
  <si>
    <t>z toho 2.635 tis. Kč ubyt.stip.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</si>
</sst>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Red]\-#,##0\ ;\–\ "/>
    <numFmt numFmtId="165" formatCode="#,##0_ ;[Red]\-#,##0\ "/>
  </numFmts>
  <fonts count="155" x14ac:knownFonts="1">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b/>
      <sz val="11"/>
      <color theme="1"/>
      <name val="Calibri"/>
      <family val="2"/>
      <charset val="238"/>
      <scheme val="minor"/>
    </font>
    <font>
      <sz val="11"/>
      <color rgb="FFFF0000"/>
      <name val="Calibri"/>
      <family val="2"/>
      <charset val="238"/>
      <scheme val="minor"/>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9"/>
      <name val="Calibri"/>
      <family val="2"/>
      <charset val="238"/>
      <scheme val="minor"/>
    </font>
    <font>
      <sz val="9"/>
      <name val="Calibri"/>
      <family val="2"/>
      <charset val="238"/>
      <scheme val="minor"/>
    </font>
    <font>
      <sz val="10"/>
      <color indexed="10"/>
      <name val="Calibri"/>
      <family val="2"/>
      <charset val="238"/>
      <scheme val="minor"/>
    </font>
    <font>
      <sz val="10"/>
      <color indexed="12"/>
      <name val="Calibri"/>
      <family val="2"/>
      <charset val="238"/>
      <scheme val="minor"/>
    </font>
    <font>
      <sz val="12"/>
      <name val="Calibri"/>
      <family val="2"/>
      <charset val="238"/>
      <scheme val="minor"/>
    </font>
    <font>
      <sz val="10"/>
      <color indexed="8"/>
      <name val="Calibri"/>
      <family val="2"/>
      <charset val="238"/>
      <scheme val="minor"/>
    </font>
    <font>
      <sz val="12"/>
      <color indexed="8"/>
      <name val="Calibri"/>
      <family val="2"/>
      <charset val="238"/>
      <scheme val="minor"/>
    </font>
    <font>
      <sz val="10"/>
      <color rgb="FFFF0000"/>
      <name val="Calibri"/>
      <family val="2"/>
      <charset val="238"/>
      <scheme val="minor"/>
    </font>
    <font>
      <sz val="10"/>
      <color rgb="FF0070C0"/>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0"/>
      <color theme="1"/>
      <name val="Calibri"/>
      <family val="2"/>
      <charset val="238"/>
      <scheme val="minor"/>
    </font>
    <font>
      <sz val="10"/>
      <color indexed="48"/>
      <name val="Calibri"/>
      <family val="2"/>
      <charset val="238"/>
      <scheme val="minor"/>
    </font>
    <font>
      <sz val="8"/>
      <name val="Calibri"/>
      <family val="2"/>
      <charset val="238"/>
      <scheme val="minor"/>
    </font>
    <font>
      <sz val="12"/>
      <color theme="1"/>
      <name val="Calibri"/>
      <family val="2"/>
      <charset val="238"/>
      <scheme val="minor"/>
    </font>
    <font>
      <i/>
      <sz val="11"/>
      <color theme="1"/>
      <name val="Calibri"/>
      <family val="2"/>
      <charset val="238"/>
      <scheme val="minor"/>
    </font>
    <font>
      <i/>
      <sz val="10"/>
      <color theme="1"/>
      <name val="Calibri"/>
      <family val="2"/>
      <charset val="238"/>
      <scheme val="minor"/>
    </font>
    <font>
      <b/>
      <i/>
      <sz val="10"/>
      <color theme="1"/>
      <name val="Calibri"/>
      <family val="2"/>
      <charset val="238"/>
      <scheme val="minor"/>
    </font>
    <font>
      <sz val="10"/>
      <color theme="1"/>
      <name val="Calibri"/>
      <family val="2"/>
      <charset val="238"/>
    </font>
    <font>
      <b/>
      <sz val="10"/>
      <color theme="1"/>
      <name val="Calibri"/>
      <family val="2"/>
      <charset val="238"/>
    </font>
    <font>
      <b/>
      <i/>
      <sz val="10"/>
      <name val="Calibri"/>
      <family val="2"/>
      <charset val="238"/>
      <scheme val="minor"/>
    </font>
    <font>
      <b/>
      <sz val="10"/>
      <color indexed="8"/>
      <name val="Calibri"/>
      <family val="2"/>
      <charset val="238"/>
      <scheme val="minor"/>
    </font>
    <font>
      <vertAlign val="superscript"/>
      <sz val="10"/>
      <color theme="1"/>
      <name val="Calibri"/>
      <family val="2"/>
      <charset val="238"/>
    </font>
    <font>
      <b/>
      <sz val="14"/>
      <color rgb="FF660066"/>
      <name val="Calibri"/>
      <family val="2"/>
      <charset val="238"/>
      <scheme val="minor"/>
    </font>
    <font>
      <b/>
      <sz val="14"/>
      <color indexed="10"/>
      <name val="Calibri"/>
      <family val="2"/>
      <charset val="238"/>
    </font>
    <font>
      <b/>
      <sz val="10"/>
      <color indexed="12"/>
      <name val="Calibri"/>
      <family val="2"/>
      <charset val="238"/>
    </font>
    <font>
      <b/>
      <sz val="11"/>
      <color rgb="FFFF0000"/>
      <name val="Calibri"/>
      <family val="2"/>
      <charset val="238"/>
    </font>
    <font>
      <b/>
      <sz val="11"/>
      <color indexed="12"/>
      <name val="Calibri"/>
      <family val="2"/>
      <charset val="238"/>
    </font>
    <font>
      <sz val="11"/>
      <color indexed="10"/>
      <name val="Calibri"/>
      <family val="2"/>
      <charset val="238"/>
    </font>
    <font>
      <b/>
      <sz val="10"/>
      <color rgb="FFFF0000"/>
      <name val="Calibri"/>
      <family val="2"/>
      <charset val="238"/>
    </font>
    <font>
      <b/>
      <sz val="9"/>
      <name val="Arial"/>
      <family val="2"/>
      <charset val="238"/>
    </font>
    <font>
      <b/>
      <sz val="10"/>
      <name val="Arial"/>
      <family val="2"/>
      <charset val="238"/>
    </font>
    <font>
      <sz val="9"/>
      <name val="Arial"/>
      <family val="2"/>
      <charset val="238"/>
    </font>
    <font>
      <b/>
      <sz val="10"/>
      <color indexed="20"/>
      <name val="Calibri"/>
      <family val="2"/>
      <charset val="238"/>
    </font>
    <font>
      <sz val="9"/>
      <color indexed="10"/>
      <name val="Arial"/>
      <family val="2"/>
      <charset val="238"/>
    </font>
    <font>
      <sz val="10"/>
      <color indexed="10"/>
      <name val="Arial"/>
      <family val="2"/>
      <charset val="238"/>
    </font>
    <font>
      <sz val="10"/>
      <color indexed="17"/>
      <name val="Calibri"/>
      <family val="2"/>
      <charset val="238"/>
    </font>
    <font>
      <sz val="9"/>
      <color indexed="17"/>
      <name val="Arial"/>
      <family val="2"/>
      <charset val="238"/>
    </font>
    <font>
      <sz val="10"/>
      <color indexed="17"/>
      <name val="Arial"/>
      <family val="2"/>
      <charset val="238"/>
    </font>
    <font>
      <b/>
      <sz val="10"/>
      <color indexed="17"/>
      <name val="Calibri"/>
      <family val="2"/>
      <charset val="238"/>
    </font>
    <font>
      <sz val="9"/>
      <color rgb="FF0000CC"/>
      <name val="Arial"/>
      <family val="2"/>
      <charset val="238"/>
    </font>
    <font>
      <sz val="11"/>
      <color rgb="FF0000CC"/>
      <name val="Calibri"/>
      <family val="2"/>
      <charset val="238"/>
      <scheme val="minor"/>
    </font>
    <font>
      <sz val="10"/>
      <color indexed="57"/>
      <name val="Calibri"/>
      <family val="2"/>
      <charset val="238"/>
    </font>
    <font>
      <sz val="9"/>
      <color indexed="12"/>
      <name val="Arial"/>
      <family val="2"/>
      <charset val="238"/>
    </font>
    <font>
      <sz val="10"/>
      <color indexed="12"/>
      <name val="Arial"/>
      <family val="2"/>
      <charset val="238"/>
    </font>
    <font>
      <sz val="11"/>
      <color indexed="12"/>
      <name val="Calibri"/>
      <family val="2"/>
      <charset val="238"/>
    </font>
    <font>
      <sz val="12"/>
      <color indexed="10"/>
      <name val="Calibri"/>
      <family val="2"/>
      <charset val="238"/>
    </font>
    <font>
      <sz val="12"/>
      <color rgb="FF0000CC"/>
      <name val="Calibri"/>
      <family val="2"/>
      <charset val="238"/>
    </font>
    <font>
      <u/>
      <sz val="12"/>
      <name val="Calibri"/>
      <family val="2"/>
      <charset val="238"/>
    </font>
    <font>
      <sz val="10"/>
      <color rgb="FFFF0000"/>
      <name val="Calibri"/>
      <family val="2"/>
      <charset val="238"/>
    </font>
    <font>
      <b/>
      <sz val="8"/>
      <color indexed="8"/>
      <name val="Calibri"/>
      <family val="2"/>
      <charset val="238"/>
    </font>
    <font>
      <sz val="9"/>
      <color indexed="8"/>
      <name val="Calibri"/>
      <family val="2"/>
      <charset val="238"/>
    </font>
    <font>
      <b/>
      <sz val="14"/>
      <color indexed="12"/>
      <name val="Calibri"/>
      <family val="2"/>
      <charset val="238"/>
    </font>
    <font>
      <b/>
      <sz val="14"/>
      <color rgb="FF0000CC"/>
      <name val="Calibri"/>
      <family val="2"/>
      <charset val="238"/>
      <scheme val="minor"/>
    </font>
    <font>
      <sz val="12"/>
      <color indexed="8"/>
      <name val="Calibri"/>
      <family val="2"/>
      <charset val="238"/>
    </font>
    <font>
      <sz val="14"/>
      <color indexed="12"/>
      <name val="Calibri"/>
      <family val="2"/>
      <charset val="238"/>
    </font>
    <font>
      <sz val="14"/>
      <color theme="1"/>
      <name val="Calibri"/>
      <family val="2"/>
      <charset val="238"/>
      <scheme val="minor"/>
    </font>
    <font>
      <b/>
      <sz val="14"/>
      <color rgb="FFFF0000"/>
      <name val="Calibri"/>
      <family val="2"/>
      <charset val="238"/>
      <scheme val="minor"/>
    </font>
    <font>
      <sz val="10"/>
      <color indexed="12"/>
      <name val="Calibri"/>
      <family val="2"/>
      <charset val="238"/>
    </font>
    <font>
      <sz val="10"/>
      <color rgb="FF0000CC"/>
      <name val="Calibri"/>
      <family val="2"/>
      <charset val="238"/>
    </font>
    <font>
      <sz val="12"/>
      <color rgb="FFFF0000"/>
      <name val="Calibri"/>
      <family val="2"/>
      <charset val="238"/>
    </font>
    <font>
      <b/>
      <sz val="9"/>
      <color indexed="10"/>
      <name val="Arial"/>
      <family val="2"/>
      <charset val="238"/>
    </font>
    <font>
      <b/>
      <sz val="9"/>
      <color rgb="FFFF0000"/>
      <name val="Arial"/>
      <family val="2"/>
      <charset val="238"/>
    </font>
    <font>
      <b/>
      <sz val="11"/>
      <color rgb="FFFF0000"/>
      <name val="Calibri"/>
      <family val="2"/>
      <charset val="238"/>
      <scheme val="minor"/>
    </font>
    <font>
      <sz val="11"/>
      <name val="Calibri"/>
      <family val="2"/>
      <charset val="238"/>
      <scheme val="minor"/>
    </font>
    <font>
      <b/>
      <i/>
      <sz val="10"/>
      <name val="Calibri"/>
      <family val="2"/>
      <charset val="238"/>
    </font>
    <font>
      <b/>
      <sz val="12"/>
      <color indexed="20"/>
      <name val="Calibri"/>
      <family val="2"/>
      <charset val="238"/>
    </font>
    <font>
      <b/>
      <sz val="10"/>
      <color rgb="FF660066"/>
      <name val="Calibri"/>
      <family val="2"/>
      <charset val="238"/>
      <scheme val="minor"/>
    </font>
    <font>
      <b/>
      <sz val="11"/>
      <color rgb="FF0000CC"/>
      <name val="Calibri"/>
      <family val="2"/>
      <charset val="238"/>
      <scheme val="minor"/>
    </font>
    <font>
      <b/>
      <sz val="20"/>
      <color rgb="FFFF0000"/>
      <name val="Arial CE"/>
      <charset val="238"/>
    </font>
    <font>
      <b/>
      <sz val="12"/>
      <color rgb="FF0000CC"/>
      <name val="Arial CE"/>
      <charset val="238"/>
    </font>
    <font>
      <b/>
      <sz val="10"/>
      <name val="Arial CE"/>
      <charset val="238"/>
    </font>
    <font>
      <sz val="10"/>
      <color rgb="FF0000CC"/>
      <name val="Arial CE"/>
      <charset val="238"/>
    </font>
    <font>
      <b/>
      <sz val="10"/>
      <color rgb="FF660066"/>
      <name val="Arial CE"/>
      <charset val="238"/>
    </font>
    <font>
      <sz val="10"/>
      <color rgb="FF660066"/>
      <name val="Arial CE"/>
      <charset val="238"/>
    </font>
    <font>
      <b/>
      <sz val="10"/>
      <color rgb="FF0000CC"/>
      <name val="Arial CE"/>
      <charset val="238"/>
    </font>
    <font>
      <sz val="10"/>
      <color rgb="FFFF0000"/>
      <name val="Arial CE"/>
      <charset val="238"/>
    </font>
    <font>
      <b/>
      <sz val="10"/>
      <color rgb="FFFF0000"/>
      <name val="Arial CE"/>
      <charset val="238"/>
    </font>
    <font>
      <b/>
      <sz val="10"/>
      <color rgb="FF006600"/>
      <name val="Arial CE"/>
      <charset val="238"/>
    </font>
    <font>
      <sz val="10"/>
      <color rgb="FF006600"/>
      <name val="Arial CE"/>
      <charset val="238"/>
    </font>
    <font>
      <b/>
      <sz val="12"/>
      <color rgb="FF0000CC"/>
      <name val="Calibri"/>
      <family val="2"/>
      <charset val="238"/>
    </font>
    <font>
      <sz val="9"/>
      <color rgb="FFFF0000"/>
      <name val="Calibri"/>
      <family val="2"/>
      <charset val="238"/>
    </font>
    <font>
      <b/>
      <sz val="10"/>
      <color rgb="FF0000CC"/>
      <name val="Calibri"/>
      <family val="2"/>
      <charset val="238"/>
    </font>
    <font>
      <b/>
      <i/>
      <sz val="11"/>
      <name val="Calibri"/>
      <family val="2"/>
      <charset val="238"/>
    </font>
    <font>
      <b/>
      <i/>
      <sz val="10"/>
      <color indexed="8"/>
      <name val="Calibri"/>
      <family val="2"/>
      <charset val="238"/>
    </font>
    <font>
      <i/>
      <sz val="11"/>
      <color indexed="8"/>
      <name val="Calibri"/>
      <family val="2"/>
      <charset val="238"/>
    </font>
    <font>
      <b/>
      <sz val="16"/>
      <color rgb="FFFF0000"/>
      <name val="Calibri"/>
      <family val="2"/>
      <charset val="238"/>
    </font>
    <font>
      <b/>
      <sz val="12"/>
      <color rgb="FFFF0000"/>
      <name val="Arial CE"/>
      <charset val="238"/>
    </font>
    <font>
      <b/>
      <sz val="20"/>
      <color indexed="12"/>
      <name val="Arial CE"/>
      <charset val="238"/>
    </font>
    <font>
      <sz val="11"/>
      <name val="Arial CE"/>
      <charset val="238"/>
    </font>
    <font>
      <b/>
      <sz val="11"/>
      <name val="Arial CE"/>
      <charset val="238"/>
    </font>
    <font>
      <b/>
      <sz val="20"/>
      <color rgb="FFFF0000"/>
      <name val="Calibri"/>
      <family val="2"/>
      <charset val="238"/>
      <scheme val="minor"/>
    </font>
    <font>
      <sz val="8"/>
      <color theme="1"/>
      <name val="Calibri"/>
      <family val="2"/>
      <charset val="238"/>
      <scheme val="minor"/>
    </font>
    <font>
      <sz val="9"/>
      <color theme="1"/>
      <name val="Calibri"/>
      <family val="2"/>
      <charset val="238"/>
      <scheme val="minor"/>
    </font>
    <font>
      <sz val="9"/>
      <color rgb="FFFF0000"/>
      <name val="Calibri"/>
      <family val="2"/>
      <charset val="238"/>
      <scheme val="minor"/>
    </font>
    <font>
      <b/>
      <sz val="11"/>
      <color rgb="FF7030A0"/>
      <name val="Calibri"/>
      <family val="2"/>
      <charset val="238"/>
      <scheme val="minor"/>
    </font>
    <font>
      <b/>
      <sz val="12"/>
      <color rgb="FFFF0000"/>
      <name val="Calibri"/>
      <family val="2"/>
      <charset val="238"/>
      <scheme val="minor"/>
    </font>
    <font>
      <sz val="10"/>
      <color indexed="30"/>
      <name val="Calibri"/>
      <family val="2"/>
      <charset val="238"/>
    </font>
    <font>
      <b/>
      <sz val="16"/>
      <color rgb="FFFF0000"/>
      <name val="Calibri"/>
      <family val="2"/>
      <charset val="238"/>
      <scheme val="minor"/>
    </font>
    <font>
      <b/>
      <sz val="20"/>
      <color indexed="12"/>
      <name val="Calibri"/>
      <family val="2"/>
      <charset val="238"/>
    </font>
    <font>
      <b/>
      <sz val="12"/>
      <color indexed="12"/>
      <name val="Calibri"/>
      <family val="2"/>
      <charset val="238"/>
    </font>
    <font>
      <b/>
      <sz val="11"/>
      <color rgb="FF0000CC"/>
      <name val="Calibri"/>
      <family val="2"/>
      <charset val="238"/>
    </font>
    <font>
      <sz val="11"/>
      <color rgb="FF0000CC"/>
      <name val="Calibri"/>
      <family val="2"/>
      <charset val="238"/>
    </font>
    <font>
      <b/>
      <sz val="12"/>
      <color rgb="FF0000CC"/>
      <name val="Calibri"/>
      <family val="2"/>
      <charset val="238"/>
      <scheme val="minor"/>
    </font>
    <font>
      <sz val="11"/>
      <color indexed="20"/>
      <name val="Calibri"/>
      <family val="2"/>
      <charset val="238"/>
    </font>
    <font>
      <b/>
      <sz val="11"/>
      <color indexed="10"/>
      <name val="Arial CE"/>
      <charset val="238"/>
    </font>
    <font>
      <b/>
      <sz val="12"/>
      <color rgb="FFFF0000"/>
      <name val="Calibri"/>
      <family val="2"/>
      <charset val="238"/>
    </font>
    <font>
      <sz val="11"/>
      <color theme="1"/>
      <name val="Calibri"/>
      <family val="2"/>
      <charset val="238"/>
      <scheme val="minor"/>
    </font>
    <font>
      <b/>
      <sz val="9"/>
      <color indexed="12"/>
      <name val="Arial"/>
      <family val="2"/>
      <charset val="238"/>
    </font>
    <font>
      <b/>
      <sz val="18"/>
      <color rgb="FFFF0000"/>
      <name val="Calibri"/>
      <family val="2"/>
      <charset val="238"/>
    </font>
    <font>
      <b/>
      <sz val="14"/>
      <color indexed="12"/>
      <name val="Calibri"/>
      <family val="2"/>
      <charset val="238"/>
      <scheme val="minor"/>
    </font>
    <font>
      <b/>
      <sz val="10"/>
      <color rgb="FFFF0000"/>
      <name val="Calibri"/>
      <family val="2"/>
      <charset val="238"/>
      <scheme val="minor"/>
    </font>
    <font>
      <b/>
      <sz val="14"/>
      <color rgb="FFFF0000"/>
      <name val="Calibri"/>
      <family val="2"/>
      <charset val="238"/>
    </font>
    <font>
      <sz val="11"/>
      <color rgb="FFFF0000"/>
      <name val="Calibri"/>
      <family val="2"/>
      <charset val="238"/>
    </font>
    <font>
      <sz val="14"/>
      <color indexed="8"/>
      <name val="Calibri"/>
      <family val="2"/>
      <charset val="238"/>
    </font>
    <font>
      <i/>
      <sz val="14"/>
      <color indexed="8"/>
      <name val="Calibri"/>
      <family val="2"/>
      <charset val="238"/>
    </font>
    <font>
      <sz val="14"/>
      <color rgb="FF0000CC"/>
      <name val="Calibri"/>
      <family val="2"/>
      <charset val="238"/>
    </font>
    <font>
      <b/>
      <sz val="14"/>
      <color indexed="8"/>
      <name val="Calibri"/>
      <family val="2"/>
      <charset val="238"/>
    </font>
    <font>
      <sz val="14"/>
      <color rgb="FFFF0000"/>
      <name val="Calibri"/>
      <family val="2"/>
      <charset val="238"/>
    </font>
    <font>
      <b/>
      <sz val="8"/>
      <name val="Calibri"/>
      <family val="2"/>
      <charset val="238"/>
      <scheme val="minor"/>
    </font>
    <font>
      <sz val="10"/>
      <color rgb="FF660066"/>
      <name val="Calibri"/>
      <family val="2"/>
      <charset val="238"/>
      <scheme val="minor"/>
    </font>
    <font>
      <sz val="11"/>
      <color rgb="FF660066"/>
      <name val="Calibri"/>
      <family val="2"/>
      <charset val="238"/>
      <scheme val="minor"/>
    </font>
  </fonts>
  <fills count="28">
    <fill>
      <patternFill patternType="none"/>
    </fill>
    <fill>
      <patternFill patternType="gray125"/>
    </fill>
    <fill>
      <patternFill patternType="solid">
        <fgColor indexed="9"/>
        <bgColor indexed="64"/>
      </patternFill>
    </fill>
    <fill>
      <patternFill patternType="solid">
        <fgColor rgb="FFDBDBDB"/>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AEAEA"/>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rgb="FFE8E8E8"/>
        <bgColor indexed="64"/>
      </patternFill>
    </fill>
    <fill>
      <patternFill patternType="solid">
        <fgColor rgb="FF00FF00"/>
        <bgColor indexed="64"/>
      </patternFill>
    </fill>
    <fill>
      <patternFill patternType="solid">
        <fgColor indexed="13"/>
        <bgColor indexed="64"/>
      </patternFill>
    </fill>
    <fill>
      <patternFill patternType="solid">
        <fgColor indexed="51"/>
        <bgColor indexed="64"/>
      </patternFill>
    </fill>
    <fill>
      <patternFill patternType="solid">
        <fgColor indexed="55"/>
        <bgColor indexed="64"/>
      </patternFill>
    </fill>
    <fill>
      <patternFill patternType="solid">
        <fgColor indexed="47"/>
        <bgColor indexed="64"/>
      </patternFill>
    </fill>
    <fill>
      <patternFill patternType="solid">
        <fgColor rgb="FFFF99FF"/>
        <bgColor indexed="64"/>
      </patternFill>
    </fill>
    <fill>
      <patternFill patternType="solid">
        <fgColor indexed="42"/>
        <bgColor indexed="64"/>
      </patternFill>
    </fill>
    <fill>
      <patternFill patternType="solid">
        <fgColor indexed="22"/>
        <bgColor indexed="64"/>
      </patternFill>
    </fill>
    <fill>
      <patternFill patternType="solid">
        <fgColor rgb="FF00B0F0"/>
        <bgColor indexed="64"/>
      </patternFill>
    </fill>
    <fill>
      <patternFill patternType="solid">
        <fgColor indexed="43"/>
        <bgColor indexed="64"/>
      </patternFill>
    </fill>
    <fill>
      <patternFill patternType="solid">
        <fgColor rgb="FFFFCCFF"/>
        <bgColor indexed="64"/>
      </patternFill>
    </fill>
    <fill>
      <patternFill patternType="solid">
        <fgColor theme="3" tint="0.79998168889431442"/>
        <bgColor indexed="64"/>
      </patternFill>
    </fill>
    <fill>
      <patternFill patternType="solid">
        <fgColor rgb="FFFFFF66"/>
        <bgColor indexed="64"/>
      </patternFill>
    </fill>
    <fill>
      <patternFill patternType="solid">
        <fgColor theme="4" tint="0.59999389629810485"/>
        <bgColor indexed="64"/>
      </patternFill>
    </fill>
    <fill>
      <patternFill patternType="solid">
        <fgColor theme="9" tint="0.39997558519241921"/>
        <bgColor indexed="64"/>
      </patternFill>
    </fill>
  </fills>
  <borders count="262">
    <border>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55"/>
      </bottom>
      <diagonal/>
    </border>
    <border>
      <left style="thin">
        <color indexed="55"/>
      </left>
      <right style="thin">
        <color indexed="55"/>
      </right>
      <top style="thin">
        <color indexed="55"/>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55"/>
      </right>
      <top style="thin">
        <color indexed="55"/>
      </top>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bottom style="hair">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style="thin">
        <color indexed="22"/>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55"/>
      </top>
      <bottom style="thin">
        <color indexed="55"/>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right style="hair">
        <color indexed="64"/>
      </right>
      <top/>
      <bottom style="medium">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bottom style="thin">
        <color indexed="55"/>
      </bottom>
      <diagonal/>
    </border>
    <border>
      <left style="medium">
        <color indexed="64"/>
      </left>
      <right/>
      <top style="medium">
        <color indexed="64"/>
      </top>
      <bottom style="thin">
        <color indexed="55"/>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55"/>
      </bottom>
      <diagonal/>
    </border>
    <border>
      <left style="thin">
        <color indexed="55"/>
      </left>
      <right/>
      <top style="thin">
        <color indexed="55"/>
      </top>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style="medium">
        <color indexed="64"/>
      </top>
      <bottom style="thin">
        <color indexed="55"/>
      </bottom>
      <diagonal/>
    </border>
    <border>
      <left/>
      <right style="medium">
        <color indexed="64"/>
      </right>
      <top style="medium">
        <color indexed="64"/>
      </top>
      <bottom style="thin">
        <color indexed="55"/>
      </bottom>
      <diagonal/>
    </border>
    <border>
      <left style="medium">
        <color indexed="64"/>
      </left>
      <right style="medium">
        <color indexed="64"/>
      </right>
      <top style="thin">
        <color indexed="55"/>
      </top>
      <bottom style="thin">
        <color indexed="55"/>
      </bottom>
      <diagonal/>
    </border>
    <border>
      <left/>
      <right style="medium">
        <color indexed="64"/>
      </right>
      <top style="thin">
        <color indexed="55"/>
      </top>
      <bottom style="thin">
        <color indexed="55"/>
      </bottom>
      <diagonal/>
    </border>
    <border>
      <left style="medium">
        <color indexed="64"/>
      </left>
      <right style="medium">
        <color indexed="64"/>
      </right>
      <top style="thin">
        <color indexed="22"/>
      </top>
      <bottom style="thin">
        <color indexed="22"/>
      </bottom>
      <diagonal/>
    </border>
    <border>
      <left style="medium">
        <color indexed="64"/>
      </left>
      <right style="medium">
        <color indexed="64"/>
      </right>
      <top style="thin">
        <color indexed="55"/>
      </top>
      <bottom style="medium">
        <color indexed="64"/>
      </bottom>
      <diagonal/>
    </border>
    <border>
      <left/>
      <right style="medium">
        <color indexed="64"/>
      </right>
      <top style="thin">
        <color indexed="55"/>
      </top>
      <bottom style="medium">
        <color indexed="64"/>
      </bottom>
      <diagonal/>
    </border>
    <border>
      <left style="medium">
        <color indexed="64"/>
      </left>
      <right style="medium">
        <color indexed="64"/>
      </right>
      <top/>
      <bottom style="thin">
        <color indexed="55"/>
      </bottom>
      <diagonal/>
    </border>
    <border>
      <left/>
      <right style="medium">
        <color indexed="64"/>
      </right>
      <top/>
      <bottom style="thin">
        <color indexed="55"/>
      </bottom>
      <diagonal/>
    </border>
    <border>
      <left style="medium">
        <color indexed="64"/>
      </left>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medium">
        <color indexed="64"/>
      </right>
      <top style="hair">
        <color indexed="64"/>
      </top>
      <bottom style="medium">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thin">
        <color indexed="64"/>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style="thick">
        <color indexed="64"/>
      </left>
      <right style="medium">
        <color indexed="64"/>
      </right>
      <top/>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
      <left style="thin">
        <color indexed="64"/>
      </left>
      <right style="thick">
        <color indexed="64"/>
      </right>
      <top/>
      <bottom/>
      <diagonal/>
    </border>
    <border>
      <left style="thick">
        <color indexed="64"/>
      </left>
      <right style="thin">
        <color indexed="64"/>
      </right>
      <top/>
      <bottom/>
      <diagonal/>
    </border>
    <border>
      <left style="thin">
        <color indexed="64"/>
      </left>
      <right style="thick">
        <color indexed="64"/>
      </right>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style="thin">
        <color indexed="64"/>
      </right>
      <top style="medium">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thick">
        <color indexed="64"/>
      </top>
      <bottom/>
      <diagonal/>
    </border>
    <border>
      <left style="thick">
        <color indexed="64"/>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ck">
        <color indexed="64"/>
      </right>
      <top style="thin">
        <color indexed="64"/>
      </top>
      <bottom style="hair">
        <color indexed="64"/>
      </bottom>
      <diagonal/>
    </border>
    <border>
      <left style="thick">
        <color indexed="64"/>
      </left>
      <right style="thin">
        <color indexed="64"/>
      </right>
      <top style="thin">
        <color indexed="64"/>
      </top>
      <bottom style="hair">
        <color indexed="64"/>
      </bottom>
      <diagonal/>
    </border>
    <border>
      <left style="thick">
        <color indexed="64"/>
      </left>
      <right style="medium">
        <color indexed="64"/>
      </right>
      <top style="hair">
        <color indexed="64"/>
      </top>
      <bottom style="hair">
        <color indexed="64"/>
      </bottom>
      <diagonal/>
    </border>
    <border>
      <left style="medium">
        <color indexed="64"/>
      </left>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thin">
        <color indexed="64"/>
      </left>
      <right/>
      <top style="hair">
        <color indexed="64"/>
      </top>
      <bottom style="thick">
        <color indexed="64"/>
      </bottom>
      <diagonal/>
    </border>
    <border>
      <left style="thick">
        <color indexed="64"/>
      </left>
      <right style="thin">
        <color indexed="64"/>
      </right>
      <top style="hair">
        <color indexed="64"/>
      </top>
      <bottom style="thick">
        <color indexed="64"/>
      </bottom>
      <diagonal/>
    </border>
    <border>
      <left style="thick">
        <color indexed="64"/>
      </left>
      <right style="medium">
        <color indexed="64"/>
      </right>
      <top style="hair">
        <color indexed="64"/>
      </top>
      <bottom style="thick">
        <color indexed="64"/>
      </bottom>
      <diagonal/>
    </border>
    <border>
      <left style="thick">
        <color indexed="64"/>
      </left>
      <right style="medium">
        <color indexed="64"/>
      </right>
      <top/>
      <bottom style="hair">
        <color indexed="64"/>
      </bottom>
      <diagonal/>
    </border>
    <border>
      <left style="thin">
        <color indexed="64"/>
      </left>
      <right style="thick">
        <color indexed="64"/>
      </right>
      <top style="hair">
        <color indexed="64"/>
      </top>
      <bottom style="medium">
        <color indexed="64"/>
      </bottom>
      <diagonal/>
    </border>
    <border>
      <left style="thick">
        <color indexed="64"/>
      </left>
      <right style="medium">
        <color indexed="64"/>
      </right>
      <top/>
      <bottom style="thick">
        <color indexed="64"/>
      </bottom>
      <diagonal/>
    </border>
    <border>
      <left style="medium">
        <color indexed="64"/>
      </left>
      <right style="thin">
        <color indexed="64"/>
      </right>
      <top/>
      <bottom style="thick">
        <color indexed="64"/>
      </bottom>
      <diagonal/>
    </border>
    <border>
      <left/>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top style="thick">
        <color indexed="64"/>
      </top>
      <bottom style="thin">
        <color indexed="64"/>
      </bottom>
      <diagonal/>
    </border>
    <border>
      <left/>
      <right/>
      <top style="thin">
        <color indexed="64"/>
      </top>
      <bottom/>
      <diagonal/>
    </border>
    <border>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style="thin">
        <color indexed="64"/>
      </right>
      <top style="thin">
        <color indexed="64"/>
      </top>
      <bottom style="thick">
        <color indexed="64"/>
      </bottom>
      <diagonal/>
    </border>
    <border>
      <left/>
      <right style="thin">
        <color indexed="55"/>
      </right>
      <top style="thin">
        <color indexed="55"/>
      </top>
      <bottom/>
      <diagonal/>
    </border>
    <border>
      <left style="thin">
        <color indexed="55"/>
      </left>
      <right style="thin">
        <color indexed="55"/>
      </right>
      <top style="thin">
        <color indexed="55"/>
      </top>
      <bottom/>
      <diagonal/>
    </border>
    <border>
      <left style="thin">
        <color indexed="55"/>
      </left>
      <right/>
      <top style="thin">
        <color indexed="55"/>
      </top>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s>
  <cellStyleXfs count="5">
    <xf numFmtId="0" fontId="0" fillId="0" borderId="0"/>
    <xf numFmtId="0" fontId="4" fillId="0" borderId="0"/>
    <xf numFmtId="0" fontId="2" fillId="0" borderId="0"/>
    <xf numFmtId="0" fontId="3" fillId="0" borderId="0"/>
    <xf numFmtId="0" fontId="2" fillId="0" borderId="0"/>
  </cellStyleXfs>
  <cellXfs count="3124">
    <xf numFmtId="0" fontId="0" fillId="0" borderId="0" xfId="0"/>
    <xf numFmtId="0" fontId="4" fillId="0" borderId="0" xfId="1"/>
    <xf numFmtId="0" fontId="4" fillId="0" borderId="0" xfId="1" applyAlignment="1" applyProtection="1">
      <alignment vertical="center"/>
      <protection locked="0"/>
    </xf>
    <xf numFmtId="0" fontId="4" fillId="0" borderId="0" xfId="1" applyAlignment="1">
      <alignment vertical="center"/>
    </xf>
    <xf numFmtId="0" fontId="4" fillId="0" borderId="0" xfId="1" applyProtection="1">
      <protection locked="0"/>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Border="1" applyAlignment="1" applyProtection="1">
      <alignment vertical="center"/>
      <protection locked="0"/>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8" fillId="0" borderId="0" xfId="1" applyFont="1" applyAlignment="1" applyProtection="1">
      <alignment vertical="center"/>
      <protection locked="0"/>
    </xf>
    <xf numFmtId="0" fontId="29" fillId="0" borderId="0" xfId="1" applyFont="1" applyAlignment="1" applyProtection="1">
      <alignment vertical="center"/>
      <protection locked="0"/>
    </xf>
    <xf numFmtId="0" fontId="29" fillId="0" borderId="0" xfId="1" applyFont="1" applyAlignment="1" applyProtection="1">
      <alignment horizontal="right" vertical="center"/>
      <protection locked="0"/>
    </xf>
    <xf numFmtId="0" fontId="29" fillId="0" borderId="1" xfId="1" applyFont="1" applyBorder="1" applyAlignment="1" applyProtection="1">
      <alignment horizontal="center" vertical="center" wrapText="1"/>
      <protection locked="0"/>
    </xf>
    <xf numFmtId="49" fontId="29" fillId="0" borderId="0" xfId="1" applyNumberFormat="1" applyFont="1" applyAlignment="1" applyProtection="1">
      <alignment vertical="center"/>
      <protection locked="0"/>
    </xf>
    <xf numFmtId="0" fontId="29"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1" fillId="0" borderId="0" xfId="1" applyFont="1" applyAlignment="1" applyProtection="1">
      <alignment vertical="center"/>
      <protection locked="0"/>
    </xf>
    <xf numFmtId="0" fontId="31" fillId="0" borderId="0" xfId="1" applyFont="1" applyAlignment="1">
      <alignment vertical="center"/>
    </xf>
    <xf numFmtId="0" fontId="29" fillId="0" borderId="0" xfId="1" applyFont="1" applyAlignment="1" applyProtection="1">
      <alignment horizontal="center" vertical="center"/>
      <protection locked="0"/>
    </xf>
    <xf numFmtId="0" fontId="29" fillId="0" borderId="0" xfId="1" applyFont="1" applyAlignment="1">
      <alignment horizontal="center" vertical="center"/>
    </xf>
    <xf numFmtId="0" fontId="29" fillId="0" borderId="0" xfId="1" applyFont="1" applyBorder="1" applyAlignment="1">
      <alignment vertical="center" wrapText="1"/>
    </xf>
    <xf numFmtId="0" fontId="29" fillId="0" borderId="0" xfId="1" applyFont="1" applyBorder="1" applyAlignment="1" applyProtection="1">
      <alignment vertical="center"/>
      <protection locked="0"/>
    </xf>
    <xf numFmtId="0" fontId="29" fillId="0" borderId="0" xfId="2" applyFont="1" applyBorder="1" applyAlignment="1">
      <alignment vertical="center"/>
    </xf>
    <xf numFmtId="49" fontId="29" fillId="0" borderId="0" xfId="2" applyNumberFormat="1" applyFont="1" applyBorder="1" applyAlignment="1">
      <alignment vertical="center"/>
    </xf>
    <xf numFmtId="0" fontId="30" fillId="0" borderId="2" xfId="2" applyFont="1" applyBorder="1" applyAlignment="1">
      <alignment vertical="center"/>
    </xf>
    <xf numFmtId="49" fontId="32" fillId="0" borderId="3" xfId="2" applyNumberFormat="1" applyFont="1" applyBorder="1" applyAlignment="1">
      <alignment horizontal="center" vertical="center" wrapText="1"/>
    </xf>
    <xf numFmtId="49" fontId="32" fillId="0" borderId="4" xfId="2" applyNumberFormat="1" applyFont="1" applyBorder="1" applyAlignment="1">
      <alignment horizontal="center" vertical="center" wrapText="1"/>
    </xf>
    <xf numFmtId="0" fontId="30" fillId="0" borderId="5" xfId="2" applyFont="1" applyBorder="1" applyAlignment="1">
      <alignment vertical="center" wrapText="1"/>
    </xf>
    <xf numFmtId="49" fontId="29" fillId="0" borderId="6" xfId="2" applyNumberFormat="1" applyFont="1" applyBorder="1" applyAlignment="1">
      <alignment horizontal="center" vertical="center" wrapText="1"/>
    </xf>
    <xf numFmtId="49" fontId="29" fillId="0" borderId="7" xfId="2" applyNumberFormat="1" applyFont="1" applyBorder="1" applyAlignment="1">
      <alignment horizontal="center" vertical="center" wrapText="1"/>
    </xf>
    <xf numFmtId="0" fontId="29" fillId="0" borderId="8" xfId="2" applyFont="1" applyBorder="1" applyAlignment="1">
      <alignment vertical="center" wrapText="1"/>
    </xf>
    <xf numFmtId="49" fontId="29" fillId="0" borderId="9" xfId="2" applyNumberFormat="1" applyFont="1" applyBorder="1" applyAlignment="1">
      <alignment horizontal="center" vertical="center" wrapText="1"/>
    </xf>
    <xf numFmtId="49" fontId="29" fillId="0" borderId="10" xfId="2" applyNumberFormat="1" applyFont="1" applyBorder="1" applyAlignment="1">
      <alignment horizontal="center" vertical="center" wrapText="1"/>
    </xf>
    <xf numFmtId="0" fontId="29" fillId="0" borderId="8" xfId="2" applyFont="1" applyBorder="1" applyAlignment="1">
      <alignment horizontal="left" vertical="center" wrapText="1"/>
    </xf>
    <xf numFmtId="0" fontId="29" fillId="0" borderId="11" xfId="2" applyFont="1" applyBorder="1" applyAlignment="1">
      <alignment vertical="center" wrapText="1"/>
    </xf>
    <xf numFmtId="49" fontId="29" fillId="0" borderId="12" xfId="2" applyNumberFormat="1" applyFont="1" applyBorder="1" applyAlignment="1">
      <alignment horizontal="center" vertical="center" wrapText="1"/>
    </xf>
    <xf numFmtId="49" fontId="29" fillId="0" borderId="13" xfId="2" applyNumberFormat="1" applyFont="1" applyBorder="1" applyAlignment="1">
      <alignment horizontal="center" vertical="center" wrapText="1"/>
    </xf>
    <xf numFmtId="0" fontId="29" fillId="0" borderId="14" xfId="2" applyFont="1" applyBorder="1" applyAlignment="1">
      <alignment horizontal="left" vertical="center" wrapText="1"/>
    </xf>
    <xf numFmtId="49" fontId="29" fillId="0" borderId="15" xfId="2" applyNumberFormat="1" applyFont="1" applyBorder="1" applyAlignment="1">
      <alignment horizontal="center" vertical="center" wrapText="1"/>
    </xf>
    <xf numFmtId="49" fontId="29" fillId="0" borderId="16" xfId="2" applyNumberFormat="1" applyFont="1" applyBorder="1" applyAlignment="1">
      <alignment horizontal="center" vertical="center" wrapText="1"/>
    </xf>
    <xf numFmtId="0" fontId="30" fillId="0" borderId="17" xfId="2" applyFont="1" applyBorder="1" applyAlignment="1">
      <alignment vertical="center" wrapText="1"/>
    </xf>
    <xf numFmtId="0" fontId="29" fillId="0" borderId="5" xfId="2" applyFont="1" applyBorder="1" applyAlignment="1">
      <alignment vertical="center" wrapText="1"/>
    </xf>
    <xf numFmtId="49" fontId="33" fillId="0" borderId="9" xfId="2" applyNumberFormat="1" applyFont="1" applyBorder="1" applyAlignment="1">
      <alignment horizontal="center" vertical="center"/>
    </xf>
    <xf numFmtId="49" fontId="29" fillId="0" borderId="18" xfId="2" applyNumberFormat="1" applyFont="1" applyBorder="1" applyAlignment="1">
      <alignment horizontal="center" vertical="center" wrapText="1"/>
    </xf>
    <xf numFmtId="0" fontId="29" fillId="0" borderId="0" xfId="2" applyFont="1" applyBorder="1" applyAlignment="1">
      <alignment vertical="center" wrapText="1"/>
    </xf>
    <xf numFmtId="49" fontId="29" fillId="0" borderId="0" xfId="2" applyNumberFormat="1" applyFont="1" applyBorder="1" applyAlignment="1">
      <alignment horizontal="center" vertical="center" wrapText="1"/>
    </xf>
    <xf numFmtId="0" fontId="31" fillId="0" borderId="0" xfId="2" applyFont="1" applyBorder="1" applyAlignment="1">
      <alignment vertical="center"/>
    </xf>
    <xf numFmtId="49" fontId="29" fillId="0" borderId="0" xfId="2" applyNumberFormat="1" applyFont="1" applyBorder="1" applyAlignment="1">
      <alignment vertical="center" wrapText="1"/>
    </xf>
    <xf numFmtId="0" fontId="30" fillId="0" borderId="2" xfId="2" applyFont="1" applyFill="1" applyBorder="1" applyAlignment="1">
      <alignment horizontal="left" vertical="center"/>
    </xf>
    <xf numFmtId="49" fontId="30" fillId="0" borderId="3" xfId="2" applyNumberFormat="1" applyFont="1" applyFill="1" applyBorder="1" applyAlignment="1">
      <alignment horizontal="center" vertical="center" wrapText="1"/>
    </xf>
    <xf numFmtId="49" fontId="30" fillId="0" borderId="4" xfId="2" applyNumberFormat="1" applyFont="1" applyFill="1" applyBorder="1" applyAlignment="1">
      <alignment horizontal="center" vertical="center" wrapText="1"/>
    </xf>
    <xf numFmtId="0" fontId="29" fillId="0" borderId="0" xfId="1" applyFont="1"/>
    <xf numFmtId="0" fontId="30" fillId="0" borderId="0" xfId="1" applyFont="1"/>
    <xf numFmtId="0" fontId="29" fillId="0" borderId="0" xfId="1" applyFont="1" applyProtection="1">
      <protection locked="0"/>
    </xf>
    <xf numFmtId="0" fontId="30" fillId="0" borderId="17" xfId="1" applyFont="1" applyBorder="1" applyAlignment="1" applyProtection="1">
      <alignment horizontal="center" vertical="center" wrapText="1"/>
      <protection locked="0"/>
    </xf>
    <xf numFmtId="0" fontId="30" fillId="0" borderId="3" xfId="1" applyFont="1" applyBorder="1" applyAlignment="1" applyProtection="1">
      <alignment horizontal="center" vertical="center" wrapText="1"/>
      <protection locked="0"/>
    </xf>
    <xf numFmtId="0" fontId="30" fillId="0" borderId="4" xfId="1" applyFont="1" applyBorder="1" applyAlignment="1" applyProtection="1">
      <alignment horizontal="center" vertical="center" wrapText="1"/>
      <protection locked="0"/>
    </xf>
    <xf numFmtId="0" fontId="30" fillId="0" borderId="19" xfId="1" applyFont="1" applyBorder="1" applyAlignment="1" applyProtection="1">
      <alignment horizontal="center" vertical="center" wrapText="1"/>
      <protection locked="0"/>
    </xf>
    <xf numFmtId="0" fontId="29" fillId="0" borderId="20" xfId="1" applyFont="1" applyBorder="1" applyAlignment="1" applyProtection="1">
      <alignment vertical="center" wrapText="1"/>
      <protection locked="0"/>
    </xf>
    <xf numFmtId="0" fontId="29" fillId="0" borderId="8" xfId="1" applyFont="1" applyBorder="1" applyAlignment="1" applyProtection="1">
      <alignment horizontal="left" vertical="center" wrapText="1"/>
      <protection locked="0"/>
    </xf>
    <xf numFmtId="0" fontId="34" fillId="0" borderId="0" xfId="1" applyFont="1" applyAlignment="1" applyProtection="1">
      <alignment vertical="center"/>
      <protection locked="0"/>
    </xf>
    <xf numFmtId="0" fontId="35" fillId="0" borderId="0" xfId="1" applyFont="1" applyAlignment="1" applyProtection="1">
      <alignment vertical="center"/>
      <protection locked="0"/>
    </xf>
    <xf numFmtId="0" fontId="30" fillId="0" borderId="0" xfId="1" applyFont="1" applyAlignment="1" applyProtection="1">
      <alignment horizontal="justify" vertical="center"/>
      <protection locked="0"/>
    </xf>
    <xf numFmtId="3" fontId="29" fillId="0" borderId="7" xfId="1" applyNumberFormat="1" applyFont="1" applyFill="1" applyBorder="1" applyAlignment="1" applyProtection="1">
      <alignment vertical="center" wrapText="1"/>
      <protection locked="0"/>
    </xf>
    <xf numFmtId="3" fontId="29" fillId="0" borderId="10" xfId="1" applyNumberFormat="1" applyFont="1" applyFill="1" applyBorder="1" applyAlignment="1" applyProtection="1">
      <alignment vertical="center" wrapText="1"/>
      <protection locked="0"/>
    </xf>
    <xf numFmtId="0" fontId="30" fillId="0" borderId="0" xfId="1" applyFont="1" applyAlignment="1">
      <alignment vertical="center"/>
    </xf>
    <xf numFmtId="0" fontId="29" fillId="0" borderId="0" xfId="1" applyFont="1" applyFill="1" applyAlignment="1" applyProtection="1">
      <alignment vertical="center"/>
      <protection locked="0"/>
    </xf>
    <xf numFmtId="0" fontId="28" fillId="0" borderId="0" xfId="1" applyFont="1" applyFill="1" applyAlignment="1" applyProtection="1">
      <alignment vertical="center"/>
      <protection locked="0"/>
    </xf>
    <xf numFmtId="0" fontId="36" fillId="0" borderId="0" xfId="1" applyFont="1" applyAlignment="1" applyProtection="1">
      <alignment horizontal="right" vertical="center"/>
      <protection locked="0"/>
    </xf>
    <xf numFmtId="3" fontId="29" fillId="0" borderId="10" xfId="1" applyNumberFormat="1" applyFont="1" applyFill="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protection hidden="1"/>
    </xf>
    <xf numFmtId="3" fontId="29" fillId="0" borderId="13" xfId="1" applyNumberFormat="1" applyFont="1" applyFill="1" applyBorder="1" applyAlignment="1" applyProtection="1">
      <alignment vertical="center" wrapText="1"/>
      <protection locked="0"/>
    </xf>
    <xf numFmtId="0" fontId="29" fillId="0" borderId="0" xfId="1" applyFont="1" applyBorder="1" applyProtection="1">
      <protection locked="0"/>
    </xf>
    <xf numFmtId="0" fontId="29" fillId="0" borderId="0" xfId="1" applyFont="1" applyBorder="1" applyAlignment="1" applyProtection="1">
      <alignment horizontal="justify" vertical="center" wrapText="1"/>
      <protection locked="0"/>
    </xf>
    <xf numFmtId="0" fontId="28" fillId="0" borderId="0" xfId="1" applyFont="1" applyProtection="1">
      <protection locked="0"/>
    </xf>
    <xf numFmtId="0" fontId="29" fillId="0" borderId="16" xfId="1" applyFont="1" applyBorder="1" applyAlignment="1" applyProtection="1">
      <alignment horizontal="center" vertical="center" wrapText="1"/>
      <protection locked="0"/>
    </xf>
    <xf numFmtId="0" fontId="29" fillId="0" borderId="0" xfId="1" applyFont="1" applyFill="1" applyAlignment="1" applyProtection="1">
      <alignment horizontal="left" vertical="center"/>
      <protection locked="0"/>
    </xf>
    <xf numFmtId="0" fontId="29" fillId="0" borderId="8" xfId="1" applyFont="1" applyBorder="1" applyAlignment="1" applyProtection="1">
      <alignment horizontal="center" vertical="center" wrapText="1"/>
      <protection locked="0"/>
    </xf>
    <xf numFmtId="0" fontId="29" fillId="0" borderId="0" xfId="1" applyFont="1" applyBorder="1" applyAlignment="1" applyProtection="1">
      <alignment horizontal="left" vertical="center" wrapText="1"/>
      <protection locked="0"/>
    </xf>
    <xf numFmtId="0" fontId="28" fillId="0" borderId="0" xfId="1" applyFont="1" applyBorder="1" applyAlignment="1" applyProtection="1">
      <alignment horizontal="justify" vertical="center"/>
      <protection locked="0"/>
    </xf>
    <xf numFmtId="0" fontId="29" fillId="0" borderId="0" xfId="1" applyFont="1" applyBorder="1" applyAlignment="1" applyProtection="1">
      <alignment horizontal="left" vertical="center"/>
      <protection locked="0"/>
    </xf>
    <xf numFmtId="0" fontId="29" fillId="0" borderId="0" xfId="1" applyFont="1" applyBorder="1" applyAlignment="1">
      <alignment vertical="center"/>
    </xf>
    <xf numFmtId="0" fontId="29" fillId="0" borderId="0" xfId="1" applyFont="1" applyBorder="1" applyAlignment="1">
      <alignment horizontal="left" vertical="center"/>
    </xf>
    <xf numFmtId="0" fontId="29" fillId="0" borderId="0" xfId="1" applyFont="1" applyAlignment="1">
      <alignment horizontal="left" vertical="center"/>
    </xf>
    <xf numFmtId="4" fontId="29" fillId="0" borderId="0" xfId="1" applyNumberFormat="1" applyFont="1" applyAlignment="1" applyProtection="1">
      <alignment vertical="center"/>
      <protection locked="0"/>
    </xf>
    <xf numFmtId="4" fontId="29" fillId="0" borderId="0" xfId="1" applyNumberFormat="1" applyFont="1" applyAlignment="1">
      <alignment vertical="center"/>
    </xf>
    <xf numFmtId="4" fontId="29" fillId="0" borderId="0" xfId="1" applyNumberFormat="1" applyFont="1" applyAlignment="1" applyProtection="1">
      <alignment horizontal="right" vertical="center"/>
      <protection locked="0"/>
    </xf>
    <xf numFmtId="4" fontId="29" fillId="0" borderId="19" xfId="1" applyNumberFormat="1" applyFont="1" applyBorder="1" applyAlignment="1" applyProtection="1">
      <alignment vertical="center"/>
      <protection locked="0"/>
    </xf>
    <xf numFmtId="0" fontId="28" fillId="0" borderId="0" xfId="1" applyFont="1" applyAlignment="1" applyProtection="1">
      <protection locked="0"/>
    </xf>
    <xf numFmtId="4" fontId="29" fillId="0" borderId="0" xfId="1" applyNumberFormat="1" applyFont="1" applyProtection="1">
      <protection locked="0"/>
    </xf>
    <xf numFmtId="4" fontId="29" fillId="0" borderId="0" xfId="1" applyNumberFormat="1" applyFont="1" applyAlignment="1" applyProtection="1">
      <alignment horizontal="right"/>
      <protection locked="0"/>
    </xf>
    <xf numFmtId="4" fontId="29" fillId="0" borderId="23" xfId="1" applyNumberFormat="1" applyFont="1" applyBorder="1" applyAlignment="1" applyProtection="1">
      <alignment vertical="center"/>
      <protection locked="0"/>
    </xf>
    <xf numFmtId="4" fontId="29" fillId="0" borderId="0" xfId="1" applyNumberFormat="1" applyFont="1"/>
    <xf numFmtId="4" fontId="37" fillId="0" borderId="0" xfId="1" applyNumberFormat="1" applyFont="1" applyBorder="1" applyAlignment="1" applyProtection="1">
      <alignment horizontal="right" vertical="top" wrapText="1"/>
      <protection locked="0"/>
    </xf>
    <xf numFmtId="0" fontId="37" fillId="0" borderId="0" xfId="1" applyFont="1" applyAlignment="1">
      <alignment horizontal="right" vertical="top" wrapText="1"/>
    </xf>
    <xf numFmtId="0" fontId="37" fillId="0" borderId="0" xfId="1" applyFont="1" applyBorder="1" applyAlignment="1">
      <alignment horizontal="right" vertical="top" wrapText="1"/>
    </xf>
    <xf numFmtId="0" fontId="37" fillId="0" borderId="0" xfId="1" applyFont="1" applyBorder="1" applyAlignment="1">
      <alignment vertical="top" wrapText="1"/>
    </xf>
    <xf numFmtId="0" fontId="38" fillId="0" borderId="24" xfId="1" applyFont="1" applyBorder="1" applyAlignment="1" applyProtection="1">
      <alignment horizontal="left" vertical="center" wrapText="1"/>
      <protection locked="0"/>
    </xf>
    <xf numFmtId="0" fontId="37" fillId="0" borderId="0" xfId="1" applyFont="1" applyAlignment="1">
      <alignment vertical="top" wrapText="1"/>
    </xf>
    <xf numFmtId="0" fontId="29" fillId="0" borderId="0" xfId="1" applyFont="1" applyFill="1" applyBorder="1" applyProtection="1">
      <protection locked="0"/>
    </xf>
    <xf numFmtId="4" fontId="29" fillId="0" borderId="0" xfId="1" applyNumberFormat="1" applyFont="1" applyFill="1" applyBorder="1" applyProtection="1">
      <protection locked="0"/>
    </xf>
    <xf numFmtId="0" fontId="29" fillId="0" borderId="0" xfId="1" applyFont="1" applyFill="1" applyBorder="1"/>
    <xf numFmtId="0" fontId="35" fillId="0" borderId="0" xfId="1" applyFont="1" applyFill="1" applyBorder="1" applyAlignment="1">
      <alignment vertical="top" wrapText="1"/>
    </xf>
    <xf numFmtId="0" fontId="35" fillId="0" borderId="0" xfId="1" applyFont="1" applyFill="1" applyBorder="1" applyAlignment="1">
      <alignment horizontal="center" vertical="top" wrapText="1"/>
    </xf>
    <xf numFmtId="0" fontId="35" fillId="0" borderId="0" xfId="1" applyFont="1" applyFill="1" applyBorder="1" applyAlignment="1">
      <alignment horizontal="justify" vertical="top" wrapText="1"/>
    </xf>
    <xf numFmtId="4" fontId="29" fillId="0" borderId="0" xfId="1" applyNumberFormat="1" applyFont="1" applyFill="1" applyBorder="1"/>
    <xf numFmtId="4" fontId="37" fillId="0" borderId="0" xfId="1" applyNumberFormat="1" applyFont="1" applyBorder="1" applyAlignment="1" applyProtection="1">
      <alignment horizontal="right" vertical="center" wrapText="1"/>
      <protection locked="0"/>
    </xf>
    <xf numFmtId="0" fontId="29" fillId="0" borderId="3" xfId="1" applyFont="1" applyBorder="1" applyAlignment="1" applyProtection="1">
      <alignment horizontal="center" vertical="center"/>
      <protection locked="0"/>
    </xf>
    <xf numFmtId="0" fontId="29" fillId="0" borderId="25" xfId="1" applyFont="1" applyBorder="1" applyAlignment="1" applyProtection="1">
      <alignment horizontal="center" vertical="center"/>
      <protection locked="0"/>
    </xf>
    <xf numFmtId="0" fontId="29" fillId="0" borderId="26" xfId="1" applyFont="1" applyBorder="1" applyAlignment="1" applyProtection="1">
      <alignment horizontal="center" vertical="center"/>
      <protection locked="0"/>
    </xf>
    <xf numFmtId="4" fontId="29" fillId="0" borderId="4" xfId="1" applyNumberFormat="1" applyFont="1" applyBorder="1" applyAlignment="1" applyProtection="1">
      <alignment horizontal="center" vertical="center"/>
      <protection locked="0"/>
    </xf>
    <xf numFmtId="4" fontId="29" fillId="0" borderId="19" xfId="1" applyNumberFormat="1" applyFont="1" applyBorder="1" applyAlignment="1" applyProtection="1">
      <alignment horizontal="center" vertical="center"/>
      <protection locked="0"/>
    </xf>
    <xf numFmtId="0" fontId="37" fillId="0" borderId="0" xfId="1" applyFont="1" applyBorder="1" applyAlignment="1" applyProtection="1">
      <alignment vertical="center" wrapText="1"/>
      <protection locked="0"/>
    </xf>
    <xf numFmtId="0" fontId="37" fillId="0" borderId="0" xfId="1" applyFont="1" applyBorder="1" applyAlignment="1" applyProtection="1">
      <alignment horizontal="right" vertical="center" wrapText="1"/>
      <protection locked="0"/>
    </xf>
    <xf numFmtId="0" fontId="29" fillId="0" borderId="0" xfId="1" applyFont="1" applyFill="1" applyBorder="1" applyAlignment="1" applyProtection="1">
      <alignment vertical="center"/>
      <protection locked="0"/>
    </xf>
    <xf numFmtId="0" fontId="39" fillId="0" borderId="0" xfId="1" applyFont="1" applyAlignment="1">
      <alignment vertical="center"/>
    </xf>
    <xf numFmtId="4" fontId="40" fillId="0" borderId="0" xfId="1" applyNumberFormat="1" applyFont="1" applyAlignment="1">
      <alignment vertical="center"/>
    </xf>
    <xf numFmtId="0" fontId="29" fillId="0" borderId="0" xfId="1" applyFont="1" applyProtection="1"/>
    <xf numFmtId="4" fontId="29" fillId="0" borderId="0" xfId="1" applyNumberFormat="1" applyFont="1" applyProtection="1"/>
    <xf numFmtId="0" fontId="28" fillId="0" borderId="0" xfId="1" applyFont="1" applyProtection="1"/>
    <xf numFmtId="4" fontId="37" fillId="0" borderId="0" xfId="1" applyNumberFormat="1" applyFont="1" applyBorder="1" applyAlignment="1" applyProtection="1">
      <alignment horizontal="right" vertical="top" wrapText="1"/>
    </xf>
    <xf numFmtId="0" fontId="37" fillId="0" borderId="0" xfId="1" applyFont="1" applyBorder="1" applyAlignment="1" applyProtection="1">
      <alignment vertical="top" wrapText="1"/>
    </xf>
    <xf numFmtId="0" fontId="37" fillId="0" borderId="0" xfId="1" applyFont="1" applyBorder="1" applyAlignment="1" applyProtection="1">
      <alignment horizontal="right" vertical="top" wrapText="1"/>
    </xf>
    <xf numFmtId="0" fontId="29" fillId="0" borderId="0" xfId="1" applyFont="1" applyFill="1" applyBorder="1" applyProtection="1"/>
    <xf numFmtId="0" fontId="35" fillId="0" borderId="0" xfId="1" applyFont="1" applyFill="1" applyBorder="1" applyAlignment="1" applyProtection="1">
      <alignment vertical="top" wrapText="1"/>
    </xf>
    <xf numFmtId="0" fontId="35" fillId="0" borderId="0" xfId="1" applyFont="1" applyFill="1" applyBorder="1" applyAlignment="1" applyProtection="1">
      <alignment horizontal="center" vertical="top" wrapText="1"/>
    </xf>
    <xf numFmtId="0" fontId="35" fillId="0" borderId="0" xfId="1" applyFont="1" applyFill="1" applyBorder="1" applyAlignment="1" applyProtection="1">
      <alignment horizontal="justify" vertical="top" wrapText="1"/>
    </xf>
    <xf numFmtId="4" fontId="29" fillId="0" borderId="0" xfId="1" applyNumberFormat="1" applyFont="1" applyFill="1" applyBorder="1" applyProtection="1"/>
    <xf numFmtId="0" fontId="28" fillId="0" borderId="0" xfId="1" applyFont="1"/>
    <xf numFmtId="4" fontId="37" fillId="0" borderId="0" xfId="1" applyNumberFormat="1" applyFont="1" applyBorder="1" applyAlignment="1">
      <alignment horizontal="right" vertical="top" wrapText="1"/>
    </xf>
    <xf numFmtId="0" fontId="0" fillId="0" borderId="0" xfId="0"/>
    <xf numFmtId="0" fontId="39" fillId="0" borderId="0" xfId="2" applyFont="1" applyBorder="1" applyAlignment="1">
      <alignment vertical="center"/>
    </xf>
    <xf numFmtId="0" fontId="39" fillId="0" borderId="0" xfId="1" applyFont="1" applyAlignment="1" applyProtection="1">
      <alignment vertical="center"/>
      <protection locked="0"/>
    </xf>
    <xf numFmtId="0" fontId="29" fillId="0" borderId="28" xfId="1" applyFont="1" applyBorder="1" applyAlignment="1" applyProtection="1">
      <alignment horizontal="center" vertical="center" wrapText="1"/>
      <protection locked="0"/>
    </xf>
    <xf numFmtId="0" fontId="41" fillId="0" borderId="0" xfId="1" applyFont="1" applyAlignment="1" applyProtection="1">
      <alignment horizontal="left" vertical="center"/>
      <protection locked="0"/>
    </xf>
    <xf numFmtId="0" fontId="29" fillId="0" borderId="27" xfId="1" applyFont="1" applyBorder="1" applyAlignment="1" applyProtection="1">
      <alignment horizontal="center" vertical="center" wrapText="1"/>
      <protection locked="0"/>
    </xf>
    <xf numFmtId="0" fontId="30" fillId="0" borderId="0" xfId="1" applyFont="1" applyBorder="1" applyAlignment="1" applyProtection="1">
      <alignment vertical="center"/>
      <protection locked="0"/>
    </xf>
    <xf numFmtId="0" fontId="30" fillId="0" borderId="2" xfId="1" applyFont="1" applyBorder="1" applyAlignment="1" applyProtection="1">
      <alignment horizontal="center" vertical="center" wrapText="1"/>
      <protection locked="0"/>
    </xf>
    <xf numFmtId="49" fontId="30" fillId="0" borderId="0" xfId="2" applyNumberFormat="1" applyFont="1" applyBorder="1" applyAlignment="1">
      <alignment horizontal="center" vertical="center" wrapText="1"/>
    </xf>
    <xf numFmtId="0" fontId="30" fillId="0" borderId="0" xfId="2" applyFont="1" applyBorder="1" applyAlignment="1">
      <alignment vertical="center"/>
    </xf>
    <xf numFmtId="0" fontId="29" fillId="0" borderId="0" xfId="2" applyFont="1" applyBorder="1" applyAlignment="1">
      <alignment horizontal="center" vertical="center"/>
    </xf>
    <xf numFmtId="49" fontId="39" fillId="0" borderId="0" xfId="2" applyNumberFormat="1" applyFont="1" applyBorder="1" applyAlignment="1">
      <alignment horizontal="left" vertical="center"/>
    </xf>
    <xf numFmtId="0" fontId="29" fillId="0" borderId="6" xfId="2" applyFont="1" applyBorder="1" applyAlignment="1">
      <alignment horizontal="center" vertical="center"/>
    </xf>
    <xf numFmtId="49" fontId="29" fillId="0" borderId="7" xfId="2" applyNumberFormat="1" applyFont="1" applyBorder="1" applyAlignment="1">
      <alignment horizontal="center" vertical="center"/>
    </xf>
    <xf numFmtId="49" fontId="29" fillId="0" borderId="0" xfId="2" applyNumberFormat="1" applyFont="1" applyBorder="1" applyAlignment="1">
      <alignment horizontal="center" vertical="center"/>
    </xf>
    <xf numFmtId="0" fontId="29" fillId="0" borderId="9" xfId="2" applyFont="1" applyBorder="1" applyAlignment="1">
      <alignment horizontal="center" vertical="center"/>
    </xf>
    <xf numFmtId="49" fontId="29" fillId="0" borderId="10" xfId="2" applyNumberFormat="1" applyFont="1" applyBorder="1" applyAlignment="1">
      <alignment horizontal="center" vertical="center"/>
    </xf>
    <xf numFmtId="0" fontId="29" fillId="0" borderId="18" xfId="2" applyFont="1" applyBorder="1" applyAlignment="1">
      <alignment horizontal="center" vertical="center" wrapText="1"/>
    </xf>
    <xf numFmtId="49" fontId="29" fillId="0" borderId="13" xfId="2" applyNumberFormat="1" applyFont="1" applyBorder="1" applyAlignment="1">
      <alignment horizontal="center" vertical="center"/>
    </xf>
    <xf numFmtId="0" fontId="29" fillId="0" borderId="33" xfId="2" applyFont="1" applyBorder="1" applyAlignment="1">
      <alignment horizontal="center" vertical="center"/>
    </xf>
    <xf numFmtId="0" fontId="29" fillId="0" borderId="30" xfId="2" applyFont="1" applyBorder="1" applyAlignment="1">
      <alignment horizontal="center" vertical="center"/>
    </xf>
    <xf numFmtId="0" fontId="29" fillId="0" borderId="30" xfId="2" applyFont="1" applyBorder="1" applyAlignment="1">
      <alignment horizontal="center" vertical="center" wrapText="1"/>
    </xf>
    <xf numFmtId="0" fontId="30" fillId="0" borderId="8" xfId="2" applyFont="1" applyBorder="1" applyAlignment="1">
      <alignment vertical="center" wrapText="1"/>
    </xf>
    <xf numFmtId="0" fontId="30" fillId="0" borderId="0" xfId="2" applyFont="1" applyBorder="1" applyAlignment="1">
      <alignment vertical="center" wrapText="1"/>
    </xf>
    <xf numFmtId="0" fontId="29" fillId="0" borderId="28" xfId="1" applyFont="1" applyFill="1" applyBorder="1" applyAlignment="1" applyProtection="1">
      <alignment vertical="center"/>
      <protection locked="0"/>
    </xf>
    <xf numFmtId="3" fontId="29" fillId="0" borderId="21" xfId="1" applyNumberFormat="1" applyFont="1" applyFill="1" applyBorder="1" applyAlignment="1" applyProtection="1">
      <alignment vertical="center" wrapText="1"/>
      <protection locked="0"/>
    </xf>
    <xf numFmtId="3" fontId="29" fillId="0" borderId="22" xfId="1" applyNumberFormat="1" applyFont="1" applyFill="1" applyBorder="1" applyAlignment="1" applyProtection="1">
      <alignment vertical="center" wrapText="1"/>
      <protection locked="0"/>
    </xf>
    <xf numFmtId="3" fontId="29" fillId="0" borderId="33" xfId="1" applyNumberFormat="1" applyFont="1" applyFill="1" applyBorder="1" applyAlignment="1" applyProtection="1">
      <alignment vertical="center" wrapText="1"/>
      <protection locked="0"/>
    </xf>
    <xf numFmtId="3" fontId="29" fillId="0" borderId="30" xfId="1" applyNumberFormat="1" applyFont="1" applyFill="1" applyBorder="1" applyAlignment="1" applyProtection="1">
      <alignment vertical="center" wrapText="1"/>
      <protection locked="0"/>
    </xf>
    <xf numFmtId="0" fontId="30" fillId="0" borderId="36" xfId="1" applyFont="1" applyBorder="1" applyAlignment="1" applyProtection="1">
      <alignment horizontal="center" vertical="center" wrapText="1"/>
      <protection locked="0"/>
    </xf>
    <xf numFmtId="0" fontId="29" fillId="0" borderId="11" xfId="1" applyFont="1" applyBorder="1" applyAlignment="1" applyProtection="1">
      <alignment horizontal="center" vertical="center" wrapText="1"/>
      <protection locked="0"/>
    </xf>
    <xf numFmtId="3" fontId="29" fillId="0" borderId="1" xfId="1" applyNumberFormat="1" applyFont="1" applyFill="1" applyBorder="1" applyAlignment="1" applyProtection="1">
      <alignment vertical="center" wrapText="1"/>
      <protection locked="0"/>
    </xf>
    <xf numFmtId="3" fontId="29" fillId="0" borderId="18" xfId="1" applyNumberFormat="1" applyFont="1" applyFill="1" applyBorder="1" applyAlignment="1" applyProtection="1">
      <alignment vertical="center" wrapText="1"/>
      <protection locked="0"/>
    </xf>
    <xf numFmtId="0" fontId="29" fillId="0" borderId="0" xfId="1" applyFont="1" applyFill="1" applyBorder="1" applyAlignment="1">
      <alignment vertical="center"/>
    </xf>
    <xf numFmtId="0" fontId="0" fillId="0" borderId="0" xfId="0" applyAlignment="1">
      <alignment vertical="center"/>
    </xf>
    <xf numFmtId="0" fontId="42" fillId="0" borderId="0" xfId="1" applyFont="1" applyAlignment="1" applyProtection="1">
      <alignment vertical="center"/>
      <protection locked="0"/>
    </xf>
    <xf numFmtId="0" fontId="26" fillId="0" borderId="0" xfId="0" applyFont="1" applyAlignment="1">
      <alignment vertical="center"/>
    </xf>
    <xf numFmtId="0" fontId="0" fillId="0" borderId="0" xfId="0" applyAlignment="1">
      <alignment horizontal="center" vertical="center"/>
    </xf>
    <xf numFmtId="0" fontId="41"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39" fillId="0" borderId="0" xfId="1" applyFont="1" applyAlignment="1">
      <alignment horizontal="center" vertical="center"/>
    </xf>
    <xf numFmtId="0" fontId="44" fillId="0" borderId="0" xfId="0" applyFont="1" applyFill="1" applyAlignment="1">
      <alignment vertical="center"/>
    </xf>
    <xf numFmtId="164" fontId="29" fillId="2" borderId="10" xfId="1" applyNumberFormat="1" applyFont="1" applyFill="1" applyBorder="1" applyAlignment="1">
      <alignment horizontal="center" vertical="center"/>
    </xf>
    <xf numFmtId="0" fontId="29" fillId="0" borderId="0" xfId="1" applyFont="1" applyBorder="1" applyAlignment="1" applyProtection="1">
      <alignment horizontal="center" vertical="center"/>
      <protection locked="0"/>
    </xf>
    <xf numFmtId="4" fontId="29" fillId="0" borderId="0" xfId="1" applyNumberFormat="1" applyFont="1" applyAlignment="1" applyProtection="1">
      <alignment horizontal="center" vertical="center"/>
      <protection locked="0"/>
    </xf>
    <xf numFmtId="0" fontId="35" fillId="0" borderId="0" xfId="1" applyFont="1" applyFill="1" applyBorder="1" applyAlignment="1" applyProtection="1">
      <alignment horizontal="center" vertical="center" wrapText="1"/>
      <protection locked="0"/>
    </xf>
    <xf numFmtId="4" fontId="29" fillId="0" borderId="0" xfId="1" applyNumberFormat="1" applyFont="1" applyFill="1" applyBorder="1" applyAlignment="1">
      <alignment vertical="center"/>
    </xf>
    <xf numFmtId="0" fontId="29" fillId="0" borderId="5" xfId="1" applyFont="1" applyBorder="1" applyAlignment="1" applyProtection="1">
      <alignment horizontal="center" vertical="center"/>
      <protection locked="0"/>
    </xf>
    <xf numFmtId="0" fontId="6" fillId="0" borderId="0" xfId="2" applyFont="1" applyFill="1" applyBorder="1" applyAlignment="1">
      <alignment vertical="center"/>
    </xf>
    <xf numFmtId="0" fontId="30" fillId="0" borderId="14" xfId="2" applyFont="1" applyBorder="1" applyAlignment="1">
      <alignment vertical="center" wrapText="1"/>
    </xf>
    <xf numFmtId="0" fontId="6" fillId="0" borderId="0" xfId="2" applyFont="1" applyBorder="1" applyAlignment="1">
      <alignment vertical="center"/>
    </xf>
    <xf numFmtId="164" fontId="29" fillId="2" borderId="29" xfId="1" applyNumberFormat="1" applyFont="1" applyFill="1" applyBorder="1" applyAlignment="1">
      <alignment horizontal="center" vertical="center"/>
    </xf>
    <xf numFmtId="3" fontId="29" fillId="0" borderId="7" xfId="1" applyNumberFormat="1" applyFont="1" applyBorder="1" applyAlignment="1" applyProtection="1">
      <alignment vertical="center"/>
      <protection locked="0"/>
    </xf>
    <xf numFmtId="3" fontId="29" fillId="0" borderId="21" xfId="1" applyNumberFormat="1" applyFont="1" applyBorder="1" applyAlignment="1" applyProtection="1">
      <alignment vertical="center"/>
      <protection locked="0"/>
    </xf>
    <xf numFmtId="3" fontId="29" fillId="0" borderId="10" xfId="1" applyNumberFormat="1" applyFont="1" applyBorder="1" applyAlignment="1" applyProtection="1">
      <alignment vertical="center"/>
      <protection locked="0"/>
    </xf>
    <xf numFmtId="3" fontId="29" fillId="0" borderId="22" xfId="1" applyNumberFormat="1" applyFont="1" applyBorder="1" applyAlignment="1" applyProtection="1">
      <alignment vertical="center"/>
      <protection locked="0"/>
    </xf>
    <xf numFmtId="3" fontId="29" fillId="0" borderId="29" xfId="1" applyNumberFormat="1" applyFont="1" applyBorder="1" applyAlignment="1" applyProtection="1">
      <alignment vertical="center"/>
      <protection locked="0"/>
    </xf>
    <xf numFmtId="3" fontId="29" fillId="0" borderId="35" xfId="1" applyNumberFormat="1" applyFont="1" applyBorder="1" applyAlignment="1" applyProtection="1">
      <alignment vertical="center"/>
      <protection locked="0"/>
    </xf>
    <xf numFmtId="3" fontId="30" fillId="0" borderId="4" xfId="2" applyNumberFormat="1" applyFont="1" applyBorder="1" applyAlignment="1">
      <alignment horizontal="center" vertical="center" wrapText="1"/>
    </xf>
    <xf numFmtId="3" fontId="30" fillId="0" borderId="19" xfId="2" applyNumberFormat="1" applyFont="1" applyBorder="1" applyAlignment="1">
      <alignment horizontal="center" vertical="center" wrapText="1"/>
    </xf>
    <xf numFmtId="3" fontId="30" fillId="0" borderId="16" xfId="2" applyNumberFormat="1" applyFont="1" applyBorder="1" applyAlignment="1">
      <alignment horizontal="center" vertical="center" wrapText="1"/>
    </xf>
    <xf numFmtId="3" fontId="30" fillId="0" borderId="40" xfId="2" applyNumberFormat="1" applyFont="1" applyBorder="1" applyAlignment="1">
      <alignment horizontal="center" vertical="center" wrapText="1"/>
    </xf>
    <xf numFmtId="3" fontId="45" fillId="0" borderId="7" xfId="2" applyNumberFormat="1" applyFont="1" applyBorder="1" applyAlignment="1">
      <alignment horizontal="center" vertical="center" wrapText="1"/>
    </xf>
    <xf numFmtId="3" fontId="45" fillId="0" borderId="21" xfId="2" applyNumberFormat="1" applyFont="1" applyBorder="1" applyAlignment="1">
      <alignment horizontal="center" vertical="center" wrapText="1"/>
    </xf>
    <xf numFmtId="3" fontId="45" fillId="0" borderId="10" xfId="2" applyNumberFormat="1" applyFont="1" applyBorder="1" applyAlignment="1">
      <alignment horizontal="center" vertical="center" wrapText="1"/>
    </xf>
    <xf numFmtId="3" fontId="45" fillId="0" borderId="22" xfId="2" applyNumberFormat="1" applyFont="1" applyBorder="1" applyAlignment="1">
      <alignment horizontal="center" vertical="center" wrapText="1"/>
    </xf>
    <xf numFmtId="3" fontId="29" fillId="0" borderId="10" xfId="2" applyNumberFormat="1" applyFont="1" applyBorder="1" applyAlignment="1">
      <alignment horizontal="center" vertical="center" wrapText="1"/>
    </xf>
    <xf numFmtId="3" fontId="29" fillId="0" borderId="22" xfId="2" applyNumberFormat="1" applyFont="1" applyBorder="1" applyAlignment="1">
      <alignment horizontal="center" vertical="center" wrapText="1"/>
    </xf>
    <xf numFmtId="3" fontId="29" fillId="0" borderId="13" xfId="2" applyNumberFormat="1" applyFont="1" applyBorder="1" applyAlignment="1">
      <alignment horizontal="center" vertical="center" wrapText="1"/>
    </xf>
    <xf numFmtId="3" fontId="29" fillId="0" borderId="1" xfId="2" applyNumberFormat="1" applyFont="1" applyBorder="1" applyAlignment="1">
      <alignment horizontal="center" vertical="center" wrapText="1"/>
    </xf>
    <xf numFmtId="3" fontId="45" fillId="0" borderId="16" xfId="2" applyNumberFormat="1" applyFont="1" applyBorder="1" applyAlignment="1">
      <alignment horizontal="center" vertical="center" wrapText="1"/>
    </xf>
    <xf numFmtId="3" fontId="45" fillId="0" borderId="40" xfId="2" applyNumberFormat="1" applyFont="1" applyBorder="1" applyAlignment="1">
      <alignment horizontal="center" vertical="center" wrapText="1"/>
    </xf>
    <xf numFmtId="3" fontId="45" fillId="0" borderId="12" xfId="2" applyNumberFormat="1" applyFont="1" applyBorder="1" applyAlignment="1">
      <alignment horizontal="center" vertical="center" wrapText="1"/>
    </xf>
    <xf numFmtId="3" fontId="45" fillId="0" borderId="1" xfId="2" applyNumberFormat="1" applyFont="1" applyBorder="1" applyAlignment="1">
      <alignment horizontal="center" vertical="center" wrapText="1"/>
    </xf>
    <xf numFmtId="3" fontId="45" fillId="0" borderId="13" xfId="2" applyNumberFormat="1" applyFont="1" applyBorder="1" applyAlignment="1">
      <alignment horizontal="center" vertical="center" wrapText="1"/>
    </xf>
    <xf numFmtId="3" fontId="29" fillId="0" borderId="0" xfId="2" applyNumberFormat="1" applyFont="1" applyBorder="1" applyAlignment="1">
      <alignment vertical="center"/>
    </xf>
    <xf numFmtId="3" fontId="30" fillId="0" borderId="4" xfId="2" applyNumberFormat="1" applyFont="1" applyFill="1" applyBorder="1" applyAlignment="1">
      <alignment horizontal="center" vertical="center" wrapText="1"/>
    </xf>
    <xf numFmtId="3" fontId="30" fillId="0" borderId="19" xfId="2" applyNumberFormat="1" applyFont="1" applyFill="1" applyBorder="1" applyAlignment="1">
      <alignment horizontal="center" vertical="center" wrapText="1"/>
    </xf>
    <xf numFmtId="3" fontId="30" fillId="0" borderId="16" xfId="2" applyNumberFormat="1" applyFont="1" applyFill="1" applyBorder="1" applyAlignment="1">
      <alignment horizontal="center" vertical="center" wrapText="1"/>
    </xf>
    <xf numFmtId="3" fontId="30" fillId="0" borderId="40" xfId="2" applyNumberFormat="1" applyFont="1" applyFill="1" applyBorder="1" applyAlignment="1">
      <alignment horizontal="center" vertical="center" wrapText="1"/>
    </xf>
    <xf numFmtId="3" fontId="45" fillId="0" borderId="7" xfId="2" applyNumberFormat="1" applyFont="1" applyBorder="1" applyAlignment="1">
      <alignment horizontal="center" vertical="center"/>
    </xf>
    <xf numFmtId="3" fontId="45" fillId="0" borderId="21" xfId="2" applyNumberFormat="1" applyFont="1" applyBorder="1" applyAlignment="1">
      <alignment horizontal="center" vertical="center"/>
    </xf>
    <xf numFmtId="3" fontId="29" fillId="0" borderId="10" xfId="2" applyNumberFormat="1" applyFont="1" applyBorder="1" applyAlignment="1">
      <alignment horizontal="center" vertical="center"/>
    </xf>
    <xf numFmtId="3" fontId="29" fillId="0" borderId="22" xfId="2" applyNumberFormat="1" applyFont="1" applyBorder="1" applyAlignment="1">
      <alignment horizontal="center" vertical="center"/>
    </xf>
    <xf numFmtId="3" fontId="45" fillId="0" borderId="10" xfId="2" applyNumberFormat="1" applyFont="1" applyBorder="1" applyAlignment="1">
      <alignment horizontal="center" vertical="center"/>
    </xf>
    <xf numFmtId="3" fontId="45" fillId="0" borderId="22" xfId="2" applyNumberFormat="1" applyFont="1" applyBorder="1" applyAlignment="1">
      <alignment horizontal="center" vertical="center"/>
    </xf>
    <xf numFmtId="3" fontId="45" fillId="0" borderId="13" xfId="2" applyNumberFormat="1" applyFont="1" applyBorder="1" applyAlignment="1">
      <alignment horizontal="center" vertical="center"/>
    </xf>
    <xf numFmtId="3" fontId="45" fillId="0" borderId="1" xfId="2" applyNumberFormat="1" applyFont="1" applyBorder="1" applyAlignment="1">
      <alignment horizontal="center" vertical="center"/>
    </xf>
    <xf numFmtId="0" fontId="29" fillId="0" borderId="0" xfId="1" applyFont="1" applyAlignment="1">
      <alignment horizontal="right" vertical="center"/>
    </xf>
    <xf numFmtId="3" fontId="30" fillId="0" borderId="4" xfId="1" applyNumberFormat="1" applyFont="1" applyFill="1" applyBorder="1" applyAlignment="1" applyProtection="1">
      <alignment vertical="center"/>
      <protection hidden="1"/>
    </xf>
    <xf numFmtId="3" fontId="29" fillId="0" borderId="0" xfId="1" applyNumberFormat="1" applyFont="1" applyFill="1" applyBorder="1" applyAlignment="1" applyProtection="1">
      <alignment vertical="center"/>
      <protection hidden="1"/>
    </xf>
    <xf numFmtId="3" fontId="29" fillId="0" borderId="0" xfId="1" applyNumberFormat="1" applyFont="1" applyBorder="1" applyAlignment="1" applyProtection="1">
      <alignment vertical="center"/>
      <protection hidden="1"/>
    </xf>
    <xf numFmtId="0" fontId="40" fillId="0" borderId="0" xfId="1" applyFont="1" applyAlignment="1" applyProtection="1">
      <alignment vertical="center"/>
      <protection locked="0"/>
    </xf>
    <xf numFmtId="3" fontId="29" fillId="0" borderId="30" xfId="1" applyNumberFormat="1" applyFont="1" applyBorder="1" applyAlignment="1" applyProtection="1">
      <alignment horizontal="center" vertical="center"/>
      <protection locked="0"/>
    </xf>
    <xf numFmtId="3" fontId="29" fillId="0" borderId="31" xfId="1" applyNumberFormat="1" applyFont="1" applyBorder="1" applyAlignment="1" applyProtection="1">
      <alignment horizontal="center" vertical="center"/>
      <protection locked="0"/>
    </xf>
    <xf numFmtId="0" fontId="29" fillId="0" borderId="41" xfId="1" applyFont="1" applyBorder="1" applyAlignment="1" applyProtection="1">
      <alignment horizontal="center" vertical="center" wrapText="1"/>
      <protection locked="0"/>
    </xf>
    <xf numFmtId="0" fontId="29" fillId="0" borderId="42" xfId="1" applyFont="1" applyBorder="1" applyAlignment="1" applyProtection="1">
      <alignment horizontal="center" vertical="center" wrapText="1"/>
      <protection locked="0"/>
    </xf>
    <xf numFmtId="0" fontId="6" fillId="0" borderId="0" xfId="4" applyFont="1" applyFill="1" applyAlignment="1" applyProtection="1">
      <alignment vertical="center"/>
      <protection locked="0"/>
    </xf>
    <xf numFmtId="0" fontId="29" fillId="0" borderId="43" xfId="1" applyFont="1" applyFill="1" applyBorder="1" applyAlignment="1">
      <alignment horizontal="center" vertical="center"/>
    </xf>
    <xf numFmtId="0" fontId="29" fillId="0" borderId="44" xfId="1" applyFont="1" applyFill="1" applyBorder="1" applyAlignment="1">
      <alignment horizontal="center" vertical="center"/>
    </xf>
    <xf numFmtId="0" fontId="29" fillId="4" borderId="45" xfId="1" applyFont="1" applyFill="1" applyBorder="1" applyAlignment="1">
      <alignment vertical="center"/>
    </xf>
    <xf numFmtId="0" fontId="29" fillId="0" borderId="46" xfId="1" applyFont="1" applyBorder="1" applyAlignment="1">
      <alignment vertical="center"/>
    </xf>
    <xf numFmtId="0" fontId="29" fillId="2" borderId="46" xfId="1" applyFont="1" applyFill="1" applyBorder="1" applyAlignment="1">
      <alignment vertical="center"/>
    </xf>
    <xf numFmtId="0" fontId="29" fillId="0" borderId="47" xfId="1" applyFont="1" applyBorder="1" applyAlignment="1">
      <alignment vertical="center"/>
    </xf>
    <xf numFmtId="0" fontId="29" fillId="2" borderId="47" xfId="1" applyFont="1" applyFill="1" applyBorder="1" applyAlignment="1">
      <alignment vertical="center"/>
    </xf>
    <xf numFmtId="0" fontId="29" fillId="0" borderId="48" xfId="1" applyFont="1" applyBorder="1" applyAlignment="1">
      <alignment vertical="center"/>
    </xf>
    <xf numFmtId="0" fontId="29" fillId="2" borderId="48" xfId="1" applyFont="1" applyFill="1" applyBorder="1" applyAlignment="1">
      <alignment vertical="center"/>
    </xf>
    <xf numFmtId="4" fontId="31" fillId="0" borderId="0" xfId="1" applyNumberFormat="1" applyFont="1" applyAlignment="1">
      <alignment vertical="center"/>
    </xf>
    <xf numFmtId="3" fontId="6" fillId="0" borderId="33" xfId="1" applyNumberFormat="1" applyFont="1" applyBorder="1" applyAlignment="1" applyProtection="1">
      <alignment horizontal="right" vertical="center" wrapText="1" indent="1"/>
      <protection locked="0"/>
    </xf>
    <xf numFmtId="3" fontId="6" fillId="0" borderId="49" xfId="1" applyNumberFormat="1" applyFont="1" applyBorder="1" applyAlignment="1" applyProtection="1">
      <alignment horizontal="right" vertical="center" wrapText="1" indent="1"/>
      <protection locked="0"/>
    </xf>
    <xf numFmtId="3" fontId="29" fillId="0" borderId="33" xfId="1" applyNumberFormat="1" applyFont="1" applyBorder="1" applyAlignment="1" applyProtection="1">
      <alignment horizontal="right" vertical="center" wrapText="1" indent="1"/>
      <protection locked="0"/>
    </xf>
    <xf numFmtId="3" fontId="29" fillId="0" borderId="7" xfId="1" applyNumberFormat="1" applyFont="1" applyBorder="1" applyAlignment="1" applyProtection="1">
      <alignment horizontal="right" vertical="center" wrapText="1" indent="1"/>
      <protection locked="0"/>
    </xf>
    <xf numFmtId="3" fontId="29" fillId="0" borderId="28"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locked="0"/>
    </xf>
    <xf numFmtId="3" fontId="6" fillId="0" borderId="30" xfId="1" applyNumberFormat="1" applyFont="1" applyBorder="1" applyAlignment="1" applyProtection="1">
      <alignment horizontal="right" vertical="center" wrapText="1" indent="1"/>
      <protection locked="0"/>
    </xf>
    <xf numFmtId="3" fontId="6" fillId="0" borderId="50" xfId="1" applyNumberFormat="1" applyFont="1" applyBorder="1" applyAlignment="1" applyProtection="1">
      <alignment horizontal="right" vertical="center" wrapText="1" indent="1"/>
      <protection locked="0"/>
    </xf>
    <xf numFmtId="3" fontId="29" fillId="0" borderId="30" xfId="1" applyNumberFormat="1" applyFont="1" applyBorder="1" applyAlignment="1" applyProtection="1">
      <alignment horizontal="right" vertical="center" wrapText="1" indent="1"/>
      <protection locked="0"/>
    </xf>
    <xf numFmtId="3" fontId="29" fillId="0" borderId="10" xfId="1" applyNumberFormat="1" applyFont="1" applyBorder="1" applyAlignment="1" applyProtection="1">
      <alignment horizontal="right" vertical="center" wrapText="1" indent="1"/>
      <protection locked="0"/>
    </xf>
    <xf numFmtId="3" fontId="29" fillId="0" borderId="27" xfId="1" applyNumberFormat="1" applyFont="1" applyBorder="1" applyAlignment="1" applyProtection="1">
      <alignment horizontal="right" vertical="center" wrapText="1" indent="1"/>
      <protection locked="0"/>
    </xf>
    <xf numFmtId="3" fontId="6" fillId="0" borderId="31" xfId="1" applyNumberFormat="1" applyFont="1" applyBorder="1" applyAlignment="1" applyProtection="1">
      <alignment horizontal="right" vertical="center" wrapText="1" indent="1"/>
      <protection locked="0"/>
    </xf>
    <xf numFmtId="3" fontId="6" fillId="0" borderId="51" xfId="1" applyNumberFormat="1" applyFont="1" applyBorder="1" applyAlignment="1" applyProtection="1">
      <alignment horizontal="right" vertical="center" wrapText="1" indent="1"/>
      <protection locked="0"/>
    </xf>
    <xf numFmtId="3" fontId="29" fillId="0" borderId="31" xfId="1" applyNumberFormat="1" applyFont="1" applyBorder="1" applyAlignment="1" applyProtection="1">
      <alignment horizontal="right" vertical="center" wrapText="1" indent="1"/>
      <protection locked="0"/>
    </xf>
    <xf numFmtId="3" fontId="29" fillId="0" borderId="29" xfId="1" applyNumberFormat="1" applyFont="1" applyBorder="1" applyAlignment="1" applyProtection="1">
      <alignment horizontal="right" vertical="center" wrapText="1" indent="1"/>
      <protection locked="0"/>
    </xf>
    <xf numFmtId="3" fontId="29" fillId="0" borderId="32" xfId="1" applyNumberFormat="1" applyFont="1" applyBorder="1" applyAlignment="1" applyProtection="1">
      <alignment horizontal="right" vertical="center" wrapText="1" indent="1"/>
      <protection locked="0"/>
    </xf>
    <xf numFmtId="3" fontId="8" fillId="0" borderId="3" xfId="1" applyNumberFormat="1" applyFont="1" applyBorder="1" applyAlignment="1" applyProtection="1">
      <alignment horizontal="right" vertical="center" wrapText="1" indent="1"/>
      <protection hidden="1"/>
    </xf>
    <xf numFmtId="3" fontId="8" fillId="0" borderId="26" xfId="1" applyNumberFormat="1" applyFont="1" applyBorder="1" applyAlignment="1" applyProtection="1">
      <alignment horizontal="right" vertical="center" wrapText="1" indent="1"/>
      <protection hidden="1"/>
    </xf>
    <xf numFmtId="3" fontId="30" fillId="0" borderId="3" xfId="1" applyNumberFormat="1" applyFont="1" applyBorder="1" applyAlignment="1" applyProtection="1">
      <alignment horizontal="right" vertical="center" wrapText="1" indent="1"/>
      <protection hidden="1"/>
    </xf>
    <xf numFmtId="3" fontId="30" fillId="0" borderId="4" xfId="1" applyNumberFormat="1" applyFont="1" applyBorder="1" applyAlignment="1" applyProtection="1">
      <alignment horizontal="right" vertical="center" wrapText="1" indent="1"/>
      <protection hidden="1"/>
    </xf>
    <xf numFmtId="3" fontId="8" fillId="0" borderId="23" xfId="1" applyNumberFormat="1" applyFont="1" applyBorder="1" applyAlignment="1" applyProtection="1">
      <alignment horizontal="right" vertical="center" wrapText="1" indent="1"/>
      <protection hidden="1"/>
    </xf>
    <xf numFmtId="3" fontId="30" fillId="4" borderId="45" xfId="1" applyNumberFormat="1" applyFont="1" applyFill="1" applyBorder="1" applyAlignment="1">
      <alignment vertical="center"/>
    </xf>
    <xf numFmtId="3" fontId="30" fillId="4" borderId="10" xfId="1" applyNumberFormat="1" applyFont="1" applyFill="1" applyBorder="1" applyAlignment="1">
      <alignment vertical="center"/>
    </xf>
    <xf numFmtId="3" fontId="29" fillId="0" borderId="40" xfId="1" applyNumberFormat="1" applyFont="1" applyBorder="1" applyAlignment="1" applyProtection="1">
      <alignment vertical="center"/>
      <protection locked="0"/>
    </xf>
    <xf numFmtId="3" fontId="29" fillId="0" borderId="19" xfId="1" applyNumberFormat="1" applyFont="1" applyBorder="1" applyAlignment="1" applyProtection="1">
      <alignment vertical="center"/>
      <protection hidden="1"/>
    </xf>
    <xf numFmtId="3" fontId="29" fillId="0" borderId="52" xfId="1" applyNumberFormat="1" applyFont="1" applyBorder="1" applyAlignment="1" applyProtection="1">
      <alignment vertical="center"/>
      <protection locked="0"/>
    </xf>
    <xf numFmtId="3" fontId="29" fillId="0" borderId="50" xfId="1" applyNumberFormat="1" applyFont="1" applyBorder="1" applyAlignment="1" applyProtection="1">
      <alignment horizontal="right" vertical="center"/>
      <protection locked="0"/>
    </xf>
    <xf numFmtId="3" fontId="29" fillId="0" borderId="50" xfId="1" applyNumberFormat="1" applyFont="1" applyBorder="1" applyAlignment="1" applyProtection="1">
      <alignment horizontal="right"/>
      <protection locked="0"/>
    </xf>
    <xf numFmtId="3" fontId="30" fillId="0" borderId="50" xfId="1" applyNumberFormat="1" applyFont="1" applyBorder="1" applyAlignment="1" applyProtection="1">
      <alignment horizontal="right" vertical="center"/>
      <protection locked="0"/>
    </xf>
    <xf numFmtId="3" fontId="29" fillId="0" borderId="51" xfId="1" applyNumberFormat="1" applyFont="1" applyBorder="1" applyAlignment="1" applyProtection="1">
      <alignment horizontal="right" vertical="center"/>
      <protection locked="0"/>
    </xf>
    <xf numFmtId="3" fontId="29" fillId="0" borderId="23" xfId="1" applyNumberFormat="1" applyFont="1" applyBorder="1" applyAlignment="1" applyProtection="1">
      <alignment horizontal="right" vertical="center"/>
      <protection hidden="1"/>
    </xf>
    <xf numFmtId="3" fontId="30" fillId="0" borderId="49" xfId="1" applyNumberFormat="1" applyFont="1" applyBorder="1" applyAlignment="1" applyProtection="1">
      <alignment horizontal="right" vertical="top" wrapText="1"/>
      <protection locked="0"/>
    </xf>
    <xf numFmtId="3" fontId="29" fillId="0" borderId="49" xfId="1" applyNumberFormat="1" applyFont="1" applyBorder="1" applyAlignment="1" applyProtection="1">
      <alignment horizontal="right" vertical="top" wrapText="1"/>
      <protection locked="0"/>
    </xf>
    <xf numFmtId="3" fontId="29" fillId="0" borderId="50" xfId="1" applyNumberFormat="1" applyFont="1" applyBorder="1" applyAlignment="1" applyProtection="1">
      <alignment horizontal="right" vertical="top" wrapText="1"/>
      <protection locked="0"/>
    </xf>
    <xf numFmtId="3" fontId="30" fillId="0" borderId="50" xfId="1" applyNumberFormat="1" applyFont="1" applyBorder="1" applyAlignment="1" applyProtection="1">
      <alignment horizontal="right" vertical="top" wrapText="1"/>
      <protection locked="0"/>
    </xf>
    <xf numFmtId="3" fontId="30" fillId="0" borderId="51" xfId="1" applyNumberFormat="1" applyFont="1" applyBorder="1" applyAlignment="1" applyProtection="1">
      <alignment horizontal="right" vertical="top" wrapText="1"/>
      <protection locked="0"/>
    </xf>
    <xf numFmtId="3" fontId="29" fillId="0" borderId="23" xfId="1" applyNumberFormat="1" applyFont="1" applyBorder="1" applyAlignment="1" applyProtection="1">
      <alignment vertical="center"/>
      <protection hidden="1"/>
    </xf>
    <xf numFmtId="0" fontId="37" fillId="0" borderId="0" xfId="1" applyFont="1" applyAlignment="1">
      <alignment horizontal="right" vertical="center" wrapText="1"/>
    </xf>
    <xf numFmtId="0" fontId="37" fillId="0" borderId="0" xfId="1" applyFont="1" applyBorder="1" applyAlignment="1">
      <alignment horizontal="right" vertical="center" wrapText="1"/>
    </xf>
    <xf numFmtId="0" fontId="37" fillId="0" borderId="0" xfId="1" applyFont="1" applyBorder="1" applyAlignment="1">
      <alignment vertical="center" wrapText="1"/>
    </xf>
    <xf numFmtId="4" fontId="29" fillId="0" borderId="0" xfId="1" applyNumberFormat="1" applyFont="1" applyBorder="1" applyAlignment="1" applyProtection="1">
      <alignment vertical="center"/>
      <protection hidden="1"/>
    </xf>
    <xf numFmtId="0" fontId="37" fillId="0" borderId="0" xfId="1" applyFont="1" applyAlignment="1" applyProtection="1">
      <alignment vertical="center" wrapText="1"/>
      <protection locked="0"/>
    </xf>
    <xf numFmtId="4" fontId="37" fillId="0" borderId="0" xfId="1" applyNumberFormat="1" applyFont="1" applyAlignment="1" applyProtection="1">
      <alignment vertical="center" wrapText="1"/>
      <protection locked="0"/>
    </xf>
    <xf numFmtId="0" fontId="37" fillId="0" borderId="0" xfId="1" applyFont="1" applyAlignment="1">
      <alignment vertical="center" wrapText="1"/>
    </xf>
    <xf numFmtId="4" fontId="39" fillId="0" borderId="0" xfId="1" applyNumberFormat="1" applyFont="1" applyAlignment="1" applyProtection="1">
      <alignment vertical="center" wrapText="1"/>
      <protection locked="0"/>
    </xf>
    <xf numFmtId="4" fontId="29" fillId="0" borderId="0" xfId="1" applyNumberFormat="1" applyFont="1" applyFill="1" applyBorder="1" applyAlignment="1" applyProtection="1">
      <alignment vertical="center"/>
      <protection locked="0"/>
    </xf>
    <xf numFmtId="4" fontId="35" fillId="0" borderId="0" xfId="1" applyNumberFormat="1" applyFont="1" applyFill="1" applyBorder="1" applyAlignment="1" applyProtection="1">
      <alignment vertical="center" wrapText="1"/>
      <protection locked="0"/>
    </xf>
    <xf numFmtId="0" fontId="35" fillId="0" borderId="0" xfId="1" applyFont="1" applyFill="1" applyBorder="1" applyAlignment="1" applyProtection="1">
      <alignment vertical="center" wrapText="1"/>
      <protection locked="0"/>
    </xf>
    <xf numFmtId="0" fontId="35" fillId="0" borderId="0" xfId="1" applyFont="1" applyFill="1" applyBorder="1" applyAlignment="1">
      <alignment vertical="center" wrapText="1"/>
    </xf>
    <xf numFmtId="0" fontId="35" fillId="0" borderId="0" xfId="1" applyFont="1" applyFill="1" applyBorder="1" applyAlignment="1">
      <alignment horizontal="center" vertical="center" wrapText="1"/>
    </xf>
    <xf numFmtId="4" fontId="35" fillId="0" borderId="0" xfId="1" applyNumberFormat="1" applyFont="1" applyFill="1" applyBorder="1" applyAlignment="1" applyProtection="1">
      <alignment horizontal="center" vertical="center" wrapText="1"/>
      <protection locked="0"/>
    </xf>
    <xf numFmtId="0" fontId="35" fillId="0" borderId="0" xfId="1" applyFont="1" applyFill="1" applyBorder="1" applyAlignment="1">
      <alignment horizontal="justify" vertical="center" wrapText="1"/>
    </xf>
    <xf numFmtId="3" fontId="37" fillId="0" borderId="21" xfId="1" applyNumberFormat="1" applyFont="1" applyBorder="1" applyAlignment="1" applyProtection="1">
      <alignment horizontal="right" vertical="center" wrapText="1"/>
      <protection locked="0"/>
    </xf>
    <xf numFmtId="3" fontId="37" fillId="0" borderId="53" xfId="1" applyNumberFormat="1" applyFont="1" applyBorder="1" applyAlignment="1" applyProtection="1">
      <alignment horizontal="right" vertical="center" wrapText="1"/>
      <protection locked="0"/>
    </xf>
    <xf numFmtId="3" fontId="37" fillId="0" borderId="19" xfId="1" applyNumberFormat="1" applyFont="1" applyBorder="1" applyAlignment="1" applyProtection="1">
      <alignment horizontal="right" vertical="center" wrapText="1"/>
      <protection hidden="1"/>
    </xf>
    <xf numFmtId="3" fontId="37" fillId="0" borderId="40" xfId="1" applyNumberFormat="1" applyFont="1" applyBorder="1" applyAlignment="1" applyProtection="1">
      <alignment horizontal="right" vertical="center" wrapText="1"/>
      <protection locked="0"/>
    </xf>
    <xf numFmtId="3" fontId="29" fillId="0" borderId="19" xfId="1" applyNumberFormat="1" applyFont="1" applyBorder="1" applyAlignment="1" applyProtection="1">
      <alignment vertical="center"/>
    </xf>
    <xf numFmtId="3" fontId="29" fillId="0" borderId="21" xfId="1" applyNumberFormat="1" applyFont="1" applyBorder="1" applyAlignment="1" applyProtection="1">
      <alignment vertical="center"/>
    </xf>
    <xf numFmtId="3" fontId="29" fillId="0" borderId="22" xfId="1" applyNumberFormat="1" applyFont="1" applyBorder="1" applyAlignment="1" applyProtection="1">
      <alignment vertical="center"/>
    </xf>
    <xf numFmtId="3" fontId="29" fillId="0" borderId="10" xfId="1" applyNumberFormat="1" applyFont="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xf>
    <xf numFmtId="3" fontId="29" fillId="0" borderId="29" xfId="1" applyNumberFormat="1" applyFont="1" applyBorder="1" applyAlignment="1" applyProtection="1">
      <alignment horizontal="right" vertical="center" wrapText="1"/>
      <protection locked="0"/>
    </xf>
    <xf numFmtId="3" fontId="29" fillId="0" borderId="35" xfId="1" applyNumberFormat="1" applyFont="1" applyBorder="1" applyAlignment="1" applyProtection="1">
      <alignment horizontal="right" vertical="center" wrapText="1"/>
    </xf>
    <xf numFmtId="3" fontId="29" fillId="0" borderId="4" xfId="1" applyNumberFormat="1" applyFont="1" applyBorder="1" applyAlignment="1" applyProtection="1">
      <alignment horizontal="right" vertical="center" wrapText="1"/>
      <protection locked="0"/>
    </xf>
    <xf numFmtId="3" fontId="29" fillId="0" borderId="23" xfId="1" applyNumberFormat="1" applyFont="1" applyBorder="1" applyAlignment="1" applyProtection="1">
      <alignment horizontal="right" vertical="center" wrapText="1"/>
    </xf>
    <xf numFmtId="3" fontId="29" fillId="0" borderId="16" xfId="1" applyNumberFormat="1" applyFont="1" applyBorder="1" applyAlignment="1" applyProtection="1">
      <alignment vertical="center"/>
      <protection locked="0"/>
    </xf>
    <xf numFmtId="3" fontId="29" fillId="0" borderId="52" xfId="1" applyNumberFormat="1" applyFont="1" applyBorder="1" applyAlignment="1" applyProtection="1">
      <alignment vertical="center"/>
    </xf>
    <xf numFmtId="3" fontId="29" fillId="0" borderId="49" xfId="1" applyNumberFormat="1" applyFont="1" applyBorder="1" applyAlignment="1" applyProtection="1">
      <alignment vertical="center"/>
    </xf>
    <xf numFmtId="3" fontId="29" fillId="0" borderId="50" xfId="1" applyNumberFormat="1" applyFont="1" applyBorder="1" applyAlignment="1" applyProtection="1">
      <alignment vertical="center"/>
    </xf>
    <xf numFmtId="3" fontId="29" fillId="0" borderId="4" xfId="1" applyNumberFormat="1" applyFont="1" applyBorder="1" applyAlignment="1" applyProtection="1">
      <alignment vertical="center"/>
    </xf>
    <xf numFmtId="3" fontId="29" fillId="0" borderId="23" xfId="1" applyNumberFormat="1" applyFont="1" applyBorder="1" applyAlignment="1" applyProtection="1">
      <alignment vertical="center"/>
    </xf>
    <xf numFmtId="3" fontId="29" fillId="0" borderId="7" xfId="1" applyNumberFormat="1" applyFont="1" applyBorder="1" applyAlignment="1" applyProtection="1">
      <alignment vertical="center"/>
      <protection hidden="1"/>
    </xf>
    <xf numFmtId="3" fontId="29" fillId="0" borderId="19" xfId="1" applyNumberFormat="1" applyFont="1" applyBorder="1" applyAlignment="1" applyProtection="1">
      <alignment vertical="center"/>
      <protection locked="0"/>
    </xf>
    <xf numFmtId="3" fontId="29" fillId="0" borderId="19" xfId="1" applyNumberFormat="1" applyFont="1" applyBorder="1" applyAlignment="1">
      <alignment vertical="center"/>
    </xf>
    <xf numFmtId="3" fontId="29" fillId="0" borderId="23" xfId="1" applyNumberFormat="1" applyFont="1" applyBorder="1" applyAlignment="1">
      <alignment vertical="center"/>
    </xf>
    <xf numFmtId="0" fontId="37" fillId="0" borderId="0" xfId="1" applyFont="1" applyFill="1" applyAlignment="1" applyProtection="1">
      <alignment vertical="center" wrapText="1"/>
      <protection locked="0"/>
    </xf>
    <xf numFmtId="0" fontId="6" fillId="0" borderId="0" xfId="1" applyFont="1" applyFill="1" applyAlignment="1" applyProtection="1">
      <alignment vertical="center"/>
      <protection locked="0"/>
    </xf>
    <xf numFmtId="3" fontId="29" fillId="0" borderId="3" xfId="1" applyNumberFormat="1" applyFont="1" applyFill="1" applyBorder="1" applyAlignment="1" applyProtection="1">
      <alignment horizontal="center" vertical="center"/>
      <protection locked="0"/>
    </xf>
    <xf numFmtId="164" fontId="30" fillId="2" borderId="19" xfId="1" applyNumberFormat="1" applyFont="1" applyFill="1" applyBorder="1" applyAlignment="1">
      <alignment horizontal="center" vertical="center"/>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29" fillId="0" borderId="16" xfId="1" applyFont="1" applyFill="1" applyBorder="1" applyAlignment="1" applyProtection="1">
      <alignment vertical="center" wrapText="1"/>
      <protection locked="0"/>
    </xf>
    <xf numFmtId="0" fontId="29" fillId="0" borderId="40" xfId="1" applyFont="1" applyBorder="1" applyAlignment="1" applyProtection="1">
      <alignment vertical="center" wrapText="1"/>
      <protection locked="0"/>
    </xf>
    <xf numFmtId="3" fontId="29" fillId="0" borderId="49" xfId="1" applyNumberFormat="1" applyFont="1" applyBorder="1" applyAlignment="1" applyProtection="1">
      <alignment vertical="center"/>
      <protection locked="0"/>
    </xf>
    <xf numFmtId="0" fontId="29" fillId="0" borderId="54"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29" fillId="5" borderId="14" xfId="1" applyFont="1" applyFill="1" applyBorder="1" applyAlignment="1" applyProtection="1">
      <alignment horizontal="center" vertical="center"/>
      <protection locked="0"/>
    </xf>
    <xf numFmtId="0" fontId="29" fillId="6" borderId="8" xfId="1" applyFont="1" applyFill="1" applyBorder="1" applyAlignment="1" applyProtection="1">
      <alignment horizontal="center" vertical="center"/>
      <protection locked="0"/>
    </xf>
    <xf numFmtId="0" fontId="29" fillId="6" borderId="55" xfId="1" applyFont="1" applyFill="1" applyBorder="1" applyAlignment="1" applyProtection="1">
      <alignment horizontal="center" vertical="center"/>
      <protection locked="0"/>
    </xf>
    <xf numFmtId="0" fontId="29" fillId="6" borderId="56" xfId="1" applyFont="1" applyFill="1" applyBorder="1" applyAlignment="1" applyProtection="1">
      <alignment horizontal="center" vertical="center"/>
      <protection locked="0"/>
    </xf>
    <xf numFmtId="0" fontId="29" fillId="7" borderId="0" xfId="1" applyFont="1" applyFill="1" applyAlignment="1">
      <alignment vertical="center"/>
    </xf>
    <xf numFmtId="3" fontId="29" fillId="7" borderId="46" xfId="1" applyNumberFormat="1" applyFont="1" applyFill="1" applyBorder="1" applyAlignment="1">
      <alignment vertical="center"/>
    </xf>
    <xf numFmtId="3" fontId="29" fillId="7" borderId="57" xfId="1" applyNumberFormat="1" applyFont="1" applyFill="1" applyBorder="1" applyAlignment="1">
      <alignment vertical="center"/>
    </xf>
    <xf numFmtId="3" fontId="29" fillId="7" borderId="47" xfId="1" applyNumberFormat="1" applyFont="1" applyFill="1" applyBorder="1" applyAlignment="1">
      <alignment vertical="center"/>
    </xf>
    <xf numFmtId="3" fontId="29" fillId="7" borderId="58" xfId="1" applyNumberFormat="1" applyFont="1" applyFill="1" applyBorder="1" applyAlignment="1">
      <alignment vertical="center"/>
    </xf>
    <xf numFmtId="3" fontId="29" fillId="7" borderId="48" xfId="1" applyNumberFormat="1" applyFont="1" applyFill="1" applyBorder="1" applyAlignment="1">
      <alignment vertical="center"/>
    </xf>
    <xf numFmtId="3" fontId="29" fillId="7" borderId="59" xfId="1" applyNumberFormat="1" applyFont="1" applyFill="1" applyBorder="1" applyAlignment="1">
      <alignment vertical="center"/>
    </xf>
    <xf numFmtId="4" fontId="31" fillId="7" borderId="0" xfId="1" applyNumberFormat="1" applyFont="1" applyFill="1" applyAlignment="1">
      <alignment vertical="center"/>
    </xf>
    <xf numFmtId="0" fontId="31" fillId="7" borderId="0" xfId="1" applyFont="1" applyFill="1" applyAlignment="1">
      <alignment vertical="center"/>
    </xf>
    <xf numFmtId="0" fontId="6" fillId="7" borderId="0" xfId="1" applyFont="1" applyFill="1" applyAlignment="1" applyProtection="1">
      <alignment vertical="center"/>
      <protection locked="0"/>
    </xf>
    <xf numFmtId="0" fontId="29" fillId="0" borderId="0" xfId="1" applyFont="1" applyAlignment="1" applyProtection="1">
      <alignment vertical="center" wrapText="1"/>
      <protection locked="0"/>
    </xf>
    <xf numFmtId="3" fontId="29" fillId="7" borderId="60" xfId="1" applyNumberFormat="1" applyFont="1" applyFill="1" applyBorder="1" applyAlignment="1">
      <alignment vertical="center"/>
    </xf>
    <xf numFmtId="164" fontId="29" fillId="2" borderId="58" xfId="1" applyNumberFormat="1" applyFont="1" applyFill="1" applyBorder="1" applyAlignment="1">
      <alignment horizontal="center" vertical="center"/>
    </xf>
    <xf numFmtId="0" fontId="29" fillId="0" borderId="8" xfId="2" applyFont="1" applyFill="1" applyBorder="1" applyAlignment="1">
      <alignment vertical="center" wrapText="1"/>
    </xf>
    <xf numFmtId="0" fontId="30" fillId="0" borderId="11" xfId="2" applyFont="1" applyBorder="1" applyAlignment="1">
      <alignment vertical="center" wrapText="1"/>
    </xf>
    <xf numFmtId="0" fontId="30" fillId="0" borderId="37" xfId="2" applyFont="1" applyBorder="1" applyAlignment="1">
      <alignment vertical="center" wrapText="1"/>
    </xf>
    <xf numFmtId="49" fontId="29" fillId="0" borderId="33" xfId="2" applyNumberFormat="1" applyFont="1" applyBorder="1" applyAlignment="1">
      <alignment horizontal="center" vertical="center" wrapText="1"/>
    </xf>
    <xf numFmtId="0" fontId="0" fillId="0" borderId="0" xfId="0" applyFill="1"/>
    <xf numFmtId="0" fontId="33" fillId="0" borderId="61" xfId="1" applyFont="1" applyBorder="1" applyAlignment="1" applyProtection="1">
      <alignment horizontal="center" vertical="center" wrapText="1"/>
      <protection locked="0"/>
    </xf>
    <xf numFmtId="0" fontId="33" fillId="0" borderId="61" xfId="1" applyFont="1" applyBorder="1" applyAlignment="1" applyProtection="1">
      <alignment horizontal="center" vertical="center"/>
      <protection locked="0"/>
    </xf>
    <xf numFmtId="0" fontId="33" fillId="0" borderId="62" xfId="1" applyFont="1" applyBorder="1" applyAlignment="1" applyProtection="1">
      <alignment horizontal="center" vertical="center"/>
      <protection locked="0"/>
    </xf>
    <xf numFmtId="0" fontId="33" fillId="0" borderId="0" xfId="1" applyFont="1" applyAlignment="1" applyProtection="1">
      <alignment vertical="center"/>
      <protection locked="0"/>
    </xf>
    <xf numFmtId="0" fontId="33" fillId="0" borderId="0" xfId="1" applyFont="1" applyAlignment="1">
      <alignment vertical="center"/>
    </xf>
    <xf numFmtId="2" fontId="33" fillId="0" borderId="41" xfId="1" applyNumberFormat="1" applyFont="1" applyBorder="1" applyAlignment="1" applyProtection="1">
      <alignment horizontal="center" vertical="center" wrapText="1"/>
      <protection locked="0"/>
    </xf>
    <xf numFmtId="0" fontId="29" fillId="8" borderId="63" xfId="1" applyFont="1" applyFill="1" applyBorder="1" applyAlignment="1">
      <alignment horizontal="center" vertical="center"/>
    </xf>
    <xf numFmtId="0" fontId="29" fillId="8" borderId="43" xfId="1" applyFont="1" applyFill="1" applyBorder="1" applyAlignment="1">
      <alignment horizontal="center" vertical="center"/>
    </xf>
    <xf numFmtId="0" fontId="41" fillId="0" borderId="45" xfId="0" applyFont="1" applyBorder="1" applyAlignment="1">
      <alignment horizontal="center" vertical="center"/>
    </xf>
    <xf numFmtId="0" fontId="28" fillId="0" borderId="0" xfId="1" applyFont="1" applyAlignment="1" applyProtection="1">
      <alignment horizontal="left" vertical="center"/>
      <protection locked="0"/>
    </xf>
    <xf numFmtId="0" fontId="29" fillId="0" borderId="0" xfId="1" applyFont="1" applyBorder="1" applyAlignment="1" applyProtection="1">
      <alignment horizontal="center" vertical="center"/>
      <protection locked="0"/>
    </xf>
    <xf numFmtId="0" fontId="30" fillId="0" borderId="0" xfId="1" applyFont="1" applyBorder="1" applyAlignment="1" applyProtection="1">
      <alignment horizontal="left" vertical="center"/>
      <protection locked="0"/>
    </xf>
    <xf numFmtId="3" fontId="29" fillId="0" borderId="0" xfId="1" applyNumberFormat="1" applyFont="1" applyFill="1" applyBorder="1" applyAlignment="1" applyProtection="1">
      <alignment horizontal="left" vertical="center"/>
      <protection hidden="1"/>
    </xf>
    <xf numFmtId="3" fontId="29" fillId="0" borderId="0" xfId="1" applyNumberFormat="1" applyFont="1" applyBorder="1" applyAlignment="1" applyProtection="1">
      <alignment horizontal="left" vertical="center"/>
      <protection hidden="1"/>
    </xf>
    <xf numFmtId="0" fontId="29" fillId="0" borderId="0" xfId="1" applyFont="1" applyAlignment="1" applyProtection="1">
      <alignment horizontal="left" vertical="center"/>
      <protection locked="0"/>
    </xf>
    <xf numFmtId="0" fontId="39" fillId="0" borderId="0" xfId="1" applyFont="1" applyAlignment="1" applyProtection="1">
      <alignment horizontal="left" vertical="center"/>
      <protection locked="0"/>
    </xf>
    <xf numFmtId="3" fontId="29" fillId="0" borderId="50" xfId="1" applyNumberFormat="1" applyFont="1" applyBorder="1" applyAlignment="1" applyProtection="1">
      <alignment vertical="center"/>
      <protection locked="0"/>
    </xf>
    <xf numFmtId="0" fontId="29" fillId="9" borderId="64" xfId="1" applyFont="1" applyFill="1" applyBorder="1" applyAlignment="1">
      <alignment horizontal="center" vertical="center"/>
    </xf>
    <xf numFmtId="0" fontId="29" fillId="9" borderId="6" xfId="1" applyFont="1" applyFill="1" applyBorder="1" applyAlignment="1">
      <alignment horizontal="center" vertical="center"/>
    </xf>
    <xf numFmtId="3" fontId="30" fillId="9" borderId="16" xfId="1" applyNumberFormat="1" applyFont="1" applyFill="1" applyBorder="1" applyAlignment="1" applyProtection="1">
      <alignment vertical="center" wrapText="1"/>
      <protection locked="0"/>
    </xf>
    <xf numFmtId="164" fontId="30" fillId="9" borderId="40" xfId="1" applyNumberFormat="1" applyFont="1" applyFill="1" applyBorder="1" applyAlignment="1">
      <alignment horizontal="center" vertical="center"/>
    </xf>
    <xf numFmtId="3" fontId="30" fillId="9" borderId="7" xfId="1" applyNumberFormat="1" applyFont="1" applyFill="1" applyBorder="1" applyAlignment="1" applyProtection="1">
      <alignment vertical="center" wrapText="1"/>
      <protection locked="0"/>
    </xf>
    <xf numFmtId="164" fontId="30" fillId="9" borderId="21" xfId="1" applyNumberFormat="1" applyFont="1" applyFill="1" applyBorder="1" applyAlignment="1">
      <alignment horizontal="center" vertical="center"/>
    </xf>
    <xf numFmtId="0" fontId="29" fillId="0" borderId="10" xfId="1" applyFont="1" applyBorder="1" applyAlignment="1" applyProtection="1">
      <alignment horizontal="center" vertical="center" wrapText="1"/>
      <protection locked="0"/>
    </xf>
    <xf numFmtId="0" fontId="29" fillId="9" borderId="30" xfId="1" applyFont="1" applyFill="1" applyBorder="1" applyAlignment="1" applyProtection="1">
      <alignment horizontal="center" vertical="center"/>
      <protection locked="0"/>
    </xf>
    <xf numFmtId="3" fontId="29" fillId="9" borderId="10" xfId="1" applyNumberFormat="1" applyFont="1" applyFill="1" applyBorder="1" applyAlignment="1" applyProtection="1">
      <alignment horizontal="right" vertical="center" wrapText="1"/>
      <protection locked="0"/>
    </xf>
    <xf numFmtId="3" fontId="29" fillId="9" borderId="22" xfId="1" applyNumberFormat="1" applyFont="1" applyFill="1" applyBorder="1" applyAlignment="1" applyProtection="1">
      <alignment horizontal="right" vertical="center" wrapText="1"/>
      <protection hidden="1"/>
    </xf>
    <xf numFmtId="0" fontId="29" fillId="9" borderId="18" xfId="1" applyFont="1" applyFill="1" applyBorder="1" applyAlignment="1" applyProtection="1">
      <alignment horizontal="center" vertical="center"/>
      <protection locked="0"/>
    </xf>
    <xf numFmtId="3" fontId="29" fillId="9" borderId="13" xfId="1" applyNumberFormat="1" applyFont="1" applyFill="1" applyBorder="1" applyAlignment="1" applyProtection="1">
      <alignment horizontal="right" vertical="center"/>
      <protection locked="0"/>
    </xf>
    <xf numFmtId="3" fontId="29" fillId="9" borderId="1" xfId="1" applyNumberFormat="1" applyFont="1" applyFill="1" applyBorder="1" applyAlignment="1" applyProtection="1">
      <alignment horizontal="right" vertical="center" wrapText="1"/>
      <protection hidden="1"/>
    </xf>
    <xf numFmtId="0" fontId="29" fillId="9" borderId="33" xfId="1" applyFont="1" applyFill="1" applyBorder="1" applyAlignment="1" applyProtection="1">
      <alignment horizontal="center" vertical="center"/>
      <protection locked="0"/>
    </xf>
    <xf numFmtId="3" fontId="29" fillId="0" borderId="15" xfId="1" applyNumberFormat="1" applyFont="1" applyBorder="1" applyAlignment="1" applyProtection="1">
      <alignment horizontal="right" vertical="center" wrapText="1" indent="1"/>
      <protection locked="0"/>
    </xf>
    <xf numFmtId="3" fontId="29" fillId="0" borderId="16"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hidden="1"/>
    </xf>
    <xf numFmtId="3" fontId="29" fillId="0" borderId="9" xfId="1" applyNumberFormat="1" applyFont="1" applyBorder="1" applyAlignment="1" applyProtection="1">
      <alignment horizontal="right" vertical="center" wrapText="1" indent="1"/>
      <protection locked="0"/>
    </xf>
    <xf numFmtId="3" fontId="29" fillId="0" borderId="34" xfId="1" applyNumberFormat="1" applyFont="1" applyBorder="1" applyAlignment="1" applyProtection="1">
      <alignment horizontal="right" vertical="center" wrapText="1" indent="1"/>
      <protection locked="0"/>
    </xf>
    <xf numFmtId="3" fontId="29" fillId="0" borderId="26" xfId="1" applyNumberFormat="1" applyFont="1" applyBorder="1" applyAlignment="1" applyProtection="1">
      <alignment horizontal="right" vertical="center" wrapText="1" indent="1"/>
      <protection hidden="1"/>
    </xf>
    <xf numFmtId="3" fontId="29" fillId="0" borderId="23" xfId="1" applyNumberFormat="1" applyFont="1" applyBorder="1" applyAlignment="1" applyProtection="1">
      <alignment horizontal="right" vertical="center" wrapText="1" indent="1"/>
      <protection hidden="1"/>
    </xf>
    <xf numFmtId="0" fontId="29" fillId="0" borderId="65"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29" fillId="0" borderId="30" xfId="1" applyFont="1" applyBorder="1" applyAlignment="1" applyProtection="1">
      <alignment horizontal="center" vertical="center" wrapText="1"/>
      <protection locked="0"/>
    </xf>
    <xf numFmtId="0" fontId="29" fillId="0" borderId="66" xfId="1" applyFont="1" applyFill="1" applyBorder="1" applyAlignment="1">
      <alignment horizontal="center" vertical="center" wrapText="1"/>
    </xf>
    <xf numFmtId="0" fontId="30" fillId="4" borderId="27" xfId="3" applyFont="1" applyFill="1" applyBorder="1" applyAlignment="1">
      <alignment horizontal="left" vertical="center"/>
    </xf>
    <xf numFmtId="0" fontId="30" fillId="2" borderId="67" xfId="3" applyFont="1" applyFill="1" applyBorder="1" applyAlignment="1">
      <alignment horizontal="left" vertical="center"/>
    </xf>
    <xf numFmtId="0" fontId="30" fillId="2" borderId="68" xfId="3" applyFont="1" applyFill="1" applyBorder="1" applyAlignment="1">
      <alignment horizontal="left" vertical="center"/>
    </xf>
    <xf numFmtId="0" fontId="29" fillId="4" borderId="9" xfId="1" applyFont="1" applyFill="1" applyBorder="1" applyAlignment="1">
      <alignment vertical="center"/>
    </xf>
    <xf numFmtId="0" fontId="29" fillId="2" borderId="69" xfId="1" applyFont="1" applyFill="1" applyBorder="1" applyAlignment="1">
      <alignment vertical="center"/>
    </xf>
    <xf numFmtId="0" fontId="29" fillId="2" borderId="70" xfId="1" applyFont="1" applyFill="1" applyBorder="1" applyAlignment="1">
      <alignment vertical="center"/>
    </xf>
    <xf numFmtId="0" fontId="29" fillId="2" borderId="71" xfId="1" applyFont="1" applyFill="1" applyBorder="1" applyAlignment="1">
      <alignment vertical="center"/>
    </xf>
    <xf numFmtId="0" fontId="29" fillId="2" borderId="72" xfId="3" applyFont="1" applyFill="1" applyBorder="1" applyAlignment="1">
      <alignment horizontal="left" vertical="center"/>
    </xf>
    <xf numFmtId="0" fontId="29" fillId="0" borderId="49" xfId="1" applyFont="1" applyBorder="1" applyAlignment="1" applyProtection="1">
      <alignment vertical="center"/>
      <protection locked="0"/>
    </xf>
    <xf numFmtId="0" fontId="29" fillId="0" borderId="50" xfId="1" applyFont="1" applyBorder="1" applyAlignment="1" applyProtection="1">
      <alignment vertical="center"/>
      <protection locked="0"/>
    </xf>
    <xf numFmtId="0" fontId="29" fillId="0" borderId="51" xfId="1" applyFont="1" applyBorder="1" applyAlignment="1" applyProtection="1">
      <alignment vertical="center"/>
      <protection locked="0"/>
    </xf>
    <xf numFmtId="0" fontId="30" fillId="0" borderId="23" xfId="1" applyFont="1" applyFill="1" applyBorder="1" applyAlignment="1" applyProtection="1">
      <alignment vertical="center"/>
      <protection locked="0"/>
    </xf>
    <xf numFmtId="0" fontId="6" fillId="0" borderId="30" xfId="1" applyFont="1" applyBorder="1" applyAlignment="1">
      <alignment horizontal="center" vertical="center"/>
    </xf>
    <xf numFmtId="0" fontId="6" fillId="0" borderId="33" xfId="1" applyFont="1" applyBorder="1" applyAlignment="1">
      <alignment horizontal="center" vertical="center"/>
    </xf>
    <xf numFmtId="0" fontId="6" fillId="0" borderId="65" xfId="1" applyFont="1" applyBorder="1" applyAlignment="1">
      <alignment horizontal="center" vertical="center"/>
    </xf>
    <xf numFmtId="0" fontId="6" fillId="0" borderId="73" xfId="1" applyFont="1" applyBorder="1" applyAlignment="1" applyProtection="1">
      <alignment horizontal="center" vertical="center" wrapText="1"/>
      <protection locked="0"/>
    </xf>
    <xf numFmtId="0" fontId="6" fillId="0" borderId="65" xfId="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protection locked="0"/>
    </xf>
    <xf numFmtId="0" fontId="6" fillId="0" borderId="74" xfId="1" applyFont="1" applyBorder="1" applyAlignment="1" applyProtection="1">
      <alignment horizontal="center" vertical="center" wrapText="1"/>
      <protection locked="0"/>
    </xf>
    <xf numFmtId="0" fontId="6" fillId="0" borderId="42" xfId="1" applyFont="1" applyBorder="1" applyAlignment="1" applyProtection="1">
      <alignment horizontal="center" vertical="center" wrapText="1"/>
      <protection locked="0"/>
    </xf>
    <xf numFmtId="0" fontId="6" fillId="0" borderId="30"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7"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6" fillId="0" borderId="18" xfId="1" applyFont="1" applyBorder="1" applyAlignment="1">
      <alignment horizontal="center" vertical="center"/>
    </xf>
    <xf numFmtId="0" fontId="29" fillId="0" borderId="73" xfId="1" applyFont="1" applyBorder="1" applyAlignment="1" applyProtection="1">
      <alignment horizontal="center" vertical="center" wrapText="1"/>
      <protection locked="0"/>
    </xf>
    <xf numFmtId="0" fontId="29" fillId="0" borderId="74" xfId="1" applyFont="1" applyBorder="1" applyAlignment="1" applyProtection="1">
      <alignment horizontal="center" vertical="center" wrapText="1"/>
      <protection locked="0"/>
    </xf>
    <xf numFmtId="0" fontId="29" fillId="0" borderId="22" xfId="1" applyFont="1" applyBorder="1" applyAlignment="1" applyProtection="1">
      <alignment horizontal="center" vertical="center" wrapText="1"/>
      <protection locked="0"/>
    </xf>
    <xf numFmtId="0" fontId="12" fillId="0" borderId="10" xfId="0" applyFont="1" applyBorder="1" applyAlignment="1">
      <alignment horizontal="center" vertical="center"/>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13"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37" fillId="0" borderId="62" xfId="0" applyFont="1" applyFill="1" applyBorder="1" applyAlignment="1">
      <alignment horizontal="center" vertical="center" wrapText="1" shrinkToFit="1"/>
    </xf>
    <xf numFmtId="0" fontId="37" fillId="0" borderId="9" xfId="0" applyFont="1" applyBorder="1" applyAlignment="1">
      <alignment horizontal="center" vertical="center"/>
    </xf>
    <xf numFmtId="0" fontId="37" fillId="0" borderId="10" xfId="0" applyFont="1" applyBorder="1" applyAlignment="1">
      <alignment horizontal="center" vertical="center"/>
    </xf>
    <xf numFmtId="0" fontId="37" fillId="0" borderId="12" xfId="0" applyFont="1" applyBorder="1" applyAlignment="1">
      <alignment horizontal="center" vertical="center" wrapText="1" shrinkToFit="1"/>
    </xf>
    <xf numFmtId="0" fontId="37" fillId="0" borderId="13" xfId="0" applyFont="1" applyBorder="1" applyAlignment="1">
      <alignment horizontal="center" vertical="center" wrapText="1" shrinkToFit="1"/>
    </xf>
    <xf numFmtId="0" fontId="37" fillId="0" borderId="1" xfId="0" applyFont="1" applyFill="1" applyBorder="1" applyAlignment="1">
      <alignment horizontal="center" vertical="center" wrapText="1" shrinkToFit="1"/>
    </xf>
    <xf numFmtId="0" fontId="28" fillId="8" borderId="0" xfId="1" applyFont="1" applyFill="1" applyAlignment="1" applyProtection="1">
      <alignment vertical="center"/>
      <protection locked="0"/>
    </xf>
    <xf numFmtId="0" fontId="29" fillId="8" borderId="0" xfId="1" applyFont="1" applyFill="1" applyAlignment="1">
      <alignment vertical="center"/>
    </xf>
    <xf numFmtId="0" fontId="39" fillId="8" borderId="0" xfId="1" applyFont="1" applyFill="1" applyAlignment="1">
      <alignment vertical="center"/>
    </xf>
    <xf numFmtId="0" fontId="29" fillId="8" borderId="0" xfId="1" applyFont="1" applyFill="1" applyAlignment="1">
      <alignment horizontal="center" vertical="center"/>
    </xf>
    <xf numFmtId="0" fontId="29" fillId="8" borderId="0" xfId="1" applyFont="1" applyFill="1" applyBorder="1" applyAlignment="1">
      <alignment vertical="center"/>
    </xf>
    <xf numFmtId="0" fontId="29" fillId="8" borderId="0" xfId="1" applyFont="1" applyFill="1" applyBorder="1" applyAlignment="1">
      <alignment horizontal="right" vertical="center"/>
    </xf>
    <xf numFmtId="0" fontId="30" fillId="8" borderId="0" xfId="1" applyFont="1" applyFill="1" applyBorder="1" applyAlignment="1">
      <alignment horizontal="center" vertical="center"/>
    </xf>
    <xf numFmtId="0" fontId="29" fillId="8" borderId="0" xfId="1" applyFont="1" applyFill="1" applyBorder="1" applyAlignment="1">
      <alignment horizontal="center" vertical="center"/>
    </xf>
    <xf numFmtId="0" fontId="46" fillId="8" borderId="0" xfId="1" applyFont="1" applyFill="1" applyBorder="1" applyAlignment="1">
      <alignment horizontal="center" vertical="center"/>
    </xf>
    <xf numFmtId="0" fontId="29" fillId="5" borderId="75" xfId="1" applyFont="1" applyFill="1" applyBorder="1" applyAlignment="1">
      <alignment vertical="center"/>
    </xf>
    <xf numFmtId="0" fontId="29" fillId="0" borderId="0" xfId="1" applyFont="1" applyFill="1" applyAlignment="1">
      <alignment vertical="center"/>
    </xf>
    <xf numFmtId="0" fontId="29" fillId="2" borderId="76" xfId="1" applyFont="1" applyFill="1" applyBorder="1" applyAlignment="1">
      <alignment vertical="center"/>
    </xf>
    <xf numFmtId="0" fontId="29" fillId="0" borderId="76" xfId="1" applyFont="1" applyFill="1" applyBorder="1" applyAlignment="1">
      <alignment vertical="center"/>
    </xf>
    <xf numFmtId="0" fontId="29" fillId="0" borderId="77" xfId="1" applyFont="1" applyFill="1" applyBorder="1" applyAlignment="1">
      <alignment vertical="center"/>
    </xf>
    <xf numFmtId="164" fontId="29" fillId="8" borderId="0" xfId="1" applyNumberFormat="1" applyFont="1" applyFill="1" applyBorder="1" applyAlignment="1">
      <alignment horizontal="center" vertical="center"/>
    </xf>
    <xf numFmtId="0" fontId="29" fillId="8" borderId="76" xfId="1" applyFont="1" applyFill="1" applyBorder="1" applyAlignment="1">
      <alignment vertical="center"/>
    </xf>
    <xf numFmtId="0" fontId="0" fillId="8" borderId="0" xfId="0" applyFill="1"/>
    <xf numFmtId="0" fontId="0" fillId="8" borderId="0" xfId="0" applyFill="1" applyBorder="1"/>
    <xf numFmtId="0" fontId="29" fillId="8" borderId="75" xfId="1" applyFont="1" applyFill="1" applyBorder="1" applyAlignment="1">
      <alignment vertical="center"/>
    </xf>
    <xf numFmtId="0" fontId="29" fillId="8" borderId="76" xfId="3" applyFont="1" applyFill="1" applyBorder="1" applyAlignment="1">
      <alignment horizontal="left" vertical="center"/>
    </xf>
    <xf numFmtId="0" fontId="29" fillId="8" borderId="77" xfId="1" applyFont="1" applyFill="1" applyBorder="1" applyAlignment="1">
      <alignment vertical="center"/>
    </xf>
    <xf numFmtId="0" fontId="29" fillId="0" borderId="0" xfId="1" applyFont="1" applyFill="1" applyBorder="1" applyAlignment="1">
      <alignment horizontal="center" vertical="center"/>
    </xf>
    <xf numFmtId="164" fontId="29" fillId="0" borderId="0" xfId="1" applyNumberFormat="1" applyFont="1" applyFill="1" applyBorder="1" applyAlignment="1">
      <alignment horizontal="center" vertical="center"/>
    </xf>
    <xf numFmtId="0" fontId="29" fillId="2" borderId="80" xfId="1" applyFont="1" applyFill="1" applyBorder="1" applyAlignment="1">
      <alignment vertical="center"/>
    </xf>
    <xf numFmtId="0" fontId="29" fillId="8" borderId="80" xfId="1" applyFont="1" applyFill="1" applyBorder="1" applyAlignment="1">
      <alignment vertical="center"/>
    </xf>
    <xf numFmtId="0" fontId="7" fillId="0" borderId="0" xfId="4" applyFont="1" applyAlignment="1" applyProtection="1">
      <alignment vertical="center"/>
      <protection locked="0"/>
    </xf>
    <xf numFmtId="0" fontId="20" fillId="0" borderId="0" xfId="1" applyFont="1" applyAlignment="1" applyProtection="1">
      <alignment vertical="center"/>
      <protection locked="0"/>
    </xf>
    <xf numFmtId="0" fontId="12" fillId="0" borderId="0" xfId="4" applyFont="1" applyAlignment="1">
      <alignment vertical="center"/>
    </xf>
    <xf numFmtId="0" fontId="6" fillId="0" borderId="0" xfId="4" applyFont="1" applyAlignment="1">
      <alignment vertical="center"/>
    </xf>
    <xf numFmtId="0" fontId="6" fillId="0" borderId="0" xfId="4" applyFont="1" applyAlignment="1" applyProtection="1">
      <alignment vertical="center"/>
      <protection locked="0"/>
    </xf>
    <xf numFmtId="0" fontId="20" fillId="0" borderId="0" xfId="4" applyFont="1" applyAlignment="1" applyProtection="1">
      <alignment vertical="center"/>
      <protection locked="0"/>
    </xf>
    <xf numFmtId="0" fontId="6" fillId="0" borderId="0" xfId="4" applyFont="1" applyFill="1" applyAlignment="1" applyProtection="1">
      <alignment horizontal="right" vertical="center"/>
      <protection locked="0"/>
    </xf>
    <xf numFmtId="0" fontId="12" fillId="0" borderId="9" xfId="0" applyFont="1" applyBorder="1" applyAlignment="1">
      <alignment horizontal="center" vertical="center"/>
    </xf>
    <xf numFmtId="0" fontId="12" fillId="0" borderId="18" xfId="0" applyFont="1" applyFill="1" applyBorder="1" applyAlignment="1">
      <alignment horizontal="center" vertical="center" wrapText="1" shrinkToFit="1"/>
    </xf>
    <xf numFmtId="0" fontId="12" fillId="4" borderId="1" xfId="0" applyFont="1" applyFill="1" applyBorder="1" applyAlignment="1">
      <alignment horizontal="center" vertical="center" wrapText="1" shrinkToFit="1"/>
    </xf>
    <xf numFmtId="0" fontId="12" fillId="0" borderId="15" xfId="4" applyFont="1" applyBorder="1" applyAlignment="1">
      <alignment horizontal="center" vertical="center"/>
    </xf>
    <xf numFmtId="0" fontId="6" fillId="0" borderId="30" xfId="4" applyFont="1" applyBorder="1" applyAlignment="1">
      <alignment horizontal="center" vertical="center"/>
    </xf>
    <xf numFmtId="0" fontId="14" fillId="9" borderId="3" xfId="4" applyFont="1" applyFill="1" applyBorder="1" applyAlignment="1">
      <alignment horizontal="center" vertical="center"/>
    </xf>
    <xf numFmtId="0" fontId="8" fillId="0" borderId="0" xfId="4" applyFont="1" applyAlignment="1">
      <alignment vertical="center"/>
    </xf>
    <xf numFmtId="0" fontId="23" fillId="0" borderId="0" xfId="0" applyFont="1" applyAlignment="1">
      <alignment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12" fillId="0" borderId="83" xfId="0" applyFont="1" applyFill="1" applyBorder="1" applyAlignment="1">
      <alignment horizontal="center" vertical="center" wrapText="1" shrinkToFit="1"/>
    </xf>
    <xf numFmtId="0" fontId="12" fillId="0" borderId="45" xfId="0" applyFont="1" applyFill="1" applyBorder="1" applyAlignment="1">
      <alignment horizontal="center" vertical="center"/>
    </xf>
    <xf numFmtId="0" fontId="12" fillId="0" borderId="50" xfId="0" applyFont="1" applyFill="1" applyBorder="1" applyAlignment="1">
      <alignment vertical="center"/>
    </xf>
    <xf numFmtId="0" fontId="12" fillId="0" borderId="84" xfId="0" applyFont="1" applyFill="1" applyBorder="1" applyAlignment="1">
      <alignment vertical="center"/>
    </xf>
    <xf numFmtId="0" fontId="12" fillId="0" borderId="85" xfId="0" applyFont="1" applyFill="1" applyBorder="1" applyAlignment="1">
      <alignment horizontal="center" vertical="center"/>
    </xf>
    <xf numFmtId="0" fontId="12" fillId="0" borderId="51" xfId="0" applyFont="1" applyFill="1" applyBorder="1" applyAlignment="1">
      <alignment vertical="center"/>
    </xf>
    <xf numFmtId="0" fontId="24" fillId="0" borderId="50" xfId="0" applyFont="1" applyFill="1" applyBorder="1" applyAlignment="1">
      <alignment horizontal="right" vertical="center"/>
    </xf>
    <xf numFmtId="0" fontId="12" fillId="0" borderId="86" xfId="0" applyFont="1" applyFill="1" applyBorder="1" applyAlignment="1">
      <alignment horizontal="center" vertical="center"/>
    </xf>
    <xf numFmtId="0" fontId="12" fillId="0" borderId="87" xfId="0" applyFont="1" applyFill="1" applyBorder="1" applyAlignment="1">
      <alignment vertical="center"/>
    </xf>
    <xf numFmtId="0" fontId="21" fillId="9" borderId="88" xfId="0" applyFont="1" applyFill="1" applyBorder="1" applyAlignment="1">
      <alignment horizontal="left" vertical="center"/>
    </xf>
    <xf numFmtId="0" fontId="1" fillId="9" borderId="73" xfId="0" applyFont="1" applyFill="1" applyBorder="1" applyAlignment="1">
      <alignment vertical="center"/>
    </xf>
    <xf numFmtId="0" fontId="47" fillId="0" borderId="0" xfId="0" applyFont="1" applyAlignment="1">
      <alignment vertical="center"/>
    </xf>
    <xf numFmtId="0" fontId="0" fillId="0" borderId="0" xfId="0" applyAlignment="1">
      <alignment horizontal="right" vertical="center"/>
    </xf>
    <xf numFmtId="0" fontId="0" fillId="0" borderId="0" xfId="0" applyFont="1" applyAlignment="1">
      <alignment vertical="center"/>
    </xf>
    <xf numFmtId="0" fontId="41" fillId="4" borderId="30" xfId="0" applyFont="1" applyFill="1" applyBorder="1" applyAlignment="1">
      <alignment horizontal="center" vertical="center"/>
    </xf>
    <xf numFmtId="0" fontId="44" fillId="9"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Alignment="1">
      <alignment horizontal="right" vertical="center"/>
    </xf>
    <xf numFmtId="0" fontId="44" fillId="9" borderId="30" xfId="0" applyFont="1" applyFill="1" applyBorder="1" applyAlignment="1">
      <alignment horizontal="center" vertical="center"/>
    </xf>
    <xf numFmtId="0" fontId="44" fillId="9" borderId="84" xfId="0" applyFont="1" applyFill="1" applyBorder="1" applyAlignment="1">
      <alignment horizontal="center" vertical="center"/>
    </xf>
    <xf numFmtId="0" fontId="41" fillId="0" borderId="30" xfId="0" applyFont="1" applyBorder="1" applyAlignment="1">
      <alignment horizontal="center" vertical="center"/>
    </xf>
    <xf numFmtId="0" fontId="41" fillId="0" borderId="18" xfId="0" applyFont="1" applyBorder="1" applyAlignment="1">
      <alignment horizontal="center" vertical="center"/>
    </xf>
    <xf numFmtId="0" fontId="41" fillId="9" borderId="3" xfId="0" applyFont="1" applyFill="1" applyBorder="1" applyAlignment="1">
      <alignment horizontal="center" vertical="center"/>
    </xf>
    <xf numFmtId="0" fontId="13" fillId="0" borderId="45" xfId="0" applyFont="1" applyFill="1" applyBorder="1" applyAlignment="1">
      <alignment horizontal="left" vertical="center"/>
    </xf>
    <xf numFmtId="0" fontId="13" fillId="0" borderId="50" xfId="0" applyFont="1" applyFill="1" applyBorder="1" applyAlignment="1">
      <alignment horizontal="left" vertical="center"/>
    </xf>
    <xf numFmtId="0" fontId="41" fillId="0" borderId="45" xfId="0" applyFont="1" applyBorder="1" applyAlignment="1">
      <alignment vertical="center"/>
    </xf>
    <xf numFmtId="0" fontId="41" fillId="0" borderId="89" xfId="0" applyFont="1" applyBorder="1" applyAlignment="1">
      <alignment vertical="center"/>
    </xf>
    <xf numFmtId="16" fontId="41" fillId="0" borderId="45" xfId="0" applyNumberFormat="1" applyFont="1" applyBorder="1" applyAlignment="1">
      <alignment horizontal="left" vertical="center"/>
    </xf>
    <xf numFmtId="0" fontId="41" fillId="0" borderId="90" xfId="0" applyFont="1" applyBorder="1" applyAlignment="1">
      <alignment horizontal="center" vertical="center"/>
    </xf>
    <xf numFmtId="0" fontId="41" fillId="0" borderId="90" xfId="0" applyFont="1" applyBorder="1" applyAlignment="1">
      <alignment horizontal="left" vertical="center"/>
    </xf>
    <xf numFmtId="0" fontId="48" fillId="0" borderId="0" xfId="0" applyFont="1" applyAlignment="1">
      <alignment vertical="center"/>
    </xf>
    <xf numFmtId="0" fontId="41" fillId="0" borderId="27" xfId="0" applyFont="1" applyBorder="1" applyAlignment="1">
      <alignment vertical="center"/>
    </xf>
    <xf numFmtId="0" fontId="29" fillId="8" borderId="78" xfId="1" applyFont="1" applyFill="1" applyBorder="1" applyAlignment="1">
      <alignment horizontal="center" vertical="center"/>
    </xf>
    <xf numFmtId="0" fontId="41" fillId="0" borderId="45" xfId="0" applyFont="1" applyBorder="1" applyAlignment="1">
      <alignment horizontal="left" vertical="center"/>
    </xf>
    <xf numFmtId="0" fontId="41" fillId="0" borderId="89" xfId="0" applyFont="1" applyBorder="1" applyAlignment="1">
      <alignment horizontal="left" vertical="center"/>
    </xf>
    <xf numFmtId="0" fontId="0" fillId="0" borderId="0" xfId="0" applyFont="1" applyFill="1" applyBorder="1" applyAlignment="1">
      <alignment horizontal="center" vertical="center"/>
    </xf>
    <xf numFmtId="0" fontId="26" fillId="0" borderId="0" xfId="0" applyFont="1" applyFill="1" applyBorder="1" applyAlignment="1">
      <alignment vertical="center"/>
    </xf>
    <xf numFmtId="0" fontId="0" fillId="0" borderId="0" xfId="0" applyFont="1" applyFill="1" applyAlignment="1">
      <alignment vertical="center"/>
    </xf>
    <xf numFmtId="0" fontId="44" fillId="0" borderId="30" xfId="0" applyFont="1" applyBorder="1" applyAlignment="1">
      <alignment horizontal="center" vertical="center"/>
    </xf>
    <xf numFmtId="0" fontId="12" fillId="0" borderId="22" xfId="0" applyFont="1" applyFill="1" applyBorder="1" applyAlignment="1">
      <alignment horizontal="center" vertical="center"/>
    </xf>
    <xf numFmtId="0" fontId="41" fillId="0" borderId="0" xfId="0" applyFont="1" applyFill="1" applyBorder="1" applyAlignment="1">
      <alignment vertical="center"/>
    </xf>
    <xf numFmtId="0" fontId="41" fillId="5" borderId="3" xfId="0" applyFont="1" applyFill="1" applyBorder="1" applyAlignment="1">
      <alignment horizontal="center" vertical="center"/>
    </xf>
    <xf numFmtId="0" fontId="41" fillId="0" borderId="0" xfId="0" applyFont="1" applyBorder="1" applyAlignment="1">
      <alignment vertical="center"/>
    </xf>
    <xf numFmtId="0" fontId="44" fillId="9" borderId="93" xfId="0" applyFont="1" applyFill="1" applyBorder="1" applyAlignment="1">
      <alignment vertical="center"/>
    </xf>
    <xf numFmtId="0" fontId="37" fillId="0" borderId="12" xfId="0" applyFont="1" applyFill="1" applyBorder="1" applyAlignment="1">
      <alignment horizontal="center" vertical="center" wrapText="1" shrinkToFit="1"/>
    </xf>
    <xf numFmtId="0" fontId="37" fillId="0" borderId="94" xfId="0" applyFont="1" applyBorder="1" applyAlignment="1">
      <alignment horizontal="center" vertical="center"/>
    </xf>
    <xf numFmtId="0" fontId="37" fillId="0" borderId="95" xfId="0" applyFont="1" applyBorder="1" applyAlignment="1">
      <alignment horizontal="center" vertical="center" wrapText="1" shrinkToFit="1"/>
    </xf>
    <xf numFmtId="0" fontId="44" fillId="6" borderId="22" xfId="0" applyFont="1" applyFill="1" applyBorder="1" applyAlignment="1">
      <alignment horizontal="left" vertical="center"/>
    </xf>
    <xf numFmtId="0" fontId="41" fillId="0" borderId="22" xfId="0" applyFont="1" applyBorder="1" applyAlignment="1">
      <alignment horizontal="left" vertical="center"/>
    </xf>
    <xf numFmtId="0" fontId="49" fillId="0" borderId="22" xfId="0" applyFont="1" applyBorder="1" applyAlignment="1">
      <alignment horizontal="right" vertical="center"/>
    </xf>
    <xf numFmtId="0" fontId="44" fillId="9" borderId="22" xfId="0" applyFont="1" applyFill="1" applyBorder="1" applyAlignment="1">
      <alignment horizontal="left" vertical="center"/>
    </xf>
    <xf numFmtId="0" fontId="44" fillId="0" borderId="22" xfId="0" applyFont="1" applyBorder="1" applyAlignment="1">
      <alignment horizontal="left" vertical="center"/>
    </xf>
    <xf numFmtId="0" fontId="44" fillId="0" borderId="35" xfId="0" applyFont="1" applyBorder="1" applyAlignment="1">
      <alignment horizontal="left" vertical="center"/>
    </xf>
    <xf numFmtId="0" fontId="13" fillId="0" borderId="22" xfId="0" applyFont="1" applyFill="1" applyBorder="1" applyAlignment="1">
      <alignment horizontal="left" vertical="center"/>
    </xf>
    <xf numFmtId="0" fontId="44" fillId="5" borderId="19" xfId="0" applyFont="1" applyFill="1" applyBorder="1" applyAlignment="1">
      <alignment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wrapText="1" shrinkToFit="1"/>
    </xf>
    <xf numFmtId="0" fontId="44" fillId="4" borderId="96" xfId="0" applyFont="1" applyFill="1" applyBorder="1" applyAlignment="1">
      <alignment horizontal="center" vertical="center"/>
    </xf>
    <xf numFmtId="49" fontId="41" fillId="0" borderId="97" xfId="0" applyNumberFormat="1" applyFont="1" applyBorder="1" applyAlignment="1">
      <alignment horizontal="left" vertical="center"/>
    </xf>
    <xf numFmtId="0" fontId="41" fillId="0" borderId="97" xfId="0" applyFont="1" applyBorder="1" applyAlignment="1">
      <alignment horizontal="left" vertical="center"/>
    </xf>
    <xf numFmtId="0" fontId="41" fillId="0" borderId="98" xfId="0" applyFont="1" applyBorder="1" applyAlignment="1">
      <alignment horizontal="left" vertical="center"/>
    </xf>
    <xf numFmtId="0" fontId="49" fillId="0" borderId="97" xfId="0" applyFont="1" applyBorder="1" applyAlignment="1">
      <alignment horizontal="right" vertical="center"/>
    </xf>
    <xf numFmtId="0" fontId="41" fillId="0" borderId="99" xfId="0" applyFont="1" applyBorder="1" applyAlignment="1">
      <alignment horizontal="left" vertical="center"/>
    </xf>
    <xf numFmtId="0" fontId="44" fillId="9" borderId="100" xfId="0" applyFont="1" applyFill="1" applyBorder="1" applyAlignment="1">
      <alignment vertical="center"/>
    </xf>
    <xf numFmtId="0" fontId="29" fillId="0" borderId="80" xfId="1" applyFont="1" applyFill="1" applyBorder="1" applyAlignment="1">
      <alignment vertical="center"/>
    </xf>
    <xf numFmtId="0" fontId="29" fillId="0" borderId="81" xfId="1" applyFont="1" applyFill="1" applyBorder="1" applyAlignment="1">
      <alignment vertical="center"/>
    </xf>
    <xf numFmtId="0" fontId="29" fillId="8" borderId="82" xfId="1" applyFont="1" applyFill="1" applyBorder="1" applyAlignment="1">
      <alignment horizontal="center" vertical="center"/>
    </xf>
    <xf numFmtId="0" fontId="41" fillId="0" borderId="0" xfId="0" applyFont="1" applyFill="1" applyAlignment="1">
      <alignment vertical="center"/>
    </xf>
    <xf numFmtId="0" fontId="44" fillId="4" borderId="22" xfId="0" applyFont="1" applyFill="1" applyBorder="1" applyAlignment="1">
      <alignment horizontal="left" vertical="center"/>
    </xf>
    <xf numFmtId="0" fontId="37" fillId="0" borderId="18" xfId="0" applyFont="1" applyFill="1" applyBorder="1" applyAlignment="1">
      <alignment horizontal="center" vertical="center" wrapText="1" shrinkToFit="1"/>
    </xf>
    <xf numFmtId="0" fontId="37" fillId="0" borderId="101" xfId="0" applyFont="1" applyFill="1" applyBorder="1" applyAlignment="1">
      <alignment horizontal="center" vertical="center" wrapText="1" shrinkToFit="1"/>
    </xf>
    <xf numFmtId="0" fontId="41" fillId="0" borderId="0" xfId="0" applyFont="1" applyFill="1" applyBorder="1" applyAlignment="1">
      <alignment horizontal="center" vertical="center"/>
    </xf>
    <xf numFmtId="0" fontId="44" fillId="0" borderId="0" xfId="0" applyFont="1" applyFill="1" applyBorder="1" applyAlignment="1">
      <alignment vertical="center"/>
    </xf>
    <xf numFmtId="0" fontId="14" fillId="0" borderId="0" xfId="4"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4" applyFont="1" applyFill="1" applyBorder="1" applyAlignment="1">
      <alignment vertical="center"/>
    </xf>
    <xf numFmtId="0" fontId="22" fillId="0" borderId="0" xfId="4" applyFont="1" applyFill="1" applyAlignment="1">
      <alignment vertical="center"/>
    </xf>
    <xf numFmtId="0" fontId="8" fillId="0" borderId="0" xfId="4" applyFont="1" applyFill="1" applyAlignment="1">
      <alignment vertical="center"/>
    </xf>
    <xf numFmtId="0" fontId="21" fillId="0" borderId="0" xfId="0" applyFont="1" applyFill="1" applyBorder="1" applyAlignment="1">
      <alignment horizontal="left" vertical="center"/>
    </xf>
    <xf numFmtId="0" fontId="1" fillId="0" borderId="0" xfId="0" applyFont="1" applyFill="1" applyBorder="1" applyAlignment="1">
      <alignment vertical="center"/>
    </xf>
    <xf numFmtId="0" fontId="44" fillId="9" borderId="102" xfId="0" applyFont="1" applyFill="1" applyBorder="1" applyAlignment="1">
      <alignment horizontal="center" vertical="center"/>
    </xf>
    <xf numFmtId="0" fontId="44" fillId="4" borderId="30" xfId="0" applyFont="1" applyFill="1" applyBorder="1" applyAlignment="1">
      <alignment horizontal="center" vertical="center"/>
    </xf>
    <xf numFmtId="0" fontId="44" fillId="4" borderId="21" xfId="0" applyFont="1" applyFill="1" applyBorder="1" applyAlignment="1">
      <alignment horizontal="left" vertical="center"/>
    </xf>
    <xf numFmtId="0" fontId="44" fillId="6" borderId="30" xfId="0" applyFont="1" applyFill="1" applyBorder="1" applyAlignment="1">
      <alignment horizontal="center" vertical="center"/>
    </xf>
    <xf numFmtId="0" fontId="50" fillId="4" borderId="97" xfId="0" applyFont="1" applyFill="1" applyBorder="1" applyAlignment="1">
      <alignment horizontal="right" vertical="center"/>
    </xf>
    <xf numFmtId="0" fontId="50" fillId="9" borderId="97" xfId="0" applyFont="1" applyFill="1" applyBorder="1" applyAlignment="1">
      <alignment horizontal="right" vertical="center"/>
    </xf>
    <xf numFmtId="0" fontId="44" fillId="9" borderId="15" xfId="0" applyFont="1" applyFill="1" applyBorder="1" applyAlignment="1">
      <alignment horizontal="center" vertical="center"/>
    </xf>
    <xf numFmtId="0" fontId="44" fillId="4" borderId="33" xfId="0" applyFont="1" applyFill="1" applyBorder="1" applyAlignment="1">
      <alignment horizontal="center" vertical="center"/>
    </xf>
    <xf numFmtId="0" fontId="6" fillId="8" borderId="0" xfId="1" applyFont="1" applyFill="1" applyAlignment="1">
      <alignment vertical="center"/>
    </xf>
    <xf numFmtId="0" fontId="6" fillId="0" borderId="0" xfId="1" applyFont="1" applyFill="1" applyAlignment="1" applyProtection="1">
      <alignment horizontal="left" vertical="center"/>
      <protection locked="0"/>
    </xf>
    <xf numFmtId="0" fontId="6" fillId="0" borderId="45" xfId="0" applyFont="1" applyFill="1" applyBorder="1" applyAlignment="1">
      <alignment horizontal="center" vertical="center"/>
    </xf>
    <xf numFmtId="0" fontId="6" fillId="0" borderId="50" xfId="0" applyFont="1" applyFill="1" applyBorder="1" applyAlignment="1">
      <alignment vertical="center"/>
    </xf>
    <xf numFmtId="0" fontId="6" fillId="0" borderId="31" xfId="4" applyFont="1" applyBorder="1" applyAlignment="1">
      <alignment horizontal="center" vertical="center"/>
    </xf>
    <xf numFmtId="0" fontId="33" fillId="0" borderId="84" xfId="1" applyFont="1" applyBorder="1" applyAlignment="1" applyProtection="1">
      <alignment horizontal="center" vertical="center" wrapText="1"/>
      <protection locked="0"/>
    </xf>
    <xf numFmtId="0" fontId="28" fillId="0" borderId="0" xfId="0" applyFont="1" applyAlignment="1">
      <alignment vertical="center"/>
    </xf>
    <xf numFmtId="0" fontId="29" fillId="0" borderId="30" xfId="0" applyFont="1" applyBorder="1" applyAlignment="1">
      <alignment horizontal="center" vertical="center"/>
    </xf>
    <xf numFmtId="165" fontId="29" fillId="5" borderId="104" xfId="1" applyNumberFormat="1" applyFont="1" applyFill="1" applyBorder="1" applyAlignment="1">
      <alignment horizontal="right" vertical="center"/>
    </xf>
    <xf numFmtId="3" fontId="29" fillId="5" borderId="16" xfId="1" applyNumberFormat="1" applyFont="1" applyFill="1" applyBorder="1" applyAlignment="1">
      <alignment horizontal="right" vertical="center"/>
    </xf>
    <xf numFmtId="3" fontId="29" fillId="5" borderId="63" xfId="1" applyNumberFormat="1" applyFont="1" applyFill="1" applyBorder="1" applyAlignment="1">
      <alignment horizontal="right" vertical="center"/>
    </xf>
    <xf numFmtId="3" fontId="29" fillId="5" borderId="40" xfId="1" applyNumberFormat="1" applyFont="1" applyFill="1" applyBorder="1" applyAlignment="1">
      <alignment horizontal="right" vertical="center"/>
    </xf>
    <xf numFmtId="3" fontId="29" fillId="0" borderId="0" xfId="1" applyNumberFormat="1" applyFont="1" applyAlignment="1" applyProtection="1">
      <alignment horizontal="right" vertical="center"/>
      <protection locked="0"/>
    </xf>
    <xf numFmtId="3" fontId="29" fillId="6" borderId="9" xfId="1" applyNumberFormat="1" applyFont="1" applyFill="1" applyBorder="1" applyAlignment="1" applyProtection="1">
      <alignment horizontal="right" vertical="center"/>
      <protection locked="0"/>
    </xf>
    <xf numFmtId="3" fontId="29" fillId="6" borderId="10" xfId="1" applyNumberFormat="1" applyFont="1" applyFill="1" applyBorder="1" applyAlignment="1" applyProtection="1">
      <alignment horizontal="right" vertical="center"/>
      <protection locked="0"/>
    </xf>
    <xf numFmtId="3" fontId="29" fillId="12" borderId="10" xfId="1" applyNumberFormat="1" applyFont="1" applyFill="1" applyBorder="1" applyAlignment="1">
      <alignment horizontal="right" vertical="center"/>
    </xf>
    <xf numFmtId="3" fontId="29" fillId="6" borderId="22" xfId="1" applyNumberFormat="1" applyFont="1" applyFill="1" applyBorder="1" applyAlignment="1" applyProtection="1">
      <alignment horizontal="right" vertical="center"/>
      <protection locked="0"/>
    </xf>
    <xf numFmtId="3" fontId="29" fillId="0" borderId="0" xfId="1" applyNumberFormat="1" applyFont="1" applyBorder="1" applyAlignment="1" applyProtection="1">
      <alignment horizontal="right" vertical="center" wrapText="1"/>
      <protection locked="0"/>
    </xf>
    <xf numFmtId="3" fontId="29" fillId="6" borderId="105" xfId="1" applyNumberFormat="1" applyFont="1" applyFill="1" applyBorder="1" applyAlignment="1" applyProtection="1">
      <alignment horizontal="right" vertical="center"/>
      <protection locked="0"/>
    </xf>
    <xf numFmtId="3" fontId="29" fillId="6" borderId="106" xfId="1" applyNumberFormat="1" applyFont="1" applyFill="1" applyBorder="1" applyAlignment="1" applyProtection="1">
      <alignment horizontal="right" vertical="center"/>
      <protection locked="0"/>
    </xf>
    <xf numFmtId="3" fontId="29" fillId="12" borderId="29" xfId="1" applyNumberFormat="1" applyFont="1" applyFill="1" applyBorder="1" applyAlignment="1">
      <alignment horizontal="right" vertical="center"/>
    </xf>
    <xf numFmtId="3" fontId="29" fillId="6" borderId="107" xfId="1" applyNumberFormat="1" applyFont="1" applyFill="1" applyBorder="1" applyAlignment="1" applyProtection="1">
      <alignment horizontal="right" vertical="center"/>
      <protection locked="0"/>
    </xf>
    <xf numFmtId="3" fontId="29" fillId="0" borderId="6" xfId="1" applyNumberFormat="1" applyFont="1" applyBorder="1" applyAlignment="1" applyProtection="1">
      <alignment horizontal="right" vertical="center"/>
      <protection locked="0"/>
    </xf>
    <xf numFmtId="3" fontId="29" fillId="0" borderId="7" xfId="1" applyNumberFormat="1" applyFont="1" applyBorder="1" applyAlignment="1" applyProtection="1">
      <alignment horizontal="right" vertical="center"/>
      <protection locked="0"/>
    </xf>
    <xf numFmtId="3" fontId="29" fillId="0" borderId="108" xfId="1" applyNumberFormat="1" applyFont="1" applyFill="1" applyBorder="1" applyAlignment="1">
      <alignment horizontal="right" vertical="center"/>
    </xf>
    <xf numFmtId="3" fontId="29" fillId="0" borderId="21" xfId="1" applyNumberFormat="1" applyFont="1" applyBorder="1" applyAlignment="1" applyProtection="1">
      <alignment horizontal="right" vertical="center"/>
      <protection locked="0"/>
    </xf>
    <xf numFmtId="3" fontId="29" fillId="6" borderId="34" xfId="1" applyNumberFormat="1" applyFont="1" applyFill="1" applyBorder="1" applyAlignment="1" applyProtection="1">
      <alignment horizontal="right" vertical="center"/>
      <protection locked="0"/>
    </xf>
    <xf numFmtId="3" fontId="29" fillId="6" borderId="29" xfId="1" applyNumberFormat="1" applyFont="1" applyFill="1" applyBorder="1" applyAlignment="1" applyProtection="1">
      <alignment horizontal="right" vertical="center"/>
      <protection locked="0"/>
    </xf>
    <xf numFmtId="3" fontId="29" fillId="12" borderId="106" xfId="1" applyNumberFormat="1" applyFont="1" applyFill="1" applyBorder="1" applyAlignment="1">
      <alignment horizontal="right" vertical="center"/>
    </xf>
    <xf numFmtId="3" fontId="29" fillId="6" borderId="35" xfId="1" applyNumberFormat="1" applyFont="1" applyFill="1" applyBorder="1" applyAlignment="1" applyProtection="1">
      <alignment horizontal="right" vertical="center"/>
      <protection locked="0"/>
    </xf>
    <xf numFmtId="3" fontId="29" fillId="0" borderId="0" xfId="1" applyNumberFormat="1" applyFont="1" applyBorder="1" applyAlignment="1" applyProtection="1">
      <alignment horizontal="right" vertical="center"/>
      <protection locked="0"/>
    </xf>
    <xf numFmtId="3" fontId="29" fillId="0" borderId="70" xfId="1" applyNumberFormat="1" applyFont="1" applyBorder="1" applyAlignment="1" applyProtection="1">
      <alignment horizontal="right" vertical="center"/>
      <protection locked="0"/>
    </xf>
    <xf numFmtId="3" fontId="29" fillId="0" borderId="58" xfId="1" applyNumberFormat="1" applyFont="1" applyBorder="1" applyAlignment="1" applyProtection="1">
      <alignment horizontal="right" vertical="center"/>
      <protection locked="0"/>
    </xf>
    <xf numFmtId="3" fontId="29" fillId="0" borderId="58" xfId="1" applyNumberFormat="1" applyFont="1" applyFill="1" applyBorder="1" applyAlignment="1">
      <alignment horizontal="right" vertical="center"/>
    </xf>
    <xf numFmtId="3" fontId="29" fillId="0" borderId="109" xfId="1" applyNumberFormat="1" applyFont="1" applyBorder="1" applyAlignment="1" applyProtection="1">
      <alignment horizontal="right" vertical="center"/>
      <protection locked="0"/>
    </xf>
    <xf numFmtId="3" fontId="29" fillId="0" borderId="103" xfId="1" applyNumberFormat="1" applyFont="1" applyBorder="1" applyAlignment="1" applyProtection="1">
      <alignment horizontal="right" vertical="center"/>
      <protection locked="0"/>
    </xf>
    <xf numFmtId="3" fontId="29" fillId="0" borderId="41" xfId="1" applyNumberFormat="1" applyFont="1" applyBorder="1" applyAlignment="1" applyProtection="1">
      <alignment horizontal="right" vertical="center"/>
      <protection locked="0"/>
    </xf>
    <xf numFmtId="3" fontId="29" fillId="0" borderId="59" xfId="1" applyNumberFormat="1" applyFont="1" applyFill="1" applyBorder="1" applyAlignment="1">
      <alignment horizontal="right" vertical="center"/>
    </xf>
    <xf numFmtId="3" fontId="29" fillId="0" borderId="42" xfId="1" applyNumberFormat="1" applyFont="1" applyBorder="1" applyAlignment="1" applyProtection="1">
      <alignment horizontal="right" vertical="center"/>
      <protection locked="0"/>
    </xf>
    <xf numFmtId="3" fontId="29" fillId="0" borderId="78" xfId="1" applyNumberFormat="1" applyFont="1" applyFill="1" applyBorder="1" applyAlignment="1">
      <alignment horizontal="right" vertical="center"/>
    </xf>
    <xf numFmtId="3" fontId="29" fillId="0" borderId="112" xfId="1" applyNumberFormat="1" applyFont="1" applyFill="1" applyBorder="1" applyAlignment="1">
      <alignment horizontal="right" vertical="center"/>
    </xf>
    <xf numFmtId="3" fontId="29" fillId="0" borderId="82" xfId="1" applyNumberFormat="1" applyFont="1" applyFill="1" applyBorder="1" applyAlignment="1">
      <alignment horizontal="right" vertical="center"/>
    </xf>
    <xf numFmtId="3" fontId="29" fillId="0" borderId="114" xfId="1" applyNumberFormat="1" applyFont="1" applyFill="1" applyBorder="1" applyAlignment="1">
      <alignment horizontal="right" vertical="center"/>
    </xf>
    <xf numFmtId="3" fontId="29" fillId="0" borderId="115" xfId="1" applyNumberFormat="1" applyFont="1" applyFill="1" applyBorder="1" applyAlignment="1">
      <alignment horizontal="right" vertical="center"/>
    </xf>
    <xf numFmtId="3" fontId="0" fillId="8" borderId="0" xfId="0" applyNumberFormat="1" applyFill="1" applyAlignment="1">
      <alignment horizontal="right"/>
    </xf>
    <xf numFmtId="3" fontId="29" fillId="9" borderId="63" xfId="1" applyNumberFormat="1" applyFont="1" applyFill="1" applyBorder="1" applyAlignment="1">
      <alignment horizontal="right" vertical="center"/>
    </xf>
    <xf numFmtId="3" fontId="29" fillId="9" borderId="116" xfId="1" applyNumberFormat="1" applyFont="1" applyFill="1" applyBorder="1" applyAlignment="1">
      <alignment horizontal="right" vertical="center"/>
    </xf>
    <xf numFmtId="3" fontId="29" fillId="9" borderId="117" xfId="1" applyNumberFormat="1" applyFont="1" applyFill="1" applyBorder="1" applyAlignment="1">
      <alignment horizontal="right" vertical="center"/>
    </xf>
    <xf numFmtId="3" fontId="29" fillId="4" borderId="10" xfId="1" applyNumberFormat="1" applyFont="1" applyFill="1" applyBorder="1" applyAlignment="1">
      <alignment horizontal="right" vertical="center"/>
    </xf>
    <xf numFmtId="3" fontId="29" fillId="4" borderId="22" xfId="1" applyNumberFormat="1" applyFont="1" applyFill="1" applyBorder="1" applyAlignment="1">
      <alignment horizontal="right" vertical="center"/>
    </xf>
    <xf numFmtId="3" fontId="29" fillId="4" borderId="30" xfId="1" applyNumberFormat="1" applyFont="1" applyFill="1" applyBorder="1" applyAlignment="1">
      <alignment horizontal="right" vertical="center"/>
    </xf>
    <xf numFmtId="3" fontId="29" fillId="0" borderId="10" xfId="1" applyNumberFormat="1" applyFont="1" applyFill="1" applyBorder="1" applyAlignment="1">
      <alignment horizontal="right" vertical="center"/>
    </xf>
    <xf numFmtId="3" fontId="29" fillId="0" borderId="22" xfId="1" applyNumberFormat="1" applyFont="1" applyFill="1" applyBorder="1" applyAlignment="1">
      <alignment horizontal="right" vertical="center"/>
    </xf>
    <xf numFmtId="3" fontId="29" fillId="0" borderId="30" xfId="1" applyNumberFormat="1" applyFont="1" applyFill="1" applyBorder="1" applyAlignment="1">
      <alignment horizontal="right" vertical="center"/>
    </xf>
    <xf numFmtId="3" fontId="29" fillId="9" borderId="10" xfId="1" applyNumberFormat="1" applyFont="1" applyFill="1" applyBorder="1" applyAlignment="1">
      <alignment horizontal="right" vertical="center"/>
    </xf>
    <xf numFmtId="3" fontId="29" fillId="9" borderId="22" xfId="1" applyNumberFormat="1" applyFont="1" applyFill="1" applyBorder="1" applyAlignment="1">
      <alignment horizontal="right" vertical="center"/>
    </xf>
    <xf numFmtId="3" fontId="29" fillId="9" borderId="30" xfId="1" applyNumberFormat="1" applyFont="1" applyFill="1" applyBorder="1" applyAlignment="1">
      <alignment horizontal="right" vertical="center"/>
    </xf>
    <xf numFmtId="3" fontId="29" fillId="9" borderId="4" xfId="1" applyNumberFormat="1" applyFont="1" applyFill="1" applyBorder="1" applyAlignment="1">
      <alignment horizontal="right" vertical="center"/>
    </xf>
    <xf numFmtId="3" fontId="29" fillId="9" borderId="19" xfId="1" applyNumberFormat="1" applyFont="1" applyFill="1" applyBorder="1" applyAlignment="1">
      <alignment horizontal="right" vertical="center"/>
    </xf>
    <xf numFmtId="3" fontId="29" fillId="9" borderId="3" xfId="1" applyNumberFormat="1" applyFont="1" applyFill="1" applyBorder="1" applyAlignment="1">
      <alignment horizontal="right" vertical="center"/>
    </xf>
    <xf numFmtId="3" fontId="29" fillId="9" borderId="118" xfId="1" applyNumberFormat="1" applyFont="1" applyFill="1" applyBorder="1" applyAlignment="1">
      <alignment horizontal="right" vertical="center"/>
    </xf>
    <xf numFmtId="3" fontId="29" fillId="9" borderId="119" xfId="1" applyNumberFormat="1" applyFont="1" applyFill="1" applyBorder="1" applyAlignment="1">
      <alignment horizontal="right" vertical="center"/>
    </xf>
    <xf numFmtId="3" fontId="41" fillId="0" borderId="62" xfId="0" applyNumberFormat="1" applyFont="1" applyFill="1" applyBorder="1" applyAlignment="1">
      <alignment horizontal="right" vertical="center"/>
    </xf>
    <xf numFmtId="3" fontId="29" fillId="4" borderId="94" xfId="1" applyNumberFormat="1" applyFont="1" applyFill="1" applyBorder="1" applyAlignment="1">
      <alignment horizontal="right" vertical="center"/>
    </xf>
    <xf numFmtId="3" fontId="29" fillId="4" borderId="120" xfId="1" applyNumberFormat="1" applyFont="1" applyFill="1" applyBorder="1" applyAlignment="1">
      <alignment horizontal="right" vertical="center"/>
    </xf>
    <xf numFmtId="3" fontId="29" fillId="0" borderId="94" xfId="1" applyNumberFormat="1" applyFont="1" applyFill="1" applyBorder="1" applyAlignment="1">
      <alignment horizontal="right" vertical="center"/>
    </xf>
    <xf numFmtId="3" fontId="29" fillId="0" borderId="120" xfId="1" applyNumberFormat="1" applyFont="1" applyFill="1" applyBorder="1" applyAlignment="1">
      <alignment horizontal="right" vertical="center"/>
    </xf>
    <xf numFmtId="3" fontId="29" fillId="4" borderId="121" xfId="1" applyNumberFormat="1" applyFont="1" applyFill="1" applyBorder="1" applyAlignment="1">
      <alignment horizontal="right" vertical="center"/>
    </xf>
    <xf numFmtId="3" fontId="44" fillId="0" borderId="9" xfId="0" applyNumberFormat="1" applyFont="1" applyBorder="1" applyAlignment="1">
      <alignment horizontal="right" vertical="center"/>
    </xf>
    <xf numFmtId="3" fontId="44" fillId="0" borderId="10" xfId="0" applyNumberFormat="1" applyFont="1" applyBorder="1" applyAlignment="1">
      <alignment horizontal="right" vertical="center"/>
    </xf>
    <xf numFmtId="3" fontId="44" fillId="0" borderId="62" xfId="0" applyNumberFormat="1" applyFont="1" applyFill="1" applyBorder="1" applyAlignment="1">
      <alignment horizontal="right" vertical="center"/>
    </xf>
    <xf numFmtId="3" fontId="44" fillId="0" borderId="30" xfId="0" applyNumberFormat="1" applyFont="1" applyBorder="1" applyAlignment="1">
      <alignment horizontal="right" vertical="center"/>
    </xf>
    <xf numFmtId="3" fontId="41" fillId="0" borderId="9" xfId="0" applyNumberFormat="1" applyFont="1" applyBorder="1" applyAlignment="1">
      <alignment horizontal="right" vertical="center"/>
    </xf>
    <xf numFmtId="3" fontId="41" fillId="0" borderId="10" xfId="0" applyNumberFormat="1" applyFont="1" applyBorder="1" applyAlignment="1">
      <alignment horizontal="right" vertical="center"/>
    </xf>
    <xf numFmtId="3" fontId="41" fillId="0" borderId="121" xfId="0" applyNumberFormat="1" applyFont="1" applyBorder="1" applyAlignment="1">
      <alignment horizontal="right" vertical="center"/>
    </xf>
    <xf numFmtId="3" fontId="41" fillId="0" borderId="30" xfId="0" applyNumberFormat="1" applyFont="1" applyBorder="1" applyAlignment="1">
      <alignment horizontal="right" vertical="center"/>
    </xf>
    <xf numFmtId="3" fontId="44" fillId="0" borderId="121" xfId="0" applyNumberFormat="1" applyFont="1" applyBorder="1" applyAlignment="1">
      <alignment horizontal="right" vertical="center"/>
    </xf>
    <xf numFmtId="3" fontId="41" fillId="0" borderId="34" xfId="0" applyNumberFormat="1" applyFont="1" applyBorder="1" applyAlignment="1">
      <alignment horizontal="right" vertical="center"/>
    </xf>
    <xf numFmtId="3" fontId="41" fillId="0" borderId="29" xfId="0" applyNumberFormat="1" applyFont="1" applyBorder="1" applyAlignment="1">
      <alignment horizontal="right" vertical="center"/>
    </xf>
    <xf numFmtId="3" fontId="41" fillId="0" borderId="122" xfId="0" applyNumberFormat="1" applyFont="1" applyBorder="1" applyAlignment="1">
      <alignment horizontal="right" vertical="center"/>
    </xf>
    <xf numFmtId="3" fontId="41" fillId="0" borderId="31" xfId="0" applyNumberFormat="1" applyFont="1" applyBorder="1" applyAlignment="1">
      <alignment horizontal="right" vertical="center"/>
    </xf>
    <xf numFmtId="3" fontId="29" fillId="9" borderId="94" xfId="1" applyNumberFormat="1" applyFont="1" applyFill="1" applyBorder="1" applyAlignment="1">
      <alignment horizontal="right" vertical="center"/>
    </xf>
    <xf numFmtId="3" fontId="29" fillId="9" borderId="121" xfId="1" applyNumberFormat="1" applyFont="1" applyFill="1" applyBorder="1" applyAlignment="1">
      <alignment horizontal="right" vertical="center"/>
    </xf>
    <xf numFmtId="3" fontId="29" fillId="5" borderId="3" xfId="1" applyNumberFormat="1" applyFont="1" applyFill="1" applyBorder="1" applyAlignment="1">
      <alignment horizontal="right" vertical="center"/>
    </xf>
    <xf numFmtId="3" fontId="29" fillId="5" borderId="4" xfId="1" applyNumberFormat="1" applyFont="1" applyFill="1" applyBorder="1" applyAlignment="1">
      <alignment horizontal="right" vertical="center"/>
    </xf>
    <xf numFmtId="3" fontId="29" fillId="5" borderId="123" xfId="1" applyNumberFormat="1" applyFont="1" applyFill="1" applyBorder="1" applyAlignment="1">
      <alignment horizontal="right" vertical="center"/>
    </xf>
    <xf numFmtId="3" fontId="29" fillId="5" borderId="124" xfId="1" applyNumberFormat="1" applyFont="1" applyFill="1" applyBorder="1" applyAlignment="1">
      <alignment horizontal="right" vertical="center"/>
    </xf>
    <xf numFmtId="3" fontId="29" fillId="5" borderId="19" xfId="1" applyNumberFormat="1" applyFont="1" applyFill="1" applyBorder="1" applyAlignment="1">
      <alignment horizontal="right" vertical="center"/>
    </xf>
    <xf numFmtId="3" fontId="0" fillId="0" borderId="0" xfId="0" applyNumberFormat="1" applyFont="1" applyFill="1" applyBorder="1" applyAlignment="1">
      <alignment horizontal="right" vertical="center"/>
    </xf>
    <xf numFmtId="3" fontId="29" fillId="9" borderId="64" xfId="1" applyNumberFormat="1" applyFont="1" applyFill="1" applyBorder="1" applyAlignment="1">
      <alignment horizontal="right" vertical="center"/>
    </xf>
    <xf numFmtId="3" fontId="29" fillId="4" borderId="9" xfId="1" applyNumberFormat="1" applyFont="1" applyFill="1" applyBorder="1" applyAlignment="1">
      <alignment horizontal="right" vertical="center"/>
    </xf>
    <xf numFmtId="3" fontId="29" fillId="0" borderId="9" xfId="1" applyNumberFormat="1" applyFont="1" applyFill="1" applyBorder="1" applyAlignment="1">
      <alignment horizontal="right" vertical="center"/>
    </xf>
    <xf numFmtId="3" fontId="29" fillId="9" borderId="9" xfId="1" applyNumberFormat="1" applyFont="1" applyFill="1" applyBorder="1" applyAlignment="1">
      <alignment horizontal="right" vertical="center"/>
    </xf>
    <xf numFmtId="3" fontId="29" fillId="5" borderId="26" xfId="1" applyNumberFormat="1" applyFont="1" applyFill="1" applyBorder="1" applyAlignment="1">
      <alignment horizontal="right" vertical="center"/>
    </xf>
    <xf numFmtId="3" fontId="29" fillId="0" borderId="121" xfId="1" applyNumberFormat="1" applyFont="1" applyFill="1" applyBorder="1" applyAlignment="1">
      <alignment horizontal="right" vertical="center"/>
    </xf>
    <xf numFmtId="3" fontId="29" fillId="0" borderId="31" xfId="1" applyNumberFormat="1" applyFont="1" applyFill="1" applyBorder="1" applyAlignment="1">
      <alignment horizontal="right" vertical="center"/>
    </xf>
    <xf numFmtId="3" fontId="29" fillId="0" borderId="29" xfId="1" applyNumberFormat="1" applyFont="1" applyFill="1" applyBorder="1" applyAlignment="1">
      <alignment horizontal="right" vertical="center"/>
    </xf>
    <xf numFmtId="3" fontId="29" fillId="0" borderId="125" xfId="1" applyNumberFormat="1" applyFont="1" applyFill="1" applyBorder="1" applyAlignment="1">
      <alignment horizontal="right" vertical="center"/>
    </xf>
    <xf numFmtId="3" fontId="29" fillId="0" borderId="34" xfId="1" applyNumberFormat="1" applyFont="1" applyFill="1" applyBorder="1" applyAlignment="1">
      <alignment horizontal="right" vertical="center"/>
    </xf>
    <xf numFmtId="3" fontId="29" fillId="0" borderId="35" xfId="1" applyNumberFormat="1" applyFont="1" applyFill="1" applyBorder="1" applyAlignment="1">
      <alignment horizontal="right" vertical="center"/>
    </xf>
    <xf numFmtId="3" fontId="29" fillId="9" borderId="123" xfId="1" applyNumberFormat="1" applyFont="1" applyFill="1" applyBorder="1" applyAlignment="1">
      <alignment horizontal="right" vertical="center"/>
    </xf>
    <xf numFmtId="3" fontId="29" fillId="9" borderId="26" xfId="1" applyNumberFormat="1" applyFont="1" applyFill="1" applyBorder="1" applyAlignment="1">
      <alignment horizontal="right" vertical="center"/>
    </xf>
    <xf numFmtId="3" fontId="12" fillId="0" borderId="104" xfId="4" applyNumberFormat="1" applyFont="1" applyBorder="1" applyAlignment="1" applyProtection="1">
      <alignment horizontal="right" vertical="center"/>
      <protection locked="0"/>
    </xf>
    <xf numFmtId="3" fontId="12" fillId="0" borderId="40" xfId="4" applyNumberFormat="1" applyFont="1" applyBorder="1" applyAlignment="1" applyProtection="1">
      <alignment horizontal="right" vertical="center"/>
      <protection locked="0"/>
    </xf>
    <xf numFmtId="3" fontId="12" fillId="0" borderId="15" xfId="4" applyNumberFormat="1" applyFont="1" applyBorder="1" applyAlignment="1">
      <alignment horizontal="right" vertical="center"/>
    </xf>
    <xf numFmtId="3" fontId="12" fillId="0" borderId="16" xfId="4" applyNumberFormat="1" applyFont="1" applyBorder="1" applyAlignment="1">
      <alignment horizontal="right" vertical="center"/>
    </xf>
    <xf numFmtId="3" fontId="29" fillId="0" borderId="16" xfId="1" applyNumberFormat="1" applyFont="1" applyFill="1" applyBorder="1" applyAlignment="1">
      <alignment horizontal="right" vertical="center"/>
    </xf>
    <xf numFmtId="3" fontId="29" fillId="0" borderId="40" xfId="1" applyNumberFormat="1" applyFont="1" applyFill="1" applyBorder="1" applyAlignment="1">
      <alignment horizontal="right" vertical="center"/>
    </xf>
    <xf numFmtId="3" fontId="12" fillId="0" borderId="0" xfId="4" applyNumberFormat="1" applyFont="1" applyAlignment="1">
      <alignment horizontal="right" vertical="center"/>
    </xf>
    <xf numFmtId="3" fontId="12" fillId="0" borderId="33" xfId="4" applyNumberFormat="1" applyFont="1" applyBorder="1" applyAlignment="1">
      <alignment horizontal="right" vertical="center"/>
    </xf>
    <xf numFmtId="3" fontId="12" fillId="0" borderId="7" xfId="4" applyNumberFormat="1" applyFont="1" applyBorder="1" applyAlignment="1">
      <alignment horizontal="right" vertical="center"/>
    </xf>
    <xf numFmtId="3" fontId="6" fillId="0" borderId="6" xfId="4" applyNumberFormat="1" applyFont="1" applyBorder="1" applyAlignment="1" applyProtection="1">
      <alignment horizontal="right" vertical="center"/>
      <protection locked="0"/>
    </xf>
    <xf numFmtId="3" fontId="6" fillId="0" borderId="21" xfId="4" applyNumberFormat="1" applyFont="1" applyBorder="1" applyAlignment="1" applyProtection="1">
      <alignment horizontal="right" vertical="center"/>
      <protection locked="0"/>
    </xf>
    <xf numFmtId="3" fontId="6" fillId="0" borderId="30" xfId="4" applyNumberFormat="1" applyFont="1" applyBorder="1" applyAlignment="1">
      <alignment horizontal="right" vertical="center"/>
    </xf>
    <xf numFmtId="3" fontId="6" fillId="0" borderId="10" xfId="4" applyNumberFormat="1" applyFont="1" applyBorder="1" applyAlignment="1">
      <alignment horizontal="right" vertical="center"/>
    </xf>
    <xf numFmtId="3" fontId="6" fillId="0" borderId="0" xfId="4" applyNumberFormat="1" applyFont="1" applyAlignment="1">
      <alignment horizontal="right" vertical="center"/>
    </xf>
    <xf numFmtId="3" fontId="6" fillId="0" borderId="9" xfId="4" applyNumberFormat="1" applyFont="1" applyBorder="1" applyAlignment="1" applyProtection="1">
      <alignment horizontal="right" vertical="center"/>
      <protection locked="0"/>
    </xf>
    <xf numFmtId="3" fontId="6" fillId="0" borderId="22" xfId="4" applyNumberFormat="1" applyFont="1" applyBorder="1" applyAlignment="1" applyProtection="1">
      <alignment horizontal="right" vertical="center"/>
      <protection locked="0"/>
    </xf>
    <xf numFmtId="3" fontId="6" fillId="0" borderId="34" xfId="4" applyNumberFormat="1" applyFont="1" applyBorder="1" applyAlignment="1" applyProtection="1">
      <alignment horizontal="right" vertical="center"/>
      <protection locked="0"/>
    </xf>
    <xf numFmtId="3" fontId="6" fillId="0" borderId="35" xfId="4" applyNumberFormat="1" applyFont="1" applyBorder="1" applyAlignment="1" applyProtection="1">
      <alignment horizontal="right" vertical="center"/>
      <protection locked="0"/>
    </xf>
    <xf numFmtId="3" fontId="6" fillId="0" borderId="31" xfId="4" applyNumberFormat="1" applyFont="1" applyBorder="1" applyAlignment="1">
      <alignment horizontal="right" vertical="center"/>
    </xf>
    <xf numFmtId="3" fontId="6" fillId="0" borderId="29" xfId="4" applyNumberFormat="1" applyFont="1" applyBorder="1" applyAlignment="1">
      <alignment horizontal="right" vertical="center"/>
    </xf>
    <xf numFmtId="3" fontId="6" fillId="0" borderId="18" xfId="4" applyNumberFormat="1" applyFont="1" applyBorder="1" applyAlignment="1">
      <alignment horizontal="right" vertical="center"/>
    </xf>
    <xf numFmtId="3" fontId="6" fillId="0" borderId="13" xfId="4" applyNumberFormat="1" applyFont="1" applyBorder="1" applyAlignment="1">
      <alignment horizontal="right" vertical="center"/>
    </xf>
    <xf numFmtId="3" fontId="22" fillId="9" borderId="23" xfId="1" applyNumberFormat="1" applyFont="1" applyFill="1" applyBorder="1" applyAlignment="1" applyProtection="1">
      <alignment horizontal="right" vertical="center"/>
      <protection locked="0"/>
    </xf>
    <xf numFmtId="3" fontId="22" fillId="0" borderId="0" xfId="4" applyNumberFormat="1" applyFont="1" applyAlignment="1">
      <alignment horizontal="right" vertical="center"/>
    </xf>
    <xf numFmtId="0" fontId="12" fillId="0" borderId="0" xfId="0" applyFont="1" applyAlignment="1">
      <alignment horizontal="left" vertical="center" wrapText="1"/>
    </xf>
    <xf numFmtId="0" fontId="51" fillId="0" borderId="17" xfId="0" applyFont="1" applyBorder="1" applyAlignment="1">
      <alignment vertical="center"/>
    </xf>
    <xf numFmtId="0" fontId="41" fillId="0" borderId="17" xfId="0" applyFont="1" applyBorder="1" applyAlignment="1">
      <alignment horizontal="center" vertical="center"/>
    </xf>
    <xf numFmtId="0" fontId="51" fillId="0" borderId="17" xfId="0" applyFont="1" applyBorder="1" applyAlignment="1">
      <alignment horizontal="center" vertical="center"/>
    </xf>
    <xf numFmtId="0" fontId="52" fillId="9" borderId="17" xfId="0" applyFont="1" applyFill="1" applyBorder="1" applyAlignment="1">
      <alignment vertical="center"/>
    </xf>
    <xf numFmtId="49" fontId="44" fillId="9" borderId="17" xfId="0" applyNumberFormat="1" applyFont="1" applyFill="1" applyBorder="1" applyAlignment="1">
      <alignment horizontal="right" vertical="center"/>
    </xf>
    <xf numFmtId="0" fontId="44" fillId="9" borderId="17" xfId="0" applyFont="1" applyFill="1" applyBorder="1" applyAlignment="1">
      <alignment horizontal="right" vertical="center"/>
    </xf>
    <xf numFmtId="0" fontId="51" fillId="0" borderId="5" xfId="0" applyFont="1" applyBorder="1" applyAlignment="1">
      <alignment vertical="center"/>
    </xf>
    <xf numFmtId="49" fontId="41" fillId="0" borderId="5" xfId="0" applyNumberFormat="1" applyFont="1" applyBorder="1" applyAlignment="1">
      <alignment horizontal="right" vertical="center"/>
    </xf>
    <xf numFmtId="0" fontId="41" fillId="0" borderId="5" xfId="0" applyFont="1" applyBorder="1" applyAlignment="1">
      <alignment horizontal="right" vertical="center"/>
    </xf>
    <xf numFmtId="0" fontId="51" fillId="0" borderId="8" xfId="0" applyFont="1" applyBorder="1" applyAlignment="1">
      <alignment vertical="center"/>
    </xf>
    <xf numFmtId="49" fontId="41" fillId="0" borderId="8" xfId="0" applyNumberFormat="1" applyFont="1" applyBorder="1" applyAlignment="1">
      <alignment horizontal="right" vertical="center"/>
    </xf>
    <xf numFmtId="0" fontId="41" fillId="0" borderId="8" xfId="0" applyFont="1" applyBorder="1" applyAlignment="1">
      <alignment horizontal="right" vertical="center"/>
    </xf>
    <xf numFmtId="0" fontId="51" fillId="0" borderId="56" xfId="0" applyFont="1" applyBorder="1" applyAlignment="1">
      <alignment vertical="center"/>
    </xf>
    <xf numFmtId="49" fontId="41" fillId="0" borderId="56" xfId="0" applyNumberFormat="1" applyFont="1" applyBorder="1" applyAlignment="1">
      <alignment horizontal="right" vertical="center"/>
    </xf>
    <xf numFmtId="0" fontId="41" fillId="0" borderId="56" xfId="0" applyFont="1" applyBorder="1" applyAlignment="1">
      <alignment horizontal="right" vertical="center"/>
    </xf>
    <xf numFmtId="0" fontId="51" fillId="0" borderId="126" xfId="0" applyFont="1" applyBorder="1" applyAlignment="1">
      <alignment vertical="center"/>
    </xf>
    <xf numFmtId="49" fontId="41" fillId="0" borderId="126" xfId="0" applyNumberFormat="1" applyFont="1" applyBorder="1" applyAlignment="1">
      <alignment horizontal="right" vertical="center"/>
    </xf>
    <xf numFmtId="0" fontId="41" fillId="0" borderId="126" xfId="0" applyFont="1" applyBorder="1" applyAlignment="1">
      <alignment horizontal="right" vertical="center"/>
    </xf>
    <xf numFmtId="49" fontId="41" fillId="9" borderId="17" xfId="0" applyNumberFormat="1" applyFont="1" applyFill="1" applyBorder="1" applyAlignment="1">
      <alignment horizontal="right" vertical="center"/>
    </xf>
    <xf numFmtId="0" fontId="41" fillId="9" borderId="17" xfId="0" applyFont="1" applyFill="1" applyBorder="1" applyAlignment="1">
      <alignment horizontal="right" vertical="center"/>
    </xf>
    <xf numFmtId="0" fontId="52" fillId="0" borderId="5" xfId="0" applyFont="1" applyBorder="1" applyAlignment="1">
      <alignment vertical="center"/>
    </xf>
    <xf numFmtId="0" fontId="52" fillId="0" borderId="36" xfId="0" applyFont="1" applyBorder="1" applyAlignment="1">
      <alignment vertical="center"/>
    </xf>
    <xf numFmtId="49" fontId="41" fillId="0" borderId="36" xfId="0" applyNumberFormat="1" applyFont="1" applyBorder="1" applyAlignment="1">
      <alignment horizontal="right" vertical="center"/>
    </xf>
    <xf numFmtId="0" fontId="41" fillId="0" borderId="36" xfId="0" applyFont="1" applyBorder="1" applyAlignment="1">
      <alignment horizontal="right" vertical="center"/>
    </xf>
    <xf numFmtId="3" fontId="22" fillId="9" borderId="93" xfId="1" applyNumberFormat="1" applyFont="1" applyFill="1" applyBorder="1" applyAlignment="1" applyProtection="1">
      <alignment horizontal="left" vertical="center"/>
      <protection locked="0"/>
    </xf>
    <xf numFmtId="0" fontId="29" fillId="8" borderId="127" xfId="1" applyFont="1" applyFill="1" applyBorder="1" applyAlignment="1">
      <alignment horizontal="center" vertical="center" wrapText="1"/>
    </xf>
    <xf numFmtId="0" fontId="29" fillId="4" borderId="38" xfId="1" applyFont="1" applyFill="1" applyBorder="1" applyAlignment="1">
      <alignment horizontal="center" vertical="center"/>
    </xf>
    <xf numFmtId="0" fontId="29" fillId="0" borderId="128" xfId="1" applyFont="1" applyBorder="1" applyAlignment="1">
      <alignment horizontal="center" vertical="center"/>
    </xf>
    <xf numFmtId="0" fontId="29" fillId="0" borderId="129" xfId="1" applyFont="1" applyBorder="1" applyAlignment="1">
      <alignment horizontal="center" vertical="center"/>
    </xf>
    <xf numFmtId="0" fontId="29" fillId="0" borderId="130" xfId="1" applyFont="1" applyBorder="1" applyAlignment="1">
      <alignment horizontal="center" vertical="center"/>
    </xf>
    <xf numFmtId="0" fontId="29" fillId="0" borderId="13" xfId="1" applyFont="1" applyBorder="1" applyAlignment="1" applyProtection="1">
      <alignment horizontal="center" vertical="center" wrapText="1"/>
      <protection locked="0"/>
    </xf>
    <xf numFmtId="0" fontId="29" fillId="0" borderId="30" xfId="1" applyFont="1" applyBorder="1" applyAlignment="1" applyProtection="1">
      <alignment horizontal="center" vertical="center"/>
      <protection locked="0"/>
    </xf>
    <xf numFmtId="0" fontId="6" fillId="0" borderId="131" xfId="1" applyFont="1" applyBorder="1" applyAlignment="1">
      <alignment vertical="center"/>
    </xf>
    <xf numFmtId="0" fontId="37" fillId="0" borderId="29" xfId="1" applyFont="1" applyFill="1" applyBorder="1" applyAlignment="1" applyProtection="1">
      <alignment horizontal="left" vertical="center" wrapText="1" indent="1"/>
      <protection locked="0"/>
    </xf>
    <xf numFmtId="0" fontId="37" fillId="0" borderId="10" xfId="1" applyFont="1" applyFill="1" applyBorder="1" applyAlignment="1" applyProtection="1">
      <alignment horizontal="left" vertical="center" wrapText="1" indent="1"/>
      <protection locked="0"/>
    </xf>
    <xf numFmtId="0" fontId="37" fillId="0" borderId="29" xfId="1" applyFont="1" applyBorder="1" applyAlignment="1" applyProtection="1">
      <alignment horizontal="left" vertical="center" wrapText="1" indent="1"/>
      <protection locked="0"/>
    </xf>
    <xf numFmtId="0" fontId="37" fillId="0" borderId="4" xfId="1" applyFont="1" applyBorder="1" applyAlignment="1" applyProtection="1">
      <alignment horizontal="left" vertical="center" wrapText="1" indent="1"/>
      <protection locked="0"/>
    </xf>
    <xf numFmtId="0" fontId="29" fillId="0" borderId="117" xfId="1" applyFont="1" applyFill="1" applyBorder="1" applyAlignment="1" applyProtection="1">
      <alignment horizontal="left" vertical="center" indent="1"/>
      <protection locked="0"/>
    </xf>
    <xf numFmtId="0" fontId="37" fillId="0" borderId="13" xfId="1" applyFont="1" applyBorder="1" applyAlignment="1" applyProtection="1">
      <alignment horizontal="left" vertical="center" wrapText="1" indent="1"/>
      <protection locked="0"/>
    </xf>
    <xf numFmtId="0" fontId="29" fillId="0" borderId="14" xfId="1" applyFont="1" applyBorder="1" applyAlignment="1" applyProtection="1">
      <alignment horizontal="left" vertical="center" indent="1"/>
      <protection locked="0"/>
    </xf>
    <xf numFmtId="0" fontId="29" fillId="0" borderId="8" xfId="1" applyFont="1" applyBorder="1" applyAlignment="1" applyProtection="1">
      <alignment horizontal="left" vertical="center" indent="1"/>
      <protection locked="0"/>
    </xf>
    <xf numFmtId="0" fontId="6" fillId="0" borderId="8" xfId="1" applyFont="1" applyBorder="1" applyAlignment="1" applyProtection="1">
      <alignment horizontal="left" vertical="center" indent="1"/>
      <protection locked="0"/>
    </xf>
    <xf numFmtId="0" fontId="30" fillId="0" borderId="8" xfId="1" applyFont="1" applyBorder="1" applyAlignment="1" applyProtection="1">
      <alignment horizontal="left" indent="1"/>
      <protection locked="0"/>
    </xf>
    <xf numFmtId="0" fontId="29" fillId="0" borderId="56" xfId="1" applyFont="1" applyBorder="1" applyAlignment="1" applyProtection="1">
      <alignment horizontal="left" vertical="center" indent="1"/>
      <protection locked="0"/>
    </xf>
    <xf numFmtId="0" fontId="29" fillId="0" borderId="17" xfId="1" applyFont="1" applyBorder="1" applyAlignment="1" applyProtection="1">
      <alignment horizontal="left" vertical="center" indent="1"/>
      <protection locked="0"/>
    </xf>
    <xf numFmtId="0" fontId="30" fillId="0" borderId="5" xfId="1" applyFont="1" applyBorder="1" applyAlignment="1" applyProtection="1">
      <alignment horizontal="left" vertical="top" wrapText="1" indent="1"/>
      <protection locked="0"/>
    </xf>
    <xf numFmtId="0" fontId="29" fillId="0" borderId="5" xfId="1" applyFont="1" applyBorder="1" applyAlignment="1" applyProtection="1">
      <alignment horizontal="left" vertical="top" wrapText="1" indent="1"/>
      <protection locked="0"/>
    </xf>
    <xf numFmtId="0" fontId="29" fillId="0" borderId="8" xfId="1" applyFont="1" applyBorder="1" applyAlignment="1" applyProtection="1">
      <alignment horizontal="left" vertical="top" wrapText="1" indent="1"/>
      <protection locked="0"/>
    </xf>
    <xf numFmtId="0" fontId="30" fillId="0" borderId="8" xfId="1" applyFont="1" applyBorder="1" applyAlignment="1" applyProtection="1">
      <alignment horizontal="left" vertical="top" wrapText="1" indent="1"/>
      <protection locked="0"/>
    </xf>
    <xf numFmtId="0" fontId="30" fillId="0" borderId="56" xfId="1" applyFont="1" applyBorder="1" applyAlignment="1" applyProtection="1">
      <alignment horizontal="left" vertical="top" wrapText="1" indent="1"/>
      <protection locked="0"/>
    </xf>
    <xf numFmtId="0" fontId="29" fillId="0" borderId="16" xfId="1" applyFont="1" applyBorder="1" applyAlignment="1" applyProtection="1">
      <alignment horizontal="left" vertical="center" indent="1"/>
      <protection locked="0"/>
    </xf>
    <xf numFmtId="0" fontId="29" fillId="0" borderId="10" xfId="1" applyFont="1" applyBorder="1" applyAlignment="1" applyProtection="1">
      <alignment horizontal="left" vertical="center" indent="1"/>
      <protection locked="0"/>
    </xf>
    <xf numFmtId="0" fontId="29" fillId="0" borderId="4" xfId="1" applyFont="1" applyBorder="1" applyAlignment="1" applyProtection="1">
      <alignment horizontal="left" vertical="center" indent="1"/>
      <protection locked="0"/>
    </xf>
    <xf numFmtId="0" fontId="29" fillId="0" borderId="29" xfId="1" applyFont="1" applyFill="1" applyBorder="1" applyAlignment="1" applyProtection="1">
      <alignment horizontal="left" vertical="center" indent="1"/>
      <protection locked="0"/>
    </xf>
    <xf numFmtId="0" fontId="53" fillId="0" borderId="0" xfId="1" applyFont="1" applyAlignment="1">
      <alignment vertical="center"/>
    </xf>
    <xf numFmtId="0" fontId="29" fillId="0" borderId="29"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25" xfId="1" applyFont="1" applyBorder="1" applyAlignment="1" applyProtection="1">
      <alignment horizontal="left" vertical="center" indent="1"/>
      <protection locked="0"/>
    </xf>
    <xf numFmtId="0" fontId="29" fillId="0" borderId="132" xfId="1" applyFont="1" applyBorder="1" applyAlignment="1" applyProtection="1">
      <alignment horizontal="left" vertical="center" indent="1"/>
      <protection locked="0"/>
    </xf>
    <xf numFmtId="0" fontId="29" fillId="0" borderId="27" xfId="1" applyFont="1" applyBorder="1" applyAlignment="1" applyProtection="1">
      <alignment horizontal="left" vertical="center" indent="1"/>
      <protection locked="0"/>
    </xf>
    <xf numFmtId="0" fontId="29" fillId="0" borderId="93" xfId="1" applyFont="1" applyBorder="1" applyAlignment="1" applyProtection="1">
      <alignment horizontal="left" vertical="center" indent="1"/>
      <protection locked="0"/>
    </xf>
    <xf numFmtId="0" fontId="29" fillId="0" borderId="28" xfId="1" applyFont="1" applyBorder="1" applyAlignment="1" applyProtection="1">
      <alignment horizontal="left" vertical="center" indent="1"/>
      <protection locked="0"/>
    </xf>
    <xf numFmtId="0" fontId="29" fillId="0" borderId="133" xfId="1" applyFont="1" applyBorder="1" applyAlignment="1" applyProtection="1">
      <alignment horizontal="left" vertical="center" indent="1"/>
      <protection locked="0"/>
    </xf>
    <xf numFmtId="0" fontId="29" fillId="0" borderId="15" xfId="1" applyFont="1" applyBorder="1" applyAlignment="1" applyProtection="1">
      <alignment horizontal="left" vertical="center" indent="1"/>
      <protection locked="0"/>
    </xf>
    <xf numFmtId="0" fontId="34" fillId="0" borderId="38"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34" xfId="1" applyFont="1" applyBorder="1" applyAlignment="1" applyProtection="1">
      <alignment horizontal="left" indent="1"/>
      <protection locked="0"/>
    </xf>
    <xf numFmtId="0" fontId="29" fillId="0" borderId="2"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3" xfId="1" applyFont="1" applyBorder="1" applyAlignment="1" applyProtection="1">
      <alignment horizontal="left" vertical="center" indent="1"/>
      <protection locked="0"/>
    </xf>
    <xf numFmtId="0" fontId="29" fillId="0" borderId="31" xfId="1" applyFont="1" applyBorder="1" applyAlignment="1" applyProtection="1">
      <alignment horizontal="left" vertical="center" indent="1"/>
      <protection locked="0"/>
    </xf>
    <xf numFmtId="0" fontId="30" fillId="5" borderId="135" xfId="1" applyFont="1" applyFill="1" applyBorder="1" applyAlignment="1" applyProtection="1">
      <alignment horizontal="left" vertical="center" indent="1" readingOrder="1"/>
      <protection locked="0"/>
    </xf>
    <xf numFmtId="0" fontId="30" fillId="5" borderId="52" xfId="1" applyFont="1" applyFill="1" applyBorder="1" applyAlignment="1" applyProtection="1">
      <alignment horizontal="left" vertical="center" indent="1" readingOrder="1"/>
      <protection locked="0"/>
    </xf>
    <xf numFmtId="0" fontId="29" fillId="0" borderId="127" xfId="1" applyFont="1" applyBorder="1" applyAlignment="1" applyProtection="1">
      <alignment horizontal="left" vertical="center" indent="1" readingOrder="1"/>
      <protection locked="0"/>
    </xf>
    <xf numFmtId="0" fontId="29" fillId="0" borderId="21" xfId="1" applyFont="1" applyBorder="1" applyAlignment="1" applyProtection="1">
      <alignment horizontal="left" vertical="center" wrapText="1" indent="1" readingOrder="1"/>
      <protection locked="0"/>
    </xf>
    <xf numFmtId="0" fontId="29" fillId="8" borderId="136" xfId="1" applyFont="1" applyFill="1" applyBorder="1" applyAlignment="1" applyProtection="1">
      <alignment horizontal="left" vertical="center" indent="1" readingOrder="1"/>
      <protection locked="0"/>
    </xf>
    <xf numFmtId="0" fontId="29" fillId="0" borderId="109" xfId="1" applyFont="1" applyBorder="1" applyAlignment="1" applyProtection="1">
      <alignment horizontal="left" vertical="center" wrapText="1" indent="1" readingOrder="1"/>
      <protection locked="0"/>
    </xf>
    <xf numFmtId="0" fontId="29" fillId="8" borderId="137" xfId="1" applyFont="1" applyFill="1" applyBorder="1" applyAlignment="1" applyProtection="1">
      <alignment horizontal="left" vertical="center" indent="1" readingOrder="1"/>
      <protection locked="0"/>
    </xf>
    <xf numFmtId="0" fontId="29" fillId="8" borderId="127" xfId="1" applyFont="1" applyFill="1" applyBorder="1" applyAlignment="1" applyProtection="1">
      <alignment horizontal="left" vertical="center" indent="1" readingOrder="1"/>
      <protection locked="0"/>
    </xf>
    <xf numFmtId="49" fontId="46" fillId="0" borderId="21" xfId="1" applyNumberFormat="1" applyFont="1" applyBorder="1" applyAlignment="1" applyProtection="1">
      <alignment horizontal="left" vertical="center" wrapText="1" indent="1" readingOrder="1"/>
      <protection locked="0"/>
    </xf>
    <xf numFmtId="0" fontId="29" fillId="8" borderId="134" xfId="1" applyFont="1" applyFill="1" applyBorder="1" applyAlignment="1" applyProtection="1">
      <alignment horizontal="left" vertical="center" indent="1" readingOrder="1"/>
      <protection locked="0"/>
    </xf>
    <xf numFmtId="49" fontId="46" fillId="0" borderId="42" xfId="1" applyNumberFormat="1" applyFont="1" applyBorder="1" applyAlignment="1" applyProtection="1">
      <alignment horizontal="left" vertical="center" wrapText="1" indent="1" readingOrder="1"/>
      <protection locked="0"/>
    </xf>
    <xf numFmtId="0" fontId="30" fillId="9" borderId="138" xfId="1" applyFont="1" applyFill="1" applyBorder="1" applyAlignment="1" applyProtection="1">
      <alignment horizontal="left" vertical="center" wrapText="1" indent="1"/>
      <protection locked="0"/>
    </xf>
    <xf numFmtId="3" fontId="33" fillId="0" borderId="45" xfId="1" applyNumberFormat="1" applyFont="1" applyBorder="1" applyAlignment="1" applyProtection="1">
      <alignment horizontal="left" vertical="center" wrapText="1" indent="1"/>
      <protection locked="0"/>
    </xf>
    <xf numFmtId="3" fontId="29" fillId="0" borderId="45" xfId="1" applyNumberFormat="1" applyFont="1" applyBorder="1" applyAlignment="1" applyProtection="1">
      <alignment horizontal="left" vertical="center" indent="1"/>
      <protection locked="0"/>
    </xf>
    <xf numFmtId="3" fontId="29" fillId="0" borderId="45" xfId="1" applyNumberFormat="1" applyFont="1" applyBorder="1" applyAlignment="1" applyProtection="1">
      <alignment horizontal="left" vertical="center" wrapText="1" indent="1"/>
      <protection locked="0"/>
    </xf>
    <xf numFmtId="3" fontId="30" fillId="9" borderId="45" xfId="1" applyNumberFormat="1" applyFont="1" applyFill="1" applyBorder="1" applyAlignment="1" applyProtection="1">
      <alignment horizontal="left" vertical="center" wrapText="1" indent="1"/>
      <protection locked="0"/>
    </xf>
    <xf numFmtId="3" fontId="29" fillId="0" borderId="27" xfId="1" applyNumberFormat="1" applyFont="1" applyBorder="1" applyAlignment="1" applyProtection="1">
      <alignment horizontal="left" vertical="center" wrapText="1" indent="1"/>
      <protection locked="0"/>
    </xf>
    <xf numFmtId="3" fontId="29" fillId="0" borderId="10" xfId="1" applyNumberFormat="1" applyFont="1" applyBorder="1" applyAlignment="1" applyProtection="1">
      <alignment horizontal="left" vertical="center" wrapText="1" indent="1"/>
      <protection locked="0"/>
    </xf>
    <xf numFmtId="3" fontId="29" fillId="0" borderId="29" xfId="1" applyNumberFormat="1" applyFont="1" applyBorder="1" applyAlignment="1" applyProtection="1">
      <alignment horizontal="left" vertical="center" wrapText="1" indent="1"/>
      <protection locked="0"/>
    </xf>
    <xf numFmtId="3" fontId="30" fillId="0" borderId="93" xfId="1" applyNumberFormat="1" applyFont="1" applyFill="1" applyBorder="1" applyAlignment="1" applyProtection="1">
      <alignment horizontal="left" vertical="center" indent="1"/>
      <protection locked="0"/>
    </xf>
    <xf numFmtId="0" fontId="29" fillId="0" borderId="27" xfId="1" applyFont="1" applyBorder="1" applyAlignment="1" applyProtection="1">
      <alignment horizontal="left" vertical="center" wrapText="1" indent="1"/>
      <protection locked="0"/>
    </xf>
    <xf numFmtId="0" fontId="29" fillId="0" borderId="10" xfId="1" applyFont="1" applyBorder="1" applyAlignment="1" applyProtection="1">
      <alignment horizontal="left" vertical="center" wrapText="1" indent="1"/>
      <protection locked="0"/>
    </xf>
    <xf numFmtId="0" fontId="29" fillId="9" borderId="10" xfId="1" applyFont="1" applyFill="1" applyBorder="1" applyAlignment="1" applyProtection="1">
      <alignment horizontal="left" vertical="center" indent="1"/>
      <protection locked="0"/>
    </xf>
    <xf numFmtId="0" fontId="29" fillId="9" borderId="10" xfId="1" applyFont="1" applyFill="1" applyBorder="1" applyAlignment="1" applyProtection="1">
      <alignment horizontal="left" vertical="center" wrapText="1" indent="1"/>
      <protection locked="0"/>
    </xf>
    <xf numFmtId="0" fontId="29" fillId="0" borderId="9" xfId="1" applyFont="1" applyBorder="1" applyAlignment="1" applyProtection="1">
      <alignment horizontal="left" vertical="center" wrapText="1" indent="1"/>
      <protection locked="0"/>
    </xf>
    <xf numFmtId="0" fontId="29" fillId="0" borderId="8" xfId="1" applyFont="1" applyBorder="1" applyAlignment="1" applyProtection="1">
      <alignment horizontal="left" vertical="center" wrapText="1" indent="1"/>
      <protection locked="0"/>
    </xf>
    <xf numFmtId="0" fontId="29" fillId="0" borderId="56" xfId="1" applyFont="1" applyBorder="1" applyAlignment="1" applyProtection="1">
      <alignment horizontal="left" vertical="center" wrapText="1" indent="1"/>
      <protection locked="0"/>
    </xf>
    <xf numFmtId="0" fontId="30" fillId="0" borderId="17" xfId="1" applyFont="1" applyBorder="1" applyAlignment="1" applyProtection="1">
      <alignment horizontal="left" vertical="center" wrapText="1" indent="1"/>
      <protection locked="0"/>
    </xf>
    <xf numFmtId="0" fontId="29" fillId="0" borderId="30" xfId="1" applyFont="1" applyBorder="1" applyAlignment="1" applyProtection="1">
      <alignment horizontal="left" vertical="center" indent="1"/>
      <protection locked="0"/>
    </xf>
    <xf numFmtId="0" fontId="29" fillId="8" borderId="139" xfId="1" applyFont="1" applyFill="1" applyBorder="1" applyAlignment="1">
      <alignment horizontal="center" vertical="center"/>
    </xf>
    <xf numFmtId="0" fontId="29" fillId="8" borderId="140" xfId="1" applyFont="1" applyFill="1" applyBorder="1" applyAlignment="1">
      <alignment horizontal="center" vertical="center" wrapText="1"/>
    </xf>
    <xf numFmtId="0" fontId="29" fillId="0" borderId="141" xfId="1" applyFont="1" applyFill="1" applyBorder="1" applyAlignment="1">
      <alignment horizontal="center" vertical="center" wrapText="1"/>
    </xf>
    <xf numFmtId="3" fontId="29" fillId="4" borderId="45" xfId="1" applyNumberFormat="1" applyFont="1" applyFill="1" applyBorder="1" applyAlignment="1">
      <alignment vertical="center"/>
    </xf>
    <xf numFmtId="3" fontId="29" fillId="4" borderId="46" xfId="1" applyNumberFormat="1" applyFont="1" applyFill="1" applyBorder="1" applyAlignment="1">
      <alignment vertical="center"/>
    </xf>
    <xf numFmtId="3" fontId="29" fillId="4" borderId="47" xfId="1" applyNumberFormat="1" applyFont="1" applyFill="1" applyBorder="1" applyAlignment="1">
      <alignment vertical="center"/>
    </xf>
    <xf numFmtId="3" fontId="29" fillId="4" borderId="48" xfId="1" applyNumberFormat="1" applyFont="1" applyFill="1" applyBorder="1" applyAlignment="1">
      <alignment vertical="center"/>
    </xf>
    <xf numFmtId="0" fontId="33" fillId="0" borderId="43" xfId="1" applyFont="1" applyFill="1" applyBorder="1" applyAlignment="1">
      <alignment horizontal="center" vertical="center" wrapText="1"/>
    </xf>
    <xf numFmtId="3" fontId="47" fillId="0" borderId="0" xfId="0" applyNumberFormat="1" applyFont="1"/>
    <xf numFmtId="164" fontId="30" fillId="9" borderId="10" xfId="1" applyNumberFormat="1" applyFont="1" applyFill="1" applyBorder="1" applyAlignment="1">
      <alignment horizontal="center" vertical="center"/>
    </xf>
    <xf numFmtId="0" fontId="29" fillId="0" borderId="16" xfId="1" applyFont="1" applyBorder="1" applyAlignment="1" applyProtection="1">
      <alignment horizontal="center" vertical="center" wrapText="1"/>
      <protection locked="0"/>
    </xf>
    <xf numFmtId="0" fontId="29" fillId="0" borderId="10" xfId="1" applyFont="1" applyBorder="1" applyAlignment="1">
      <alignment vertical="center"/>
    </xf>
    <xf numFmtId="0" fontId="56" fillId="13" borderId="0" xfId="0" applyFont="1" applyFill="1" applyAlignment="1" applyProtection="1">
      <alignment horizontal="left" vertical="top"/>
      <protection locked="0"/>
    </xf>
    <xf numFmtId="0" fontId="57" fillId="2" borderId="0" xfId="1" applyFont="1" applyFill="1" applyAlignment="1">
      <alignment vertical="center"/>
    </xf>
    <xf numFmtId="0" fontId="6" fillId="2" borderId="0" xfId="1" applyFont="1" applyFill="1" applyAlignment="1">
      <alignment horizontal="center" vertical="center"/>
    </xf>
    <xf numFmtId="0" fontId="6" fillId="2" borderId="0" xfId="1" applyFont="1" applyFill="1" applyAlignment="1">
      <alignment vertical="center"/>
    </xf>
    <xf numFmtId="0" fontId="6" fillId="2" borderId="0" xfId="1" applyFont="1" applyFill="1" applyBorder="1" applyAlignment="1">
      <alignment vertical="center"/>
    </xf>
    <xf numFmtId="0" fontId="57" fillId="0" borderId="0" xfId="1" applyFont="1" applyAlignment="1">
      <alignment vertical="center"/>
    </xf>
    <xf numFmtId="0" fontId="6" fillId="2" borderId="0" xfId="1" applyFont="1" applyFill="1" applyAlignment="1">
      <alignment horizontal="right" vertical="center"/>
    </xf>
    <xf numFmtId="0" fontId="6" fillId="2" borderId="0" xfId="1" applyFont="1" applyFill="1" applyBorder="1" applyAlignment="1">
      <alignment horizontal="right" vertical="center"/>
    </xf>
    <xf numFmtId="0" fontId="57" fillId="14" borderId="0" xfId="0" applyFont="1" applyFill="1" applyAlignment="1">
      <alignment vertical="center"/>
    </xf>
    <xf numFmtId="0" fontId="6" fillId="0" borderId="0" xfId="1" applyFont="1" applyFill="1" applyAlignment="1">
      <alignment horizontal="center" vertical="center"/>
    </xf>
    <xf numFmtId="0" fontId="59" fillId="10" borderId="0" xfId="0" applyFont="1" applyFill="1" applyAlignment="1">
      <alignment vertical="center"/>
    </xf>
    <xf numFmtId="4" fontId="6" fillId="0" borderId="0" xfId="1" applyNumberFormat="1" applyFont="1" applyFill="1" applyAlignment="1">
      <alignment vertical="center"/>
    </xf>
    <xf numFmtId="0" fontId="20" fillId="2" borderId="0" xfId="1" applyFont="1" applyFill="1" applyAlignment="1">
      <alignment vertical="center"/>
    </xf>
    <xf numFmtId="4" fontId="6" fillId="0" borderId="0" xfId="1" applyNumberFormat="1" applyFont="1" applyFill="1" applyAlignment="1">
      <alignment horizontal="right" vertical="center"/>
    </xf>
    <xf numFmtId="0" fontId="60" fillId="10" borderId="0" xfId="0" applyFont="1" applyFill="1" applyAlignment="1">
      <alignment vertical="center"/>
    </xf>
    <xf numFmtId="4" fontId="61" fillId="0" borderId="0" xfId="0" applyNumberFormat="1" applyFont="1"/>
    <xf numFmtId="0" fontId="0" fillId="10" borderId="0" xfId="0" applyFill="1"/>
    <xf numFmtId="0" fontId="6" fillId="0" borderId="8" xfId="1" applyFont="1" applyFill="1" applyBorder="1" applyAlignment="1">
      <alignment horizontal="center" vertical="center"/>
    </xf>
    <xf numFmtId="4" fontId="20" fillId="2" borderId="0" xfId="1" applyNumberFormat="1" applyFont="1" applyFill="1" applyBorder="1" applyAlignment="1">
      <alignment horizontal="center" vertical="center"/>
    </xf>
    <xf numFmtId="0" fontId="15" fillId="0" borderId="11" xfId="1" applyFont="1" applyFill="1" applyBorder="1" applyAlignment="1">
      <alignment horizontal="center" vertical="center"/>
    </xf>
    <xf numFmtId="4" fontId="15" fillId="2" borderId="0" xfId="1" applyNumberFormat="1" applyFont="1" applyFill="1" applyBorder="1" applyAlignment="1">
      <alignment horizontal="center" vertical="center"/>
    </xf>
    <xf numFmtId="4" fontId="0" fillId="0" borderId="0" xfId="0" applyNumberFormat="1"/>
    <xf numFmtId="0" fontId="8" fillId="15" borderId="145" xfId="3" applyFont="1" applyFill="1" applyBorder="1" applyAlignment="1">
      <alignment horizontal="left" vertical="center"/>
    </xf>
    <xf numFmtId="0" fontId="8" fillId="15" borderId="159" xfId="1" applyFont="1" applyFill="1" applyBorder="1" applyAlignment="1">
      <alignment horizontal="center" vertical="center"/>
    </xf>
    <xf numFmtId="3" fontId="8" fillId="15" borderId="160" xfId="1" applyNumberFormat="1" applyFont="1" applyFill="1" applyBorder="1" applyAlignment="1">
      <alignment horizontal="right" vertical="center"/>
    </xf>
    <xf numFmtId="4" fontId="63" fillId="14" borderId="0" xfId="0" applyNumberFormat="1" applyFont="1" applyFill="1"/>
    <xf numFmtId="0" fontId="64" fillId="14" borderId="0" xfId="0" applyFont="1" applyFill="1"/>
    <xf numFmtId="0" fontId="6" fillId="16" borderId="75" xfId="3" applyFont="1" applyFill="1" applyBorder="1" applyAlignment="1">
      <alignment horizontal="left" vertical="center" indent="1"/>
    </xf>
    <xf numFmtId="0" fontId="8" fillId="16" borderId="161" xfId="1" applyFont="1" applyFill="1" applyBorder="1" applyAlignment="1">
      <alignment horizontal="center" vertical="center"/>
    </xf>
    <xf numFmtId="3" fontId="8" fillId="16" borderId="162" xfId="1" applyNumberFormat="1" applyFont="1" applyFill="1" applyBorder="1" applyAlignment="1">
      <alignment horizontal="right" vertical="center"/>
    </xf>
    <xf numFmtId="0" fontId="12" fillId="0" borderId="0" xfId="0" applyFont="1"/>
    <xf numFmtId="4" fontId="65" fillId="0" borderId="0" xfId="0" applyNumberFormat="1" applyFont="1"/>
    <xf numFmtId="0" fontId="8" fillId="17" borderId="75" xfId="3" applyFont="1" applyFill="1" applyBorder="1" applyAlignment="1">
      <alignment horizontal="left" vertical="center" indent="2"/>
    </xf>
    <xf numFmtId="0" fontId="8" fillId="17" borderId="161" xfId="1" applyFont="1" applyFill="1" applyBorder="1" applyAlignment="1">
      <alignment horizontal="center" vertical="center"/>
    </xf>
    <xf numFmtId="3" fontId="8" fillId="17" borderId="162" xfId="1" applyNumberFormat="1" applyFont="1" applyFill="1" applyBorder="1" applyAlignment="1">
      <alignment horizontal="right" vertical="center"/>
    </xf>
    <xf numFmtId="0" fontId="6" fillId="2" borderId="75" xfId="1" applyFont="1" applyFill="1" applyBorder="1" applyAlignment="1">
      <alignment horizontal="left" vertical="center" indent="4"/>
    </xf>
    <xf numFmtId="0" fontId="6" fillId="2" borderId="161" xfId="1" applyFont="1" applyFill="1" applyBorder="1" applyAlignment="1">
      <alignment horizontal="center" vertical="center"/>
    </xf>
    <xf numFmtId="3" fontId="66" fillId="2" borderId="162" xfId="1" applyNumberFormat="1" applyFont="1" applyFill="1" applyBorder="1" applyAlignment="1">
      <alignment horizontal="right" vertical="center"/>
    </xf>
    <xf numFmtId="0" fontId="6" fillId="0" borderId="0" xfId="1" applyFont="1" applyFill="1" applyAlignment="1">
      <alignment vertical="center"/>
    </xf>
    <xf numFmtId="0" fontId="6" fillId="0" borderId="75" xfId="1" applyFont="1" applyFill="1" applyBorder="1" applyAlignment="1">
      <alignment horizontal="left" vertical="center" indent="8"/>
    </xf>
    <xf numFmtId="0" fontId="6" fillId="0" borderId="161" xfId="1" applyFont="1" applyFill="1" applyBorder="1" applyAlignment="1">
      <alignment horizontal="center" vertical="center"/>
    </xf>
    <xf numFmtId="3" fontId="6" fillId="0" borderId="162" xfId="1" applyNumberFormat="1" applyFont="1" applyFill="1" applyBorder="1" applyAlignment="1">
      <alignment horizontal="right" vertical="center"/>
    </xf>
    <xf numFmtId="3" fontId="6" fillId="2" borderId="162" xfId="1" applyNumberFormat="1" applyFont="1" applyFill="1" applyBorder="1" applyAlignment="1">
      <alignment horizontal="right" vertical="center"/>
    </xf>
    <xf numFmtId="0" fontId="66" fillId="2" borderId="75" xfId="1" applyFont="1" applyFill="1" applyBorder="1" applyAlignment="1">
      <alignment horizontal="left" vertical="center" indent="7"/>
    </xf>
    <xf numFmtId="0" fontId="12" fillId="0" borderId="0" xfId="0" applyFont="1" applyFill="1"/>
    <xf numFmtId="4" fontId="65" fillId="18" borderId="0" xfId="0" applyNumberFormat="1" applyFont="1" applyFill="1"/>
    <xf numFmtId="0" fontId="6" fillId="19" borderId="163" xfId="1" applyFont="1" applyFill="1" applyBorder="1" applyAlignment="1">
      <alignment horizontal="left" vertical="center" indent="9"/>
    </xf>
    <xf numFmtId="0" fontId="6" fillId="19" borderId="161" xfId="1" applyFont="1" applyFill="1" applyBorder="1" applyAlignment="1">
      <alignment horizontal="center" vertical="center"/>
    </xf>
    <xf numFmtId="3" fontId="6" fillId="19" borderId="162" xfId="1" applyNumberFormat="1" applyFont="1" applyFill="1" applyBorder="1" applyAlignment="1">
      <alignment horizontal="right" vertical="center"/>
    </xf>
    <xf numFmtId="0" fontId="12" fillId="19" borderId="0" xfId="0" applyFont="1" applyFill="1"/>
    <xf numFmtId="4" fontId="67" fillId="0" borderId="0" xfId="0" applyNumberFormat="1" applyFont="1"/>
    <xf numFmtId="0" fontId="68" fillId="0" borderId="0" xfId="0" applyFont="1"/>
    <xf numFmtId="0" fontId="66" fillId="0" borderId="75" xfId="1" applyFont="1" applyFill="1" applyBorder="1" applyAlignment="1">
      <alignment horizontal="left" vertical="center" indent="7"/>
    </xf>
    <xf numFmtId="3" fontId="66" fillId="0" borderId="162" xfId="1" applyNumberFormat="1" applyFont="1" applyFill="1" applyBorder="1" applyAlignment="1">
      <alignment horizontal="right" vertical="center"/>
    </xf>
    <xf numFmtId="0" fontId="69" fillId="0" borderId="0" xfId="0" applyFont="1" applyFill="1"/>
    <xf numFmtId="4" fontId="63" fillId="0" borderId="0" xfId="0" applyNumberFormat="1" applyFont="1"/>
    <xf numFmtId="0" fontId="26" fillId="0" borderId="0" xfId="0" applyFont="1"/>
    <xf numFmtId="0" fontId="61" fillId="0" borderId="0" xfId="0" applyFont="1"/>
    <xf numFmtId="0" fontId="69" fillId="0" borderId="0" xfId="0" applyFont="1"/>
    <xf numFmtId="4" fontId="70" fillId="0" borderId="0" xfId="0" applyNumberFormat="1" applyFont="1"/>
    <xf numFmtId="0" fontId="71" fillId="0" borderId="0" xfId="0" applyFont="1"/>
    <xf numFmtId="0" fontId="72" fillId="0" borderId="0" xfId="0" applyFont="1"/>
    <xf numFmtId="3" fontId="8" fillId="20" borderId="162" xfId="1" applyNumberFormat="1" applyFont="1" applyFill="1" applyBorder="1" applyAlignment="1">
      <alignment horizontal="right" vertical="center"/>
    </xf>
    <xf numFmtId="4" fontId="73" fillId="0" borderId="0" xfId="0" applyNumberFormat="1" applyFont="1"/>
    <xf numFmtId="0" fontId="74" fillId="0" borderId="0" xfId="0" applyFont="1"/>
    <xf numFmtId="0" fontId="66" fillId="0" borderId="79" xfId="1" applyFont="1" applyFill="1" applyBorder="1" applyAlignment="1">
      <alignment horizontal="left" vertical="center" indent="7"/>
    </xf>
    <xf numFmtId="0" fontId="6" fillId="2" borderId="164" xfId="1" applyFont="1" applyFill="1" applyBorder="1" applyAlignment="1">
      <alignment horizontal="center" vertical="center"/>
    </xf>
    <xf numFmtId="3" fontId="66" fillId="0" borderId="165" xfId="1" applyNumberFormat="1" applyFont="1" applyFill="1" applyBorder="1" applyAlignment="1">
      <alignment horizontal="right" vertical="center"/>
    </xf>
    <xf numFmtId="3" fontId="66" fillId="2" borderId="165" xfId="1" applyNumberFormat="1" applyFont="1" applyFill="1" applyBorder="1" applyAlignment="1">
      <alignment horizontal="right" vertical="center"/>
    </xf>
    <xf numFmtId="0" fontId="75" fillId="0" borderId="0" xfId="1" applyFont="1" applyFill="1" applyAlignment="1">
      <alignment vertical="center"/>
    </xf>
    <xf numFmtId="4" fontId="76" fillId="0" borderId="0" xfId="0" applyNumberFormat="1" applyFont="1"/>
    <xf numFmtId="0" fontId="77" fillId="0" borderId="0" xfId="0" applyFont="1"/>
    <xf numFmtId="0" fontId="0" fillId="2" borderId="0" xfId="0" applyFill="1"/>
    <xf numFmtId="3" fontId="0" fillId="2" borderId="0" xfId="0" applyNumberFormat="1" applyFill="1"/>
    <xf numFmtId="0" fontId="66" fillId="2" borderId="75" xfId="1" applyFont="1" applyFill="1" applyBorder="1" applyAlignment="1">
      <alignment horizontal="left" vertical="center" indent="2"/>
    </xf>
    <xf numFmtId="0" fontId="8" fillId="2" borderId="161" xfId="1" applyFont="1" applyFill="1" applyBorder="1" applyAlignment="1">
      <alignment horizontal="center" vertical="center"/>
    </xf>
    <xf numFmtId="0" fontId="6" fillId="2" borderId="75" xfId="3" applyFont="1" applyFill="1" applyBorder="1" applyAlignment="1">
      <alignment horizontal="left" vertical="center" indent="4"/>
    </xf>
    <xf numFmtId="0" fontId="6" fillId="2" borderId="75" xfId="3" applyFont="1" applyFill="1" applyBorder="1" applyAlignment="1">
      <alignment horizontal="left" vertical="center" indent="7"/>
    </xf>
    <xf numFmtId="0" fontId="6" fillId="2" borderId="75" xfId="1" applyFont="1" applyFill="1" applyBorder="1" applyAlignment="1">
      <alignment horizontal="left" vertical="center" indent="7"/>
    </xf>
    <xf numFmtId="4" fontId="78" fillId="0" borderId="0" xfId="0" applyNumberFormat="1" applyFont="1"/>
    <xf numFmtId="0" fontId="8" fillId="15" borderId="142" xfId="3" applyFont="1" applyFill="1" applyBorder="1" applyAlignment="1">
      <alignment horizontal="left" vertical="center"/>
    </xf>
    <xf numFmtId="0" fontId="8" fillId="15" borderId="166" xfId="1" applyFont="1" applyFill="1" applyBorder="1" applyAlignment="1">
      <alignment horizontal="center" vertical="center"/>
    </xf>
    <xf numFmtId="3" fontId="8" fillId="15" borderId="167" xfId="1" applyNumberFormat="1" applyFont="1" applyFill="1" applyBorder="1" applyAlignment="1">
      <alignment horizontal="right" vertical="center"/>
    </xf>
    <xf numFmtId="0" fontId="66" fillId="2" borderId="75" xfId="1" applyFont="1" applyFill="1" applyBorder="1" applyAlignment="1">
      <alignment horizontal="left" vertical="center" indent="3"/>
    </xf>
    <xf numFmtId="0" fontId="6" fillId="2" borderId="79" xfId="1" applyFont="1" applyFill="1" applyBorder="1" applyAlignment="1">
      <alignment horizontal="left" vertical="center" indent="7"/>
    </xf>
    <xf numFmtId="0" fontId="6" fillId="0" borderId="164" xfId="1" applyFont="1" applyFill="1" applyBorder="1" applyAlignment="1">
      <alignment horizontal="center" vertical="center"/>
    </xf>
    <xf numFmtId="3" fontId="6" fillId="2" borderId="165" xfId="1" applyNumberFormat="1" applyFont="1" applyFill="1" applyBorder="1" applyAlignment="1">
      <alignment horizontal="right" vertical="center"/>
    </xf>
    <xf numFmtId="0" fontId="19" fillId="2" borderId="0" xfId="1" applyFont="1" applyFill="1" applyAlignment="1">
      <alignment vertical="center"/>
    </xf>
    <xf numFmtId="0" fontId="79" fillId="2" borderId="0" xfId="1" applyFont="1" applyFill="1" applyAlignment="1">
      <alignment vertical="center"/>
    </xf>
    <xf numFmtId="0" fontId="19" fillId="2" borderId="0" xfId="1" applyFont="1" applyFill="1" applyAlignment="1">
      <alignment horizontal="center" vertical="center"/>
    </xf>
    <xf numFmtId="0" fontId="6" fillId="2" borderId="0" xfId="1" applyFont="1" applyFill="1" applyAlignment="1">
      <alignment vertical="center" wrapText="1"/>
    </xf>
    <xf numFmtId="0" fontId="7" fillId="2" borderId="0" xfId="1" quotePrefix="1" applyFont="1" applyFill="1" applyAlignment="1" applyProtection="1">
      <alignment horizontal="left" vertical="center"/>
      <protection locked="0"/>
    </xf>
    <xf numFmtId="0" fontId="30" fillId="8" borderId="0" xfId="1" applyFont="1" applyFill="1" applyAlignment="1">
      <alignment horizontal="center" vertical="center"/>
    </xf>
    <xf numFmtId="0" fontId="69" fillId="14" borderId="0" xfId="0" quotePrefix="1" applyFont="1" applyFill="1" applyAlignment="1">
      <alignment horizontal="left"/>
    </xf>
    <xf numFmtId="4" fontId="6" fillId="2" borderId="0" xfId="1" applyNumberFormat="1" applyFont="1" applyFill="1" applyBorder="1" applyAlignment="1">
      <alignment vertical="center"/>
    </xf>
    <xf numFmtId="4" fontId="6" fillId="2" borderId="0" xfId="1" applyNumberFormat="1" applyFont="1" applyFill="1" applyAlignment="1">
      <alignment vertical="center" wrapText="1"/>
    </xf>
    <xf numFmtId="0" fontId="61" fillId="0" borderId="0" xfId="0" quotePrefix="1" applyFont="1" applyAlignment="1">
      <alignment horizontal="left"/>
    </xf>
    <xf numFmtId="3" fontId="0" fillId="0" borderId="0" xfId="0" applyNumberFormat="1"/>
    <xf numFmtId="3" fontId="58" fillId="10" borderId="0" xfId="1" applyNumberFormat="1" applyFont="1" applyFill="1" applyAlignment="1">
      <alignment horizontal="right" vertical="center"/>
    </xf>
    <xf numFmtId="3" fontId="62" fillId="10" borderId="0" xfId="1" applyNumberFormat="1" applyFont="1" applyFill="1" applyBorder="1" applyAlignment="1">
      <alignment horizontal="right" vertical="center"/>
    </xf>
    <xf numFmtId="0" fontId="27" fillId="10" borderId="0" xfId="0" applyFont="1" applyFill="1"/>
    <xf numFmtId="0" fontId="27" fillId="10" borderId="0" xfId="0" quotePrefix="1" applyFont="1" applyFill="1" applyAlignment="1">
      <alignment horizontal="left"/>
    </xf>
    <xf numFmtId="0" fontId="57" fillId="0" borderId="0" xfId="2" applyFont="1" applyBorder="1" applyAlignment="1">
      <alignment vertical="center"/>
    </xf>
    <xf numFmtId="0" fontId="13" fillId="20" borderId="9" xfId="0" applyFont="1" applyFill="1" applyBorder="1" applyAlignment="1">
      <alignment horizontal="center" vertical="center"/>
    </xf>
    <xf numFmtId="0" fontId="13" fillId="20" borderId="10" xfId="0" applyFont="1" applyFill="1" applyBorder="1" applyAlignment="1">
      <alignment horizontal="center" vertical="center"/>
    </xf>
    <xf numFmtId="0" fontId="13" fillId="20" borderId="12" xfId="0" applyFont="1" applyFill="1" applyBorder="1" applyAlignment="1">
      <alignment horizontal="center" vertical="center" wrapText="1" shrinkToFit="1"/>
    </xf>
    <xf numFmtId="0" fontId="13" fillId="20" borderId="13" xfId="0" applyFont="1" applyFill="1" applyBorder="1" applyAlignment="1">
      <alignment horizontal="center" vertical="center" wrapText="1" shrinkToFit="1"/>
    </xf>
    <xf numFmtId="0" fontId="13" fillId="20" borderId="1" xfId="0" applyFont="1" applyFill="1" applyBorder="1" applyAlignment="1">
      <alignment horizontal="center" vertical="center" wrapText="1" shrinkToFit="1"/>
    </xf>
    <xf numFmtId="0" fontId="13" fillId="20" borderId="18" xfId="0" applyFont="1" applyFill="1" applyBorder="1" applyAlignment="1">
      <alignment horizontal="center" vertical="center" wrapText="1" shrinkToFit="1"/>
    </xf>
    <xf numFmtId="0" fontId="84" fillId="8" borderId="10" xfId="0" applyFont="1" applyFill="1" applyBorder="1" applyAlignment="1">
      <alignment vertical="center" wrapText="1"/>
    </xf>
    <xf numFmtId="0" fontId="10" fillId="8" borderId="30" xfId="0" applyFont="1" applyFill="1" applyBorder="1" applyAlignment="1">
      <alignment vertical="center" wrapText="1"/>
    </xf>
    <xf numFmtId="3" fontId="12" fillId="0" borderId="15" xfId="4" applyNumberFormat="1" applyFont="1" applyFill="1" applyBorder="1" applyAlignment="1">
      <alignment horizontal="right" vertical="center"/>
    </xf>
    <xf numFmtId="3" fontId="12" fillId="0" borderId="16" xfId="4" applyNumberFormat="1" applyFont="1" applyFill="1" applyBorder="1" applyAlignment="1">
      <alignment horizontal="right" vertical="center"/>
    </xf>
    <xf numFmtId="3" fontId="12" fillId="8" borderId="10" xfId="0" applyNumberFormat="1" applyFont="1" applyFill="1" applyBorder="1" applyAlignment="1">
      <alignment vertical="center" wrapText="1"/>
    </xf>
    <xf numFmtId="3" fontId="6" fillId="0" borderId="16" xfId="1" applyNumberFormat="1" applyFont="1" applyFill="1" applyBorder="1" applyAlignment="1">
      <alignment horizontal="right" vertical="center"/>
    </xf>
    <xf numFmtId="3" fontId="6" fillId="0" borderId="40" xfId="1" applyNumberFormat="1" applyFont="1" applyFill="1" applyBorder="1" applyAlignment="1">
      <alignment horizontal="right" vertical="center"/>
    </xf>
    <xf numFmtId="0" fontId="84" fillId="8" borderId="29" xfId="0" applyFont="1" applyFill="1" applyBorder="1" applyAlignment="1">
      <alignment vertical="center" wrapText="1"/>
    </xf>
    <xf numFmtId="0" fontId="10" fillId="8" borderId="31" xfId="0" applyFont="1" applyFill="1" applyBorder="1" applyAlignment="1">
      <alignment vertical="center" wrapText="1"/>
    </xf>
    <xf numFmtId="3" fontId="6" fillId="0" borderId="30" xfId="4" applyNumberFormat="1" applyFont="1" applyFill="1" applyBorder="1" applyAlignment="1">
      <alignment horizontal="right" vertical="center"/>
    </xf>
    <xf numFmtId="3" fontId="6" fillId="0" borderId="10" xfId="4" applyNumberFormat="1" applyFont="1" applyFill="1" applyBorder="1" applyAlignment="1">
      <alignment horizontal="right" vertical="center"/>
    </xf>
    <xf numFmtId="3" fontId="12" fillId="8" borderId="29" xfId="0" applyNumberFormat="1" applyFont="1" applyFill="1" applyBorder="1" applyAlignment="1">
      <alignment vertical="center" wrapText="1"/>
    </xf>
    <xf numFmtId="3" fontId="6" fillId="0" borderId="10" xfId="1" applyNumberFormat="1" applyFont="1" applyFill="1" applyBorder="1" applyAlignment="1">
      <alignment horizontal="right" vertical="center"/>
    </xf>
    <xf numFmtId="3" fontId="6" fillId="0" borderId="22" xfId="1" applyNumberFormat="1" applyFont="1" applyFill="1" applyBorder="1" applyAlignment="1">
      <alignment horizontal="right" vertical="center"/>
    </xf>
    <xf numFmtId="0" fontId="22" fillId="20" borderId="3" xfId="4" applyFont="1" applyFill="1" applyBorder="1" applyAlignment="1">
      <alignment horizontal="center" vertical="center"/>
    </xf>
    <xf numFmtId="3" fontId="22" fillId="20" borderId="4" xfId="1" applyNumberFormat="1" applyFont="1" applyFill="1" applyBorder="1" applyAlignment="1" applyProtection="1">
      <alignment horizontal="left" vertical="center"/>
      <protection locked="0"/>
    </xf>
    <xf numFmtId="3" fontId="22" fillId="20" borderId="23" xfId="1" applyNumberFormat="1" applyFont="1" applyFill="1" applyBorder="1" applyAlignment="1" applyProtection="1">
      <alignment horizontal="right" vertical="center"/>
      <protection locked="0"/>
    </xf>
    <xf numFmtId="3" fontId="8" fillId="20" borderId="3" xfId="1" applyNumberFormat="1" applyFont="1" applyFill="1" applyBorder="1" applyAlignment="1">
      <alignment horizontal="right" vertical="center"/>
    </xf>
    <xf numFmtId="3" fontId="8" fillId="20" borderId="4" xfId="1" applyNumberFormat="1" applyFont="1" applyFill="1" applyBorder="1" applyAlignment="1">
      <alignment horizontal="right" vertical="center"/>
    </xf>
    <xf numFmtId="3" fontId="8" fillId="20" borderId="19" xfId="1" applyNumberFormat="1" applyFont="1" applyFill="1" applyBorder="1" applyAlignment="1">
      <alignment horizontal="right" vertical="center"/>
    </xf>
    <xf numFmtId="0" fontId="85" fillId="0" borderId="0" xfId="0" applyFont="1"/>
    <xf numFmtId="0" fontId="8" fillId="20" borderId="63" xfId="1" applyFont="1" applyFill="1" applyBorder="1" applyAlignment="1">
      <alignment horizontal="center" vertical="center"/>
    </xf>
    <xf numFmtId="0" fontId="8" fillId="20" borderId="139" xfId="1" applyFont="1" applyFill="1" applyBorder="1" applyAlignment="1">
      <alignment horizontal="center" vertical="center"/>
    </xf>
    <xf numFmtId="0" fontId="8" fillId="20" borderId="43" xfId="1" applyFont="1" applyFill="1" applyBorder="1" applyAlignment="1">
      <alignment horizontal="center" vertical="center"/>
    </xf>
    <xf numFmtId="0" fontId="11" fillId="20" borderId="43" xfId="1" applyFont="1" applyFill="1" applyBorder="1" applyAlignment="1">
      <alignment horizontal="center" vertical="center" wrapText="1"/>
    </xf>
    <xf numFmtId="0" fontId="8" fillId="20" borderId="140" xfId="1" applyFont="1" applyFill="1" applyBorder="1" applyAlignment="1">
      <alignment horizontal="center" vertical="center" wrapText="1"/>
    </xf>
    <xf numFmtId="0" fontId="8" fillId="0" borderId="66" xfId="1" applyFont="1" applyFill="1" applyBorder="1" applyAlignment="1">
      <alignment horizontal="center" vertical="center" wrapText="1"/>
    </xf>
    <xf numFmtId="0" fontId="8" fillId="0" borderId="44" xfId="1" applyFont="1" applyFill="1" applyBorder="1" applyAlignment="1">
      <alignment horizontal="center" vertical="center"/>
    </xf>
    <xf numFmtId="0" fontId="8" fillId="0" borderId="141" xfId="1" applyFont="1" applyFill="1" applyBorder="1" applyAlignment="1">
      <alignment horizontal="center" vertical="center" wrapText="1"/>
    </xf>
    <xf numFmtId="0" fontId="8" fillId="20" borderId="38" xfId="1" applyFont="1" applyFill="1" applyBorder="1" applyAlignment="1">
      <alignment horizontal="center" vertical="center"/>
    </xf>
    <xf numFmtId="0" fontId="8" fillId="20" borderId="27" xfId="3" applyFont="1" applyFill="1" applyBorder="1" applyAlignment="1">
      <alignment horizontal="left" vertical="center"/>
    </xf>
    <xf numFmtId="0" fontId="8" fillId="20" borderId="45" xfId="1" applyFont="1" applyFill="1" applyBorder="1" applyAlignment="1">
      <alignment vertical="center"/>
    </xf>
    <xf numFmtId="0" fontId="8" fillId="20" borderId="9" xfId="1" applyFont="1" applyFill="1" applyBorder="1" applyAlignment="1">
      <alignment vertical="center"/>
    </xf>
    <xf numFmtId="3" fontId="8" fillId="20" borderId="45" xfId="1" applyNumberFormat="1" applyFont="1" applyFill="1" applyBorder="1" applyAlignment="1">
      <alignment vertical="center"/>
    </xf>
    <xf numFmtId="3" fontId="8" fillId="20" borderId="10" xfId="1" applyNumberFormat="1" applyFont="1" applyFill="1" applyBorder="1" applyAlignment="1">
      <alignment vertical="center"/>
    </xf>
    <xf numFmtId="0" fontId="6" fillId="0" borderId="128" xfId="1" applyFont="1" applyBorder="1" applyAlignment="1">
      <alignment horizontal="center" vertical="center"/>
    </xf>
    <xf numFmtId="0" fontId="6" fillId="2" borderId="72" xfId="3" applyFont="1" applyFill="1" applyBorder="1" applyAlignment="1">
      <alignment horizontal="left" vertical="center"/>
    </xf>
    <xf numFmtId="0" fontId="6" fillId="0" borderId="46" xfId="1" applyFont="1" applyBorder="1" applyAlignment="1">
      <alignment vertical="center"/>
    </xf>
    <xf numFmtId="0" fontId="6" fillId="2" borderId="46" xfId="1" applyFont="1" applyFill="1" applyBorder="1" applyAlignment="1">
      <alignment vertical="center"/>
    </xf>
    <xf numFmtId="0" fontId="6" fillId="2" borderId="69" xfId="1" applyFont="1" applyFill="1" applyBorder="1" applyAlignment="1">
      <alignment vertical="center"/>
    </xf>
    <xf numFmtId="3" fontId="6" fillId="0" borderId="46" xfId="1" applyNumberFormat="1" applyFont="1" applyFill="1" applyBorder="1" applyAlignment="1">
      <alignment vertical="center"/>
    </xf>
    <xf numFmtId="3" fontId="6" fillId="0" borderId="57" xfId="1" applyNumberFormat="1" applyFont="1" applyFill="1" applyBorder="1" applyAlignment="1">
      <alignment vertical="center"/>
    </xf>
    <xf numFmtId="3" fontId="6" fillId="20" borderId="46" xfId="1" applyNumberFormat="1" applyFont="1" applyFill="1" applyBorder="1" applyAlignment="1">
      <alignment vertical="center"/>
    </xf>
    <xf numFmtId="3" fontId="6" fillId="0" borderId="55" xfId="1" applyNumberFormat="1" applyFont="1" applyBorder="1" applyAlignment="1" applyProtection="1">
      <alignment horizontal="right" vertical="center"/>
      <protection locked="0"/>
    </xf>
    <xf numFmtId="0" fontId="6" fillId="0" borderId="129" xfId="1" applyFont="1" applyBorder="1" applyAlignment="1">
      <alignment horizontal="center" vertical="center"/>
    </xf>
    <xf numFmtId="0" fontId="8" fillId="2" borderId="67" xfId="3" applyFont="1" applyFill="1" applyBorder="1" applyAlignment="1">
      <alignment horizontal="left" vertical="center"/>
    </xf>
    <xf numFmtId="0" fontId="6" fillId="0" borderId="47" xfId="1" applyFont="1" applyBorder="1" applyAlignment="1">
      <alignment vertical="center"/>
    </xf>
    <xf numFmtId="0" fontId="6" fillId="2" borderId="47" xfId="1" applyFont="1" applyFill="1" applyBorder="1" applyAlignment="1">
      <alignment vertical="center"/>
    </xf>
    <xf numFmtId="0" fontId="6" fillId="2" borderId="70" xfId="1" applyFont="1" applyFill="1" applyBorder="1" applyAlignment="1">
      <alignment vertical="center"/>
    </xf>
    <xf numFmtId="3" fontId="6" fillId="0" borderId="47" xfId="1" applyNumberFormat="1" applyFont="1" applyFill="1" applyBorder="1" applyAlignment="1">
      <alignment vertical="center"/>
    </xf>
    <xf numFmtId="3" fontId="6" fillId="0" borderId="58" xfId="1" applyNumberFormat="1" applyFont="1" applyFill="1" applyBorder="1" applyAlignment="1">
      <alignment vertical="center"/>
    </xf>
    <xf numFmtId="3" fontId="6" fillId="0" borderId="60" xfId="1" applyNumberFormat="1" applyFont="1" applyFill="1" applyBorder="1" applyAlignment="1">
      <alignment vertical="center"/>
    </xf>
    <xf numFmtId="3" fontId="6" fillId="20" borderId="47" xfId="1" applyNumberFormat="1" applyFont="1" applyFill="1" applyBorder="1" applyAlignment="1">
      <alignment vertical="center"/>
    </xf>
    <xf numFmtId="3" fontId="6" fillId="0" borderId="54" xfId="1" applyNumberFormat="1" applyFont="1" applyBorder="1" applyAlignment="1" applyProtection="1">
      <alignment horizontal="right" vertical="center"/>
      <protection locked="0"/>
    </xf>
    <xf numFmtId="164" fontId="6" fillId="0" borderId="58" xfId="1" applyNumberFormat="1" applyFont="1" applyFill="1" applyBorder="1" applyAlignment="1">
      <alignment horizontal="center" vertical="center"/>
    </xf>
    <xf numFmtId="3" fontId="6" fillId="0" borderId="54" xfId="1" applyNumberFormat="1" applyFont="1" applyBorder="1" applyAlignment="1">
      <alignment horizontal="right" vertical="center"/>
    </xf>
    <xf numFmtId="0" fontId="6" fillId="0" borderId="168" xfId="1" applyFont="1" applyBorder="1" applyAlignment="1">
      <alignment horizontal="center" vertical="center"/>
    </xf>
    <xf numFmtId="0" fontId="8" fillId="2" borderId="169" xfId="3" applyFont="1" applyFill="1" applyBorder="1" applyAlignment="1">
      <alignment horizontal="left" vertical="center"/>
    </xf>
    <xf numFmtId="0" fontId="6" fillId="0" borderId="170" xfId="1" applyFont="1" applyBorder="1" applyAlignment="1">
      <alignment vertical="center"/>
    </xf>
    <xf numFmtId="0" fontId="6" fillId="2" borderId="170" xfId="1" applyFont="1" applyFill="1" applyBorder="1" applyAlignment="1">
      <alignment vertical="center"/>
    </xf>
    <xf numFmtId="0" fontId="6" fillId="2" borderId="171" xfId="1" applyFont="1" applyFill="1" applyBorder="1" applyAlignment="1">
      <alignment vertical="center"/>
    </xf>
    <xf numFmtId="3" fontId="6" fillId="0" borderId="170" xfId="1" applyNumberFormat="1" applyFont="1" applyFill="1" applyBorder="1" applyAlignment="1">
      <alignment vertical="center"/>
    </xf>
    <xf numFmtId="164" fontId="6" fillId="0" borderId="60" xfId="1" applyNumberFormat="1" applyFont="1" applyFill="1" applyBorder="1" applyAlignment="1">
      <alignment horizontal="center" vertical="center"/>
    </xf>
    <xf numFmtId="3" fontId="6" fillId="20" borderId="170" xfId="1" applyNumberFormat="1" applyFont="1" applyFill="1" applyBorder="1" applyAlignment="1">
      <alignment vertical="center"/>
    </xf>
    <xf numFmtId="0" fontId="6" fillId="0" borderId="130" xfId="1" applyFont="1" applyBorder="1" applyAlignment="1">
      <alignment horizontal="center" vertical="center"/>
    </xf>
    <xf numFmtId="0" fontId="8" fillId="2" borderId="68" xfId="3" applyFont="1" applyFill="1" applyBorder="1" applyAlignment="1">
      <alignment horizontal="left" vertical="center"/>
    </xf>
    <xf numFmtId="0" fontId="6" fillId="0" borderId="48" xfId="1" applyFont="1" applyBorder="1" applyAlignment="1">
      <alignment vertical="center"/>
    </xf>
    <xf numFmtId="0" fontId="6" fillId="2" borderId="48" xfId="1" applyFont="1" applyFill="1" applyBorder="1" applyAlignment="1">
      <alignment vertical="center"/>
    </xf>
    <xf numFmtId="0" fontId="6" fillId="2" borderId="71" xfId="1" applyFont="1" applyFill="1" applyBorder="1" applyAlignment="1">
      <alignment vertical="center"/>
    </xf>
    <xf numFmtId="3" fontId="6" fillId="0" borderId="48" xfId="1" applyNumberFormat="1" applyFont="1" applyFill="1" applyBorder="1" applyAlignment="1">
      <alignment vertical="center"/>
    </xf>
    <xf numFmtId="3" fontId="6" fillId="0" borderId="59" xfId="1" applyNumberFormat="1" applyFont="1" applyFill="1" applyBorder="1" applyAlignment="1">
      <alignment vertical="center"/>
    </xf>
    <xf numFmtId="3" fontId="6" fillId="20" borderId="48" xfId="1" applyNumberFormat="1" applyFont="1" applyFill="1" applyBorder="1" applyAlignment="1">
      <alignment vertical="center"/>
    </xf>
    <xf numFmtId="3" fontId="6" fillId="0" borderId="172" xfId="1" applyNumberFormat="1" applyFont="1" applyBorder="1" applyAlignment="1">
      <alignment horizontal="right" vertical="center"/>
    </xf>
    <xf numFmtId="0" fontId="85" fillId="0" borderId="0" xfId="0" quotePrefix="1" applyFont="1" applyAlignment="1">
      <alignment horizontal="left"/>
    </xf>
    <xf numFmtId="3" fontId="6" fillId="8" borderId="58" xfId="1" applyNumberFormat="1" applyFont="1" applyFill="1" applyBorder="1" applyAlignment="1">
      <alignment vertical="center"/>
    </xf>
    <xf numFmtId="0" fontId="60" fillId="0" borderId="0" xfId="0" applyFont="1"/>
    <xf numFmtId="0" fontId="90" fillId="0" borderId="0" xfId="0" applyFont="1"/>
    <xf numFmtId="0" fontId="86" fillId="0" borderId="0" xfId="0" quotePrefix="1" applyFont="1" applyAlignment="1">
      <alignment horizontal="left"/>
    </xf>
    <xf numFmtId="0" fontId="12" fillId="20" borderId="37" xfId="1" applyFont="1" applyFill="1" applyBorder="1" applyAlignment="1">
      <alignment horizontal="center" vertical="center"/>
    </xf>
    <xf numFmtId="0" fontId="12" fillId="20" borderId="28" xfId="3" applyFont="1" applyFill="1" applyBorder="1" applyAlignment="1">
      <alignment horizontal="left" vertical="center"/>
    </xf>
    <xf numFmtId="0" fontId="12" fillId="20" borderId="89" xfId="1" applyFont="1" applyFill="1" applyBorder="1" applyAlignment="1">
      <alignment vertical="center"/>
    </xf>
    <xf numFmtId="4" fontId="12" fillId="20" borderId="33" xfId="1" applyNumberFormat="1" applyFont="1" applyFill="1" applyBorder="1" applyAlignment="1">
      <alignment vertical="center"/>
    </xf>
    <xf numFmtId="4" fontId="91" fillId="20" borderId="7" xfId="1" applyNumberFormat="1" applyFont="1" applyFill="1" applyBorder="1" applyAlignment="1">
      <alignment vertical="center"/>
    </xf>
    <xf numFmtId="4" fontId="92" fillId="20" borderId="21" xfId="1" applyNumberFormat="1" applyFont="1" applyFill="1" applyBorder="1" applyAlignment="1">
      <alignment vertical="center"/>
    </xf>
    <xf numFmtId="4" fontId="13" fillId="20" borderId="5" xfId="1" applyNumberFormat="1" applyFont="1" applyFill="1" applyBorder="1" applyAlignment="1">
      <alignment vertical="center"/>
    </xf>
    <xf numFmtId="0" fontId="12" fillId="0" borderId="38" xfId="1" applyFont="1" applyBorder="1" applyAlignment="1">
      <alignment horizontal="center" vertical="center"/>
    </xf>
    <xf numFmtId="0" fontId="12" fillId="2" borderId="27" xfId="3" applyFont="1" applyFill="1" applyBorder="1" applyAlignment="1">
      <alignment horizontal="left" vertical="center"/>
    </xf>
    <xf numFmtId="0" fontId="12" fillId="0" borderId="45" xfId="1" applyFont="1" applyBorder="1" applyAlignment="1">
      <alignment vertical="center"/>
    </xf>
    <xf numFmtId="0" fontId="12" fillId="2" borderId="45" xfId="1" applyFont="1" applyFill="1" applyBorder="1" applyAlignment="1">
      <alignment vertical="center"/>
    </xf>
    <xf numFmtId="4" fontId="12" fillId="0" borderId="30" xfId="1" applyNumberFormat="1" applyFont="1" applyFill="1" applyBorder="1" applyAlignment="1">
      <alignment vertical="center"/>
    </xf>
    <xf numFmtId="4" fontId="13" fillId="20" borderId="8" xfId="1" applyNumberFormat="1" applyFont="1" applyFill="1" applyBorder="1" applyAlignment="1">
      <alignment vertical="center"/>
    </xf>
    <xf numFmtId="0" fontId="12" fillId="0" borderId="149" xfId="1" applyFont="1" applyBorder="1" applyAlignment="1">
      <alignment horizontal="center" vertical="center"/>
    </xf>
    <xf numFmtId="0" fontId="12" fillId="2" borderId="83" xfId="3" applyFont="1" applyFill="1" applyBorder="1" applyAlignment="1">
      <alignment horizontal="left" vertical="center"/>
    </xf>
    <xf numFmtId="0" fontId="12" fillId="0" borderId="90" xfId="1" applyFont="1" applyBorder="1" applyAlignment="1">
      <alignment vertical="center"/>
    </xf>
    <xf numFmtId="0" fontId="12" fillId="2" borderId="90" xfId="1" applyFont="1" applyFill="1" applyBorder="1" applyAlignment="1">
      <alignment vertical="center"/>
    </xf>
    <xf numFmtId="4" fontId="12" fillId="0" borderId="18" xfId="1" applyNumberFormat="1" applyFont="1" applyFill="1" applyBorder="1" applyAlignment="1">
      <alignment vertical="center"/>
    </xf>
    <xf numFmtId="4" fontId="13" fillId="20" borderId="11" xfId="1" applyNumberFormat="1" applyFont="1" applyFill="1" applyBorder="1" applyAlignment="1">
      <alignment vertical="center"/>
    </xf>
    <xf numFmtId="0" fontId="12" fillId="2" borderId="137" xfId="1" applyFont="1" applyFill="1" applyBorder="1" applyAlignment="1">
      <alignment horizontal="center" vertical="center" wrapText="1"/>
    </xf>
    <xf numFmtId="0" fontId="12" fillId="0" borderId="61" xfId="1" applyFont="1" applyFill="1" applyBorder="1" applyAlignment="1">
      <alignment horizontal="center" vertical="center"/>
    </xf>
    <xf numFmtId="0" fontId="12" fillId="0" borderId="61" xfId="1" applyFont="1" applyFill="1" applyBorder="1" applyAlignment="1">
      <alignment horizontal="center" vertical="center" wrapText="1"/>
    </xf>
    <xf numFmtId="0" fontId="12" fillId="2" borderId="53" xfId="1" applyFont="1" applyFill="1" applyBorder="1" applyAlignment="1">
      <alignment horizontal="center" vertical="center"/>
    </xf>
    <xf numFmtId="0" fontId="12" fillId="2" borderId="126" xfId="1" applyFont="1" applyFill="1" applyBorder="1" applyAlignment="1">
      <alignment horizontal="center" vertical="center" wrapText="1"/>
    </xf>
    <xf numFmtId="0" fontId="12" fillId="0" borderId="18" xfId="1" applyFont="1" applyFill="1" applyBorder="1" applyAlignment="1">
      <alignment horizontal="center" vertical="center" wrapText="1"/>
    </xf>
    <xf numFmtId="0" fontId="12" fillId="0" borderId="13" xfId="1" applyFont="1" applyFill="1" applyBorder="1" applyAlignment="1">
      <alignment horizontal="center" vertical="center"/>
    </xf>
    <xf numFmtId="0" fontId="12" fillId="0" borderId="1" xfId="1" applyFont="1" applyFill="1" applyBorder="1" applyAlignment="1">
      <alignment horizontal="center" vertical="center"/>
    </xf>
    <xf numFmtId="0" fontId="12" fillId="0" borderId="11" xfId="1" applyFont="1" applyFill="1" applyBorder="1" applyAlignment="1">
      <alignment horizontal="center" vertical="center" wrapText="1"/>
    </xf>
    <xf numFmtId="0" fontId="1" fillId="2" borderId="117" xfId="1" applyFont="1" applyFill="1" applyBorder="1" applyAlignment="1">
      <alignment horizontal="center" vertical="center"/>
    </xf>
    <xf numFmtId="0" fontId="78" fillId="2" borderId="116" xfId="1" applyFont="1" applyFill="1" applyBorder="1" applyAlignment="1">
      <alignment horizontal="center" vertical="center"/>
    </xf>
    <xf numFmtId="0" fontId="1" fillId="2" borderId="20" xfId="1" applyFont="1" applyFill="1" applyBorder="1" applyAlignment="1">
      <alignment horizontal="center" vertical="center"/>
    </xf>
    <xf numFmtId="0" fontId="27" fillId="0" borderId="0" xfId="0" applyFont="1"/>
    <xf numFmtId="4" fontId="82" fillId="0" borderId="30" xfId="1" applyNumberFormat="1" applyFont="1" applyFill="1" applyBorder="1" applyAlignment="1">
      <alignment vertical="center"/>
    </xf>
    <xf numFmtId="4" fontId="62" fillId="20" borderId="8" xfId="1" applyNumberFormat="1" applyFont="1" applyFill="1" applyBorder="1" applyAlignment="1">
      <alignment vertical="center"/>
    </xf>
    <xf numFmtId="4" fontId="0" fillId="21" borderId="0" xfId="0" applyNumberFormat="1" applyFill="1"/>
    <xf numFmtId="3" fontId="0" fillId="21" borderId="0" xfId="0" applyNumberFormat="1" applyFill="1"/>
    <xf numFmtId="0" fontId="0" fillId="21" borderId="0" xfId="0" applyFill="1"/>
    <xf numFmtId="4" fontId="94" fillId="0" borderId="0" xfId="0" applyNumberFormat="1" applyFont="1"/>
    <xf numFmtId="4" fontId="95" fillId="14" borderId="0" xfId="0" applyNumberFormat="1" applyFont="1" applyFill="1"/>
    <xf numFmtId="0" fontId="12" fillId="0" borderId="0" xfId="0" quotePrefix="1" applyFont="1" applyFill="1" applyAlignment="1">
      <alignment horizontal="left"/>
    </xf>
    <xf numFmtId="4" fontId="26" fillId="0" borderId="0" xfId="0" applyNumberFormat="1" applyFont="1"/>
    <xf numFmtId="4" fontId="95" fillId="0" borderId="0" xfId="0" applyNumberFormat="1" applyFont="1"/>
    <xf numFmtId="0" fontId="96" fillId="0" borderId="0" xfId="0" applyFont="1"/>
    <xf numFmtId="0" fontId="7" fillId="0" borderId="0" xfId="0" applyFont="1" applyAlignment="1">
      <alignment vertical="center"/>
    </xf>
    <xf numFmtId="0" fontId="97" fillId="0" borderId="0" xfId="0" applyFont="1" applyAlignment="1">
      <alignment vertical="center"/>
    </xf>
    <xf numFmtId="0" fontId="6" fillId="0" borderId="0" xfId="0" applyFont="1" applyAlignment="1">
      <alignment vertical="center"/>
    </xf>
    <xf numFmtId="0" fontId="97" fillId="0" borderId="0" xfId="0" applyFont="1"/>
    <xf numFmtId="0" fontId="19" fillId="0" borderId="0" xfId="0" applyFont="1" applyAlignment="1">
      <alignment vertical="center"/>
    </xf>
    <xf numFmtId="0" fontId="97" fillId="0" borderId="0" xfId="0" applyFont="1" applyAlignment="1">
      <alignment horizontal="right" vertical="center"/>
    </xf>
    <xf numFmtId="0" fontId="8" fillId="20" borderId="9" xfId="0" applyFont="1" applyFill="1" applyBorder="1" applyAlignment="1">
      <alignment horizontal="center" vertical="center"/>
    </xf>
    <xf numFmtId="0" fontId="8" fillId="20" borderId="10" xfId="0" applyFont="1" applyFill="1" applyBorder="1" applyAlignment="1">
      <alignment horizontal="center" vertical="center"/>
    </xf>
    <xf numFmtId="0" fontId="8" fillId="20" borderId="94" xfId="0" applyFont="1" applyFill="1" applyBorder="1" applyAlignment="1">
      <alignment horizontal="center" vertical="center"/>
    </xf>
    <xf numFmtId="0" fontId="8" fillId="0" borderId="12" xfId="0" applyFont="1" applyBorder="1" applyAlignment="1">
      <alignment horizontal="center" vertical="center" wrapText="1" shrinkToFit="1"/>
    </xf>
    <xf numFmtId="0" fontId="8" fillId="0" borderId="13" xfId="0" applyFont="1" applyBorder="1" applyAlignment="1">
      <alignment horizontal="center" vertical="center" wrapText="1" shrinkToFit="1"/>
    </xf>
    <xf numFmtId="0" fontId="8" fillId="0" borderId="95" xfId="0" applyFont="1" applyBorder="1" applyAlignment="1">
      <alignment horizontal="center" vertical="center" wrapText="1" shrinkToFit="1"/>
    </xf>
    <xf numFmtId="0" fontId="8" fillId="0" borderId="101" xfId="0" applyFont="1" applyFill="1" applyBorder="1" applyAlignment="1">
      <alignment horizontal="center" vertical="center" wrapText="1" shrinkToFit="1"/>
    </xf>
    <xf numFmtId="0" fontId="8" fillId="0" borderId="12"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8" fillId="0" borderId="18" xfId="0" applyFont="1" applyFill="1" applyBorder="1" applyAlignment="1">
      <alignment horizontal="center" vertical="center" wrapText="1" shrinkToFit="1"/>
    </xf>
    <xf numFmtId="0" fontId="6" fillId="0" borderId="1" xfId="0" applyFont="1" applyFill="1" applyBorder="1" applyAlignment="1">
      <alignment horizontal="center" vertical="center" wrapText="1" shrinkToFit="1"/>
    </xf>
    <xf numFmtId="0" fontId="8" fillId="20" borderId="30" xfId="0" applyFont="1" applyFill="1" applyBorder="1" applyAlignment="1">
      <alignment horizontal="center" vertical="center"/>
    </xf>
    <xf numFmtId="0" fontId="8" fillId="20" borderId="22" xfId="0" applyFont="1" applyFill="1" applyBorder="1" applyAlignment="1">
      <alignment horizontal="left" vertical="center"/>
    </xf>
    <xf numFmtId="3" fontId="8" fillId="20" borderId="63" xfId="1" applyNumberFormat="1" applyFont="1" applyFill="1" applyBorder="1" applyAlignment="1">
      <alignment horizontal="right" vertical="center"/>
    </xf>
    <xf numFmtId="3" fontId="8" fillId="20" borderId="118" xfId="1" applyNumberFormat="1" applyFont="1" applyFill="1" applyBorder="1" applyAlignment="1">
      <alignment horizontal="right" vertical="center"/>
    </xf>
    <xf numFmtId="3" fontId="8" fillId="20" borderId="119" xfId="1" applyNumberFormat="1" applyFont="1" applyFill="1" applyBorder="1" applyAlignment="1">
      <alignment horizontal="right" vertical="center"/>
    </xf>
    <xf numFmtId="3" fontId="8" fillId="20" borderId="64" xfId="1" applyNumberFormat="1" applyFont="1" applyFill="1" applyBorder="1" applyAlignment="1">
      <alignment horizontal="right" vertical="center"/>
    </xf>
    <xf numFmtId="3" fontId="8" fillId="20" borderId="116" xfId="1" applyNumberFormat="1" applyFont="1" applyFill="1" applyBorder="1" applyAlignment="1">
      <alignment horizontal="right" vertical="center"/>
    </xf>
    <xf numFmtId="3" fontId="8" fillId="20" borderId="117" xfId="1" applyNumberFormat="1" applyFont="1" applyFill="1" applyBorder="1" applyAlignment="1">
      <alignment horizontal="right" vertical="center"/>
    </xf>
    <xf numFmtId="3" fontId="8" fillId="20" borderId="10" xfId="1" applyNumberFormat="1" applyFont="1" applyFill="1" applyBorder="1" applyAlignment="1">
      <alignment horizontal="right" vertical="center"/>
    </xf>
    <xf numFmtId="3" fontId="8" fillId="20" borderId="94" xfId="1" applyNumberFormat="1" applyFont="1" applyFill="1" applyBorder="1" applyAlignment="1">
      <alignment horizontal="right" vertical="center"/>
    </xf>
    <xf numFmtId="3" fontId="8" fillId="20" borderId="120" xfId="1" applyNumberFormat="1" applyFont="1" applyFill="1" applyBorder="1" applyAlignment="1">
      <alignment horizontal="right" vertical="center"/>
    </xf>
    <xf numFmtId="3" fontId="8" fillId="20" borderId="121" xfId="1" applyNumberFormat="1" applyFont="1" applyFill="1" applyBorder="1" applyAlignment="1">
      <alignment horizontal="right" vertical="center"/>
    </xf>
    <xf numFmtId="3" fontId="8" fillId="20" borderId="9" xfId="1" applyNumberFormat="1" applyFont="1" applyFill="1" applyBorder="1" applyAlignment="1">
      <alignment horizontal="right" vertical="center"/>
    </xf>
    <xf numFmtId="3" fontId="8" fillId="20" borderId="22" xfId="1" applyNumberFormat="1" applyFont="1" applyFill="1" applyBorder="1" applyAlignment="1">
      <alignment horizontal="right" vertical="center"/>
    </xf>
    <xf numFmtId="3" fontId="8" fillId="20" borderId="30" xfId="1" applyNumberFormat="1" applyFont="1" applyFill="1" applyBorder="1" applyAlignment="1">
      <alignment horizontal="right" vertical="center"/>
    </xf>
    <xf numFmtId="0" fontId="6" fillId="0" borderId="30" xfId="0" applyFont="1" applyBorder="1" applyAlignment="1">
      <alignment horizontal="center" vertical="center"/>
    </xf>
    <xf numFmtId="0" fontId="6" fillId="0" borderId="22" xfId="0" applyFont="1" applyBorder="1" applyAlignment="1">
      <alignment horizontal="left" vertical="center"/>
    </xf>
    <xf numFmtId="3" fontId="6" fillId="0" borderId="94" xfId="1" applyNumberFormat="1" applyFont="1" applyFill="1" applyBorder="1" applyAlignment="1">
      <alignment horizontal="right" vertical="center"/>
    </xf>
    <xf numFmtId="3" fontId="6" fillId="0" borderId="120" xfId="1" applyNumberFormat="1" applyFont="1" applyFill="1" applyBorder="1" applyAlignment="1">
      <alignment horizontal="right" vertical="center"/>
    </xf>
    <xf numFmtId="3" fontId="6" fillId="0" borderId="121" xfId="1" applyNumberFormat="1" applyFont="1" applyFill="1" applyBorder="1" applyAlignment="1">
      <alignment horizontal="right" vertical="center"/>
    </xf>
    <xf numFmtId="3" fontId="6" fillId="0" borderId="9" xfId="1" applyNumberFormat="1" applyFont="1" applyFill="1" applyBorder="1" applyAlignment="1">
      <alignment horizontal="right" vertical="center"/>
    </xf>
    <xf numFmtId="3" fontId="6" fillId="0" borderId="30" xfId="1" applyNumberFormat="1" applyFont="1" applyFill="1" applyBorder="1" applyAlignment="1">
      <alignment horizontal="right" vertical="center"/>
    </xf>
    <xf numFmtId="3" fontId="6" fillId="8" borderId="10" xfId="1" applyNumberFormat="1" applyFont="1" applyFill="1" applyBorder="1" applyAlignment="1">
      <alignment horizontal="right" vertical="center"/>
    </xf>
    <xf numFmtId="0" fontId="9" fillId="0" borderId="22" xfId="0" applyFont="1" applyBorder="1" applyAlignment="1">
      <alignment horizontal="right" vertical="center"/>
    </xf>
    <xf numFmtId="0" fontId="8" fillId="0" borderId="30" xfId="0" applyFont="1" applyBorder="1" applyAlignment="1">
      <alignment horizontal="center" vertical="center"/>
    </xf>
    <xf numFmtId="0" fontId="8" fillId="0" borderId="22" xfId="0" applyFont="1" applyBorder="1" applyAlignment="1">
      <alignment horizontal="left" vertical="center"/>
    </xf>
    <xf numFmtId="3" fontId="8" fillId="0" borderId="9" xfId="0" applyNumberFormat="1" applyFont="1" applyBorder="1" applyAlignment="1">
      <alignment horizontal="right" vertical="center"/>
    </xf>
    <xf numFmtId="3" fontId="8" fillId="0" borderId="10" xfId="0" applyNumberFormat="1" applyFont="1" applyBorder="1" applyAlignment="1">
      <alignment horizontal="right" vertical="center"/>
    </xf>
    <xf numFmtId="3" fontId="8" fillId="0" borderId="121" xfId="0" applyNumberFormat="1" applyFont="1" applyBorder="1" applyAlignment="1">
      <alignment horizontal="right" vertical="center"/>
    </xf>
    <xf numFmtId="3" fontId="8" fillId="0" borderId="30" xfId="0" applyNumberFormat="1" applyFont="1" applyBorder="1" applyAlignment="1">
      <alignment horizontal="right" vertical="center"/>
    </xf>
    <xf numFmtId="3" fontId="6" fillId="0" borderId="9" xfId="0" applyNumberFormat="1" applyFont="1" applyBorder="1" applyAlignment="1">
      <alignment horizontal="right" vertical="center"/>
    </xf>
    <xf numFmtId="3" fontId="6" fillId="0" borderId="10" xfId="0" applyNumberFormat="1" applyFont="1" applyBorder="1" applyAlignment="1">
      <alignment horizontal="right" vertical="center"/>
    </xf>
    <xf numFmtId="3" fontId="6" fillId="0" borderId="121" xfId="0" applyNumberFormat="1" applyFont="1" applyBorder="1" applyAlignment="1">
      <alignment horizontal="right" vertical="center"/>
    </xf>
    <xf numFmtId="3" fontId="6" fillId="0" borderId="30" xfId="0" applyNumberFormat="1" applyFont="1" applyBorder="1" applyAlignment="1">
      <alignment horizontal="right" vertical="center"/>
    </xf>
    <xf numFmtId="3" fontId="8" fillId="8" borderId="9" xfId="0" applyNumberFormat="1" applyFont="1" applyFill="1" applyBorder="1" applyAlignment="1">
      <alignment horizontal="right" vertical="center"/>
    </xf>
    <xf numFmtId="0" fontId="8" fillId="0" borderId="35" xfId="0" applyFont="1" applyBorder="1" applyAlignment="1">
      <alignment horizontal="left" vertical="center"/>
    </xf>
    <xf numFmtId="3" fontId="6" fillId="0" borderId="34" xfId="0" applyNumberFormat="1" applyFont="1" applyBorder="1" applyAlignment="1">
      <alignment horizontal="right" vertical="center"/>
    </xf>
    <xf numFmtId="3" fontId="6" fillId="0" borderId="29" xfId="0" applyNumberFormat="1" applyFont="1" applyBorder="1" applyAlignment="1">
      <alignment horizontal="right" vertical="center"/>
    </xf>
    <xf numFmtId="3" fontId="6" fillId="0" borderId="122" xfId="0" applyNumberFormat="1" applyFont="1" applyBorder="1" applyAlignment="1">
      <alignment horizontal="right" vertical="center"/>
    </xf>
    <xf numFmtId="3" fontId="6" fillId="0" borderId="31" xfId="0" applyNumberFormat="1" applyFont="1" applyBorder="1" applyAlignment="1">
      <alignment horizontal="right" vertical="center"/>
    </xf>
    <xf numFmtId="0" fontId="6" fillId="20" borderId="30" xfId="0" applyFont="1" applyFill="1" applyBorder="1" applyAlignment="1">
      <alignment horizontal="center" vertical="center"/>
    </xf>
    <xf numFmtId="0" fontId="6" fillId="20" borderId="22" xfId="0" applyFont="1" applyFill="1" applyBorder="1" applyAlignment="1">
      <alignment vertical="center"/>
    </xf>
    <xf numFmtId="3" fontId="6" fillId="20" borderId="10" xfId="1" applyNumberFormat="1" applyFont="1" applyFill="1" applyBorder="1" applyAlignment="1">
      <alignment horizontal="right" vertical="center"/>
    </xf>
    <xf numFmtId="3" fontId="6" fillId="20" borderId="94" xfId="1" applyNumberFormat="1" applyFont="1" applyFill="1" applyBorder="1" applyAlignment="1">
      <alignment horizontal="right" vertical="center"/>
    </xf>
    <xf numFmtId="3" fontId="6" fillId="20" borderId="121" xfId="1" applyNumberFormat="1" applyFont="1" applyFill="1" applyBorder="1" applyAlignment="1">
      <alignment horizontal="right" vertical="center"/>
    </xf>
    <xf numFmtId="3" fontId="6" fillId="20" borderId="9" xfId="1" applyNumberFormat="1" applyFont="1" applyFill="1" applyBorder="1" applyAlignment="1">
      <alignment horizontal="right" vertical="center"/>
    </xf>
    <xf numFmtId="3" fontId="6" fillId="20" borderId="22" xfId="1" applyNumberFormat="1" applyFont="1" applyFill="1" applyBorder="1" applyAlignment="1">
      <alignment horizontal="right" vertical="center"/>
    </xf>
    <xf numFmtId="3" fontId="6" fillId="20" borderId="30" xfId="1" applyNumberFormat="1" applyFont="1" applyFill="1" applyBorder="1" applyAlignment="1">
      <alignment horizontal="right" vertical="center"/>
    </xf>
    <xf numFmtId="0" fontId="6" fillId="0" borderId="22" xfId="0" applyFont="1" applyFill="1" applyBorder="1" applyAlignment="1">
      <alignment horizontal="left" vertical="center"/>
    </xf>
    <xf numFmtId="3" fontId="6" fillId="8" borderId="9" xfId="0" applyNumberFormat="1" applyFont="1" applyFill="1" applyBorder="1" applyAlignment="1">
      <alignment horizontal="right" vertical="center"/>
    </xf>
    <xf numFmtId="0" fontId="6" fillId="20" borderId="21" xfId="0" applyFont="1" applyFill="1" applyBorder="1" applyAlignment="1">
      <alignment horizontal="left" vertical="center"/>
    </xf>
    <xf numFmtId="0" fontId="8" fillId="0" borderId="22" xfId="0" applyFont="1" applyFill="1" applyBorder="1" applyAlignment="1">
      <alignment horizontal="left" vertical="center"/>
    </xf>
    <xf numFmtId="10" fontId="8" fillId="20" borderId="45" xfId="1" applyNumberFormat="1" applyFont="1" applyFill="1" applyBorder="1" applyAlignment="1">
      <alignment horizontal="right" vertical="center"/>
    </xf>
    <xf numFmtId="3" fontId="8" fillId="20" borderId="173" xfId="1" applyNumberFormat="1" applyFont="1" applyFill="1" applyBorder="1" applyAlignment="1">
      <alignment horizontal="right" vertical="center"/>
    </xf>
    <xf numFmtId="3" fontId="8" fillId="20" borderId="174" xfId="1" applyNumberFormat="1" applyFont="1" applyFill="1" applyBorder="1" applyAlignment="1">
      <alignment horizontal="right" vertical="center"/>
    </xf>
    <xf numFmtId="0" fontId="8" fillId="20" borderId="21" xfId="0" applyFont="1" applyFill="1" applyBorder="1" applyAlignment="1">
      <alignment horizontal="left" vertical="center"/>
    </xf>
    <xf numFmtId="10" fontId="6" fillId="20" borderId="121" xfId="1" applyNumberFormat="1" applyFont="1" applyFill="1" applyBorder="1" applyAlignment="1">
      <alignment horizontal="right" vertical="center"/>
    </xf>
    <xf numFmtId="0" fontId="6" fillId="8" borderId="30" xfId="0" applyFont="1" applyFill="1" applyBorder="1" applyAlignment="1">
      <alignment horizontal="center" vertical="center"/>
    </xf>
    <xf numFmtId="0" fontId="6" fillId="8" borderId="22" xfId="0" applyFont="1" applyFill="1" applyBorder="1" applyAlignment="1">
      <alignment horizontal="left" vertical="center"/>
    </xf>
    <xf numFmtId="3" fontId="6" fillId="8" borderId="10" xfId="0" applyNumberFormat="1" applyFont="1" applyFill="1" applyBorder="1" applyAlignment="1">
      <alignment horizontal="right" vertical="center"/>
    </xf>
    <xf numFmtId="3" fontId="6" fillId="8" borderId="94" xfId="1" applyNumberFormat="1" applyFont="1" applyFill="1" applyBorder="1" applyAlignment="1">
      <alignment horizontal="right" vertical="center"/>
    </xf>
    <xf numFmtId="10" fontId="6" fillId="8" borderId="121" xfId="0" applyNumberFormat="1" applyFont="1" applyFill="1" applyBorder="1" applyAlignment="1">
      <alignment horizontal="right" vertical="center"/>
    </xf>
    <xf numFmtId="3" fontId="6" fillId="8" borderId="121" xfId="0" applyNumberFormat="1" applyFont="1" applyFill="1" applyBorder="1" applyAlignment="1">
      <alignment horizontal="right" vertical="center"/>
    </xf>
    <xf numFmtId="3" fontId="6" fillId="8" borderId="22" xfId="1" applyNumberFormat="1" applyFont="1" applyFill="1" applyBorder="1" applyAlignment="1">
      <alignment horizontal="right" vertical="center"/>
    </xf>
    <xf numFmtId="3" fontId="6" fillId="8" borderId="30" xfId="0" applyNumberFormat="1" applyFont="1" applyFill="1" applyBorder="1" applyAlignment="1">
      <alignment horizontal="right" vertical="center"/>
    </xf>
    <xf numFmtId="0" fontId="6" fillId="20" borderId="3" xfId="0" applyFont="1" applyFill="1" applyBorder="1" applyAlignment="1">
      <alignment horizontal="center" vertical="center"/>
    </xf>
    <xf numFmtId="0" fontId="8" fillId="20" borderId="19" xfId="0" applyFont="1" applyFill="1" applyBorder="1" applyAlignment="1">
      <alignment vertical="center"/>
    </xf>
    <xf numFmtId="3" fontId="8" fillId="20" borderId="123" xfId="1" applyNumberFormat="1" applyFont="1" applyFill="1" applyBorder="1" applyAlignment="1">
      <alignment horizontal="right" vertical="center"/>
    </xf>
    <xf numFmtId="10" fontId="8" fillId="20" borderId="124" xfId="1" applyNumberFormat="1" applyFont="1" applyFill="1" applyBorder="1" applyAlignment="1">
      <alignment horizontal="right" vertical="center"/>
    </xf>
    <xf numFmtId="3" fontId="8" fillId="20" borderId="124" xfId="1" applyNumberFormat="1" applyFont="1" applyFill="1" applyBorder="1" applyAlignment="1">
      <alignment horizontal="right" vertical="center"/>
    </xf>
    <xf numFmtId="3" fontId="8" fillId="20" borderId="26" xfId="1" applyNumberFormat="1" applyFont="1" applyFill="1" applyBorder="1" applyAlignment="1">
      <alignment horizontal="right" vertical="center"/>
    </xf>
    <xf numFmtId="0" fontId="21" fillId="0" borderId="0" xfId="0" applyFont="1" applyFill="1" applyBorder="1" applyAlignment="1">
      <alignment vertical="center"/>
    </xf>
    <xf numFmtId="0" fontId="12" fillId="0" borderId="0" xfId="0" applyFont="1" applyAlignment="1">
      <alignment vertical="center"/>
    </xf>
    <xf numFmtId="0" fontId="99" fillId="22" borderId="0" xfId="2" applyFont="1" applyFill="1" applyBorder="1" applyAlignment="1">
      <alignment vertical="center"/>
    </xf>
    <xf numFmtId="49" fontId="66" fillId="22" borderId="0" xfId="2" applyNumberFormat="1" applyFont="1" applyFill="1" applyBorder="1" applyAlignment="1">
      <alignment vertical="center"/>
    </xf>
    <xf numFmtId="3" fontId="66" fillId="22" borderId="0" xfId="2" applyNumberFormat="1" applyFont="1" applyFill="1" applyBorder="1" applyAlignment="1">
      <alignment vertical="center"/>
    </xf>
    <xf numFmtId="49" fontId="66" fillId="0" borderId="0" xfId="2" applyNumberFormat="1" applyFont="1" applyBorder="1" applyAlignment="1">
      <alignment vertical="center"/>
    </xf>
    <xf numFmtId="3" fontId="66" fillId="0" borderId="0" xfId="2" applyNumberFormat="1" applyFont="1" applyBorder="1" applyAlignment="1">
      <alignment vertical="center"/>
    </xf>
    <xf numFmtId="0" fontId="61" fillId="0" borderId="0" xfId="0" applyFont="1" applyAlignment="1">
      <alignment vertical="center"/>
    </xf>
    <xf numFmtId="49" fontId="100" fillId="0" borderId="0" xfId="2" applyNumberFormat="1" applyFont="1" applyBorder="1" applyAlignment="1">
      <alignment vertical="center"/>
    </xf>
    <xf numFmtId="0" fontId="6" fillId="8" borderId="75" xfId="1" applyFont="1" applyFill="1" applyBorder="1" applyAlignment="1">
      <alignment horizontal="left" vertical="center" indent="8"/>
    </xf>
    <xf numFmtId="0" fontId="6" fillId="8" borderId="161" xfId="1" applyFont="1" applyFill="1" applyBorder="1" applyAlignment="1">
      <alignment horizontal="center" vertical="center"/>
    </xf>
    <xf numFmtId="3" fontId="6" fillId="8" borderId="162" xfId="1" applyNumberFormat="1" applyFont="1" applyFill="1" applyBorder="1" applyAlignment="1">
      <alignment horizontal="right" vertical="center"/>
    </xf>
    <xf numFmtId="3" fontId="93" fillId="8" borderId="162" xfId="1" applyNumberFormat="1" applyFont="1" applyFill="1" applyBorder="1" applyAlignment="1">
      <alignment horizontal="right" vertical="center"/>
    </xf>
    <xf numFmtId="0" fontId="6" fillId="23" borderId="163" xfId="1" applyFont="1" applyFill="1" applyBorder="1" applyAlignment="1">
      <alignment horizontal="left" vertical="center" indent="9"/>
    </xf>
    <xf numFmtId="0" fontId="6" fillId="23" borderId="161" xfId="1" applyFont="1" applyFill="1" applyBorder="1" applyAlignment="1">
      <alignment horizontal="center" vertical="center"/>
    </xf>
    <xf numFmtId="3" fontId="6" fillId="23" borderId="162" xfId="1" applyNumberFormat="1" applyFont="1" applyFill="1" applyBorder="1" applyAlignment="1">
      <alignment horizontal="right" vertical="center"/>
    </xf>
    <xf numFmtId="3" fontId="82" fillId="23" borderId="162" xfId="1" applyNumberFormat="1" applyFont="1" applyFill="1" applyBorder="1" applyAlignment="1">
      <alignment horizontal="right" vertical="center"/>
    </xf>
    <xf numFmtId="0" fontId="66" fillId="23" borderId="75" xfId="1" applyFont="1" applyFill="1" applyBorder="1" applyAlignment="1">
      <alignment horizontal="left" vertical="center" indent="7"/>
    </xf>
    <xf numFmtId="3" fontId="66" fillId="23" borderId="162" xfId="1" applyNumberFormat="1" applyFont="1" applyFill="1" applyBorder="1" applyAlignment="1">
      <alignment horizontal="right" vertical="center"/>
    </xf>
    <xf numFmtId="0" fontId="20" fillId="0" borderId="0" xfId="1" applyFont="1" applyFill="1" applyBorder="1" applyAlignment="1">
      <alignment vertical="center"/>
    </xf>
    <xf numFmtId="0" fontId="8" fillId="5" borderId="75" xfId="1" applyFont="1" applyFill="1" applyBorder="1" applyAlignment="1">
      <alignment horizontal="left" vertical="center" indent="1"/>
    </xf>
    <xf numFmtId="0" fontId="57" fillId="0" borderId="0" xfId="0" applyFont="1" applyFill="1" applyAlignment="1">
      <alignment vertical="center"/>
    </xf>
    <xf numFmtId="0" fontId="8" fillId="20" borderId="10" xfId="0" applyFont="1" applyFill="1" applyBorder="1" applyAlignment="1">
      <alignment horizontal="center" vertical="center" wrapText="1" shrinkToFit="1"/>
    </xf>
    <xf numFmtId="0" fontId="8" fillId="0" borderId="18" xfId="0" applyFont="1" applyBorder="1" applyAlignment="1">
      <alignment horizontal="center" vertical="center" wrapText="1" shrinkToFit="1"/>
    </xf>
    <xf numFmtId="0" fontId="8" fillId="0" borderId="13" xfId="0" applyFont="1" applyFill="1" applyBorder="1" applyAlignment="1">
      <alignment horizontal="center" vertical="center" wrapText="1" shrinkToFit="1"/>
    </xf>
    <xf numFmtId="0" fontId="8" fillId="20" borderId="0" xfId="0" applyFont="1" applyFill="1" applyBorder="1" applyAlignment="1">
      <alignment horizontal="left" vertical="center"/>
    </xf>
    <xf numFmtId="0" fontId="8" fillId="20" borderId="84" xfId="0" applyFont="1" applyFill="1" applyBorder="1" applyAlignment="1">
      <alignment horizontal="center" vertical="center"/>
    </xf>
    <xf numFmtId="49" fontId="6" fillId="0" borderId="45" xfId="0" applyNumberFormat="1" applyFont="1" applyFill="1" applyBorder="1" applyAlignment="1">
      <alignment horizontal="center" vertical="center"/>
    </xf>
    <xf numFmtId="0" fontId="6" fillId="0" borderId="84" xfId="0" applyFont="1" applyFill="1" applyBorder="1" applyAlignment="1">
      <alignment vertical="center"/>
    </xf>
    <xf numFmtId="0" fontId="6" fillId="0" borderId="85" xfId="0" applyFont="1" applyFill="1" applyBorder="1" applyAlignment="1">
      <alignment horizontal="center" vertical="center"/>
    </xf>
    <xf numFmtId="0" fontId="6" fillId="0" borderId="51" xfId="0" applyFont="1" applyFill="1" applyBorder="1" applyAlignment="1">
      <alignment vertical="center"/>
    </xf>
    <xf numFmtId="0" fontId="8" fillId="20" borderId="15" xfId="0" applyFont="1" applyFill="1" applyBorder="1" applyAlignment="1">
      <alignment horizontal="center" vertical="center"/>
    </xf>
    <xf numFmtId="3" fontId="8" fillId="20" borderId="15" xfId="0" applyNumberFormat="1" applyFont="1" applyFill="1" applyBorder="1" applyAlignment="1">
      <alignment vertical="center"/>
    </xf>
    <xf numFmtId="3" fontId="8" fillId="20" borderId="16" xfId="0" applyNumberFormat="1" applyFont="1" applyFill="1" applyBorder="1" applyAlignment="1">
      <alignment vertical="center"/>
    </xf>
    <xf numFmtId="3" fontId="8" fillId="20" borderId="40" xfId="0" applyNumberFormat="1" applyFont="1" applyFill="1" applyBorder="1" applyAlignment="1">
      <alignment vertical="center"/>
    </xf>
    <xf numFmtId="3" fontId="8" fillId="20" borderId="30" xfId="0" applyNumberFormat="1" applyFont="1" applyFill="1" applyBorder="1" applyAlignment="1">
      <alignment vertical="center"/>
    </xf>
    <xf numFmtId="3" fontId="8" fillId="20" borderId="10" xfId="0" applyNumberFormat="1" applyFont="1" applyFill="1" applyBorder="1" applyAlignment="1">
      <alignment vertical="center"/>
    </xf>
    <xf numFmtId="3" fontId="8" fillId="20" borderId="22" xfId="0" applyNumberFormat="1" applyFont="1" applyFill="1" applyBorder="1" applyAlignment="1">
      <alignment vertical="center"/>
    </xf>
    <xf numFmtId="0" fontId="6" fillId="0" borderId="30" xfId="0" applyFont="1" applyFill="1" applyBorder="1" applyAlignment="1">
      <alignment horizontal="center" vertical="center"/>
    </xf>
    <xf numFmtId="49" fontId="6" fillId="0" borderId="45" xfId="0" applyNumberFormat="1" applyFont="1" applyBorder="1" applyAlignment="1" applyProtection="1">
      <alignment horizontal="left" vertical="center"/>
    </xf>
    <xf numFmtId="49" fontId="6" fillId="0" borderId="50" xfId="0" applyNumberFormat="1" applyFont="1" applyBorder="1" applyAlignment="1" applyProtection="1">
      <alignment horizontal="left" vertical="center"/>
    </xf>
    <xf numFmtId="3" fontId="6" fillId="0" borderId="30" xfId="0" applyNumberFormat="1" applyFont="1" applyFill="1" applyBorder="1" applyAlignment="1" applyProtection="1">
      <alignment vertical="center"/>
    </xf>
    <xf numFmtId="3" fontId="6" fillId="0" borderId="10" xfId="0" applyNumberFormat="1" applyFont="1" applyFill="1" applyBorder="1" applyAlignment="1" applyProtection="1">
      <alignment vertical="center"/>
    </xf>
    <xf numFmtId="3" fontId="6" fillId="0" borderId="10" xfId="0" applyNumberFormat="1" applyFont="1" applyFill="1" applyBorder="1" applyAlignment="1">
      <alignment vertical="center"/>
    </xf>
    <xf numFmtId="3" fontId="6" fillId="0" borderId="10" xfId="0" applyNumberFormat="1" applyFont="1" applyBorder="1" applyAlignment="1">
      <alignment vertical="center"/>
    </xf>
    <xf numFmtId="3" fontId="6" fillId="0" borderId="22" xfId="0" applyNumberFormat="1" applyFont="1" applyFill="1" applyBorder="1" applyAlignment="1">
      <alignment vertical="center"/>
    </xf>
    <xf numFmtId="49" fontId="6" fillId="0" borderId="45" xfId="0" applyNumberFormat="1" applyFont="1" applyFill="1" applyBorder="1" applyAlignment="1" applyProtection="1">
      <alignment horizontal="left" vertical="center"/>
    </xf>
    <xf numFmtId="49" fontId="6" fillId="0" borderId="50" xfId="0" applyNumberFormat="1" applyFont="1" applyFill="1" applyBorder="1" applyAlignment="1" applyProtection="1">
      <alignment horizontal="left" vertical="center"/>
    </xf>
    <xf numFmtId="0" fontId="6" fillId="0" borderId="45" xfId="0" applyFont="1" applyFill="1" applyBorder="1" applyAlignment="1">
      <alignment horizontal="left" vertical="center" indent="1"/>
    </xf>
    <xf numFmtId="0" fontId="6" fillId="0" borderId="50" xfId="0" applyFont="1" applyFill="1" applyBorder="1" applyAlignment="1">
      <alignment horizontal="left" vertical="center"/>
    </xf>
    <xf numFmtId="0" fontId="8" fillId="0" borderId="45" xfId="0" applyFont="1" applyFill="1" applyBorder="1" applyAlignment="1">
      <alignment horizontal="left" vertical="center" indent="1"/>
    </xf>
    <xf numFmtId="3" fontId="8" fillId="20" borderId="10" xfId="0" applyNumberFormat="1" applyFont="1" applyFill="1" applyBorder="1" applyAlignment="1">
      <alignment horizontal="right" vertical="center" wrapText="1" shrinkToFit="1"/>
    </xf>
    <xf numFmtId="0" fontId="6" fillId="0" borderId="45" xfId="0" applyFont="1" applyFill="1" applyBorder="1" applyAlignment="1">
      <alignment vertical="center"/>
    </xf>
    <xf numFmtId="0" fontId="6" fillId="0" borderId="45" xfId="0" applyFont="1" applyFill="1" applyBorder="1" applyAlignment="1">
      <alignment horizontal="left" vertical="center"/>
    </xf>
    <xf numFmtId="3" fontId="6" fillId="0" borderId="30" xfId="0" applyNumberFormat="1" applyFont="1" applyFill="1" applyBorder="1" applyAlignment="1">
      <alignment vertical="center"/>
    </xf>
    <xf numFmtId="3" fontId="8" fillId="8" borderId="10" xfId="0" applyNumberFormat="1" applyFont="1" applyFill="1" applyBorder="1" applyAlignment="1">
      <alignment vertical="center"/>
    </xf>
    <xf numFmtId="3" fontId="6" fillId="0" borderId="31" xfId="0" applyNumberFormat="1" applyFont="1" applyFill="1" applyBorder="1" applyAlignment="1">
      <alignment vertical="center"/>
    </xf>
    <xf numFmtId="3" fontId="6" fillId="0" borderId="29" xfId="0" applyNumberFormat="1" applyFont="1" applyFill="1" applyBorder="1" applyAlignment="1">
      <alignment vertical="center"/>
    </xf>
    <xf numFmtId="3" fontId="8" fillId="5" borderId="10" xfId="0" applyNumberFormat="1" applyFont="1" applyFill="1" applyBorder="1" applyAlignment="1">
      <alignment vertical="center"/>
    </xf>
    <xf numFmtId="0" fontId="6" fillId="0" borderId="31" xfId="0" applyFont="1" applyBorder="1" applyAlignment="1">
      <alignment horizontal="center" vertical="center"/>
    </xf>
    <xf numFmtId="0" fontId="6" fillId="0" borderId="0" xfId="0" applyFont="1" applyFill="1" applyBorder="1" applyAlignment="1">
      <alignment horizontal="center" vertical="center"/>
    </xf>
    <xf numFmtId="3" fontId="6" fillId="0" borderId="31" xfId="0" applyNumberFormat="1" applyFont="1" applyBorder="1" applyAlignment="1">
      <alignment vertical="center"/>
    </xf>
    <xf numFmtId="3" fontId="6" fillId="0" borderId="61" xfId="0" applyNumberFormat="1" applyFont="1" applyBorder="1" applyAlignment="1">
      <alignment vertical="center"/>
    </xf>
    <xf numFmtId="3" fontId="6" fillId="0" borderId="29" xfId="0" applyNumberFormat="1" applyFont="1" applyBorder="1" applyAlignment="1">
      <alignment vertical="center"/>
    </xf>
    <xf numFmtId="0" fontId="8" fillId="20" borderId="38" xfId="0" applyFont="1" applyFill="1" applyBorder="1" applyAlignment="1">
      <alignment horizontal="center" vertical="center"/>
    </xf>
    <xf numFmtId="0" fontId="6" fillId="0" borderId="39" xfId="0" applyFont="1" applyBorder="1" applyAlignment="1">
      <alignment horizontal="center" vertical="center"/>
    </xf>
    <xf numFmtId="49" fontId="6" fillId="0" borderId="27" xfId="0" applyNumberFormat="1" applyFont="1" applyBorder="1" applyAlignment="1" applyProtection="1">
      <alignment horizontal="left" vertical="center"/>
    </xf>
    <xf numFmtId="3" fontId="6" fillId="8" borderId="31" xfId="0" applyNumberFormat="1" applyFont="1" applyFill="1" applyBorder="1" applyAlignment="1">
      <alignment vertical="center"/>
    </xf>
    <xf numFmtId="3" fontId="6" fillId="0" borderId="35" xfId="0" applyNumberFormat="1" applyFont="1" applyFill="1" applyBorder="1" applyAlignment="1">
      <alignment vertical="center"/>
    </xf>
    <xf numFmtId="0" fontId="6" fillId="0" borderId="38" xfId="0" applyFont="1" applyBorder="1" applyAlignment="1">
      <alignment horizontal="center" vertical="center"/>
    </xf>
    <xf numFmtId="0" fontId="6" fillId="0" borderId="127" xfId="0" applyFont="1" applyBorder="1" applyAlignment="1">
      <alignment horizontal="center" vertical="center"/>
    </xf>
    <xf numFmtId="49" fontId="6" fillId="0" borderId="32" xfId="0" applyNumberFormat="1" applyFont="1" applyBorder="1" applyAlignment="1" applyProtection="1">
      <alignment horizontal="left" vertical="center"/>
    </xf>
    <xf numFmtId="49" fontId="6" fillId="0" borderId="51" xfId="0" applyNumberFormat="1" applyFont="1" applyBorder="1" applyAlignment="1" applyProtection="1">
      <alignment horizontal="left" vertical="center"/>
    </xf>
    <xf numFmtId="3" fontId="6" fillId="0" borderId="137" xfId="0" applyNumberFormat="1" applyFont="1" applyFill="1" applyBorder="1" applyAlignment="1">
      <alignment vertical="center"/>
    </xf>
    <xf numFmtId="0" fontId="6" fillId="0" borderId="134" xfId="0" applyFont="1" applyBorder="1" applyAlignment="1">
      <alignment horizontal="center" vertical="center"/>
    </xf>
    <xf numFmtId="49" fontId="6" fillId="0" borderId="83" xfId="0" applyNumberFormat="1" applyFont="1" applyBorder="1" applyAlignment="1" applyProtection="1">
      <alignment horizontal="left" vertical="center"/>
    </xf>
    <xf numFmtId="49" fontId="6" fillId="0" borderId="87" xfId="0" applyNumberFormat="1" applyFont="1" applyBorder="1" applyAlignment="1" applyProtection="1">
      <alignment horizontal="left" vertical="center"/>
    </xf>
    <xf numFmtId="3" fontId="6" fillId="0" borderId="65" xfId="0" applyNumberFormat="1" applyFont="1" applyFill="1" applyBorder="1" applyAlignment="1">
      <alignment vertical="center"/>
    </xf>
    <xf numFmtId="3" fontId="6" fillId="0" borderId="41" xfId="0" applyNumberFormat="1" applyFont="1" applyBorder="1" applyAlignment="1">
      <alignment vertical="center"/>
    </xf>
    <xf numFmtId="0" fontId="8" fillId="20" borderId="2" xfId="0" applyFont="1" applyFill="1" applyBorder="1" applyAlignment="1">
      <alignment horizontal="center" vertical="center"/>
    </xf>
    <xf numFmtId="0" fontId="8" fillId="20" borderId="123" xfId="0" applyFont="1" applyFill="1" applyBorder="1" applyAlignment="1">
      <alignment horizontal="left" vertical="center"/>
    </xf>
    <xf numFmtId="0" fontId="8" fillId="20" borderId="23" xfId="0" applyFont="1" applyFill="1" applyBorder="1" applyAlignment="1">
      <alignment vertical="center"/>
    </xf>
    <xf numFmtId="3" fontId="8" fillId="20" borderId="3" xfId="0" applyNumberFormat="1" applyFont="1" applyFill="1" applyBorder="1" applyAlignment="1">
      <alignment vertical="center"/>
    </xf>
    <xf numFmtId="3" fontId="8" fillId="20" borderId="4" xfId="0" applyNumberFormat="1" applyFont="1" applyFill="1" applyBorder="1" applyAlignment="1">
      <alignment vertical="center"/>
    </xf>
    <xf numFmtId="3" fontId="8" fillId="20" borderId="19" xfId="0" applyNumberFormat="1" applyFont="1" applyFill="1" applyBorder="1" applyAlignment="1">
      <alignment vertical="center"/>
    </xf>
    <xf numFmtId="0" fontId="101" fillId="8" borderId="0" xfId="0" applyFont="1" applyFill="1" applyAlignment="1">
      <alignment vertical="center"/>
    </xf>
    <xf numFmtId="0" fontId="6" fillId="0" borderId="45" xfId="0" quotePrefix="1" applyFont="1" applyFill="1" applyBorder="1" applyAlignment="1">
      <alignment horizontal="left" vertical="center"/>
    </xf>
    <xf numFmtId="0" fontId="6" fillId="0" borderId="50" xfId="0" quotePrefix="1" applyFont="1" applyFill="1" applyBorder="1" applyAlignment="1">
      <alignment horizontal="left" vertical="center"/>
    </xf>
    <xf numFmtId="49" fontId="6" fillId="8" borderId="50" xfId="0" applyNumberFormat="1" applyFont="1" applyFill="1" applyBorder="1" applyAlignment="1" applyProtection="1">
      <alignment horizontal="left" vertical="center"/>
    </xf>
    <xf numFmtId="3" fontId="6" fillId="8" borderId="29" xfId="0" applyNumberFormat="1" applyFont="1" applyFill="1" applyBorder="1" applyAlignment="1">
      <alignment vertical="center"/>
    </xf>
    <xf numFmtId="0" fontId="6" fillId="8" borderId="45" xfId="0" applyFont="1" applyFill="1" applyBorder="1" applyAlignment="1">
      <alignment horizontal="left" vertical="center"/>
    </xf>
    <xf numFmtId="3" fontId="6" fillId="8" borderId="10" xfId="0" applyNumberFormat="1" applyFont="1" applyFill="1" applyBorder="1" applyAlignment="1">
      <alignment vertical="center"/>
    </xf>
    <xf numFmtId="3" fontId="6" fillId="8" borderId="22" xfId="0" applyNumberFormat="1" applyFont="1" applyFill="1" applyBorder="1" applyAlignment="1">
      <alignment vertical="center"/>
    </xf>
    <xf numFmtId="0" fontId="97" fillId="8" borderId="0" xfId="0" applyFont="1" applyFill="1" applyAlignment="1">
      <alignment vertical="center"/>
    </xf>
    <xf numFmtId="49" fontId="6" fillId="0" borderId="50" xfId="0" quotePrefix="1" applyNumberFormat="1" applyFont="1" applyBorder="1" applyAlignment="1" applyProtection="1">
      <alignment horizontal="left" vertical="center"/>
    </xf>
    <xf numFmtId="3" fontId="0" fillId="0" borderId="0" xfId="0" applyNumberFormat="1" applyAlignment="1">
      <alignment vertical="center"/>
    </xf>
    <xf numFmtId="4" fontId="0" fillId="0" borderId="0" xfId="0" applyNumberFormat="1" applyAlignment="1">
      <alignment vertical="center"/>
    </xf>
    <xf numFmtId="4" fontId="97" fillId="0" borderId="0" xfId="0" applyNumberFormat="1" applyFont="1" applyAlignment="1">
      <alignment vertical="center"/>
    </xf>
    <xf numFmtId="3" fontId="6" fillId="8" borderId="30" xfId="0" applyNumberFormat="1" applyFont="1" applyFill="1" applyBorder="1" applyAlignment="1">
      <alignment vertical="center"/>
    </xf>
    <xf numFmtId="0" fontId="20" fillId="14" borderId="0" xfId="1" quotePrefix="1" applyFont="1" applyFill="1" applyAlignment="1">
      <alignment horizontal="left" vertical="center"/>
    </xf>
    <xf numFmtId="0" fontId="0" fillId="0" borderId="0" xfId="0" applyAlignment="1" applyProtection="1">
      <alignment horizontal="left" vertical="top"/>
      <protection locked="0"/>
    </xf>
    <xf numFmtId="0" fontId="0" fillId="0" borderId="0" xfId="0" applyAlignment="1" applyProtection="1">
      <alignment horizontal="right" vertical="top"/>
      <protection locked="0"/>
    </xf>
    <xf numFmtId="0" fontId="0" fillId="0" borderId="0" xfId="0" applyProtection="1">
      <protection locked="0"/>
    </xf>
    <xf numFmtId="0" fontId="103" fillId="0" borderId="0" xfId="0" applyFont="1" applyBorder="1" applyAlignment="1" applyProtection="1">
      <alignment horizontal="left" vertical="center"/>
      <protection locked="0"/>
    </xf>
    <xf numFmtId="0" fontId="0" fillId="0" borderId="0" xfId="0" applyBorder="1" applyAlignment="1" applyProtection="1">
      <alignment horizontal="left" vertical="center"/>
      <protection locked="0"/>
    </xf>
    <xf numFmtId="0" fontId="0" fillId="0" borderId="0" xfId="0" applyBorder="1" applyAlignment="1" applyProtection="1">
      <alignment horizontal="right" vertical="center"/>
      <protection locked="0"/>
    </xf>
    <xf numFmtId="0" fontId="0" fillId="0" borderId="0" xfId="0" applyBorder="1" applyAlignment="1" applyProtection="1">
      <alignment vertical="center"/>
      <protection locked="0"/>
    </xf>
    <xf numFmtId="4" fontId="104" fillId="10" borderId="175" xfId="0" applyNumberFormat="1" applyFont="1" applyFill="1" applyBorder="1" applyAlignment="1" applyProtection="1">
      <alignment horizontal="center" vertical="center"/>
      <protection locked="0"/>
    </xf>
    <xf numFmtId="0" fontId="104" fillId="10" borderId="175" xfId="0" applyFont="1" applyFill="1" applyBorder="1" applyAlignment="1" applyProtection="1">
      <alignment horizontal="center" vertical="center"/>
      <protection locked="0"/>
    </xf>
    <xf numFmtId="4" fontId="0" fillId="0" borderId="175" xfId="0" applyNumberFormat="1" applyBorder="1" applyAlignment="1" applyProtection="1">
      <alignment horizontal="left" vertical="center"/>
      <protection locked="0"/>
    </xf>
    <xf numFmtId="4" fontId="105" fillId="0" borderId="175" xfId="0" applyNumberFormat="1" applyFont="1" applyBorder="1" applyAlignment="1" applyProtection="1">
      <alignment horizontal="left" vertical="center"/>
      <protection locked="0"/>
    </xf>
    <xf numFmtId="4" fontId="0" fillId="0" borderId="175" xfId="0" applyNumberFormat="1" applyBorder="1" applyAlignment="1" applyProtection="1">
      <alignment horizontal="right" vertical="center"/>
      <protection locked="0"/>
    </xf>
    <xf numFmtId="0" fontId="0" fillId="0" borderId="175" xfId="0" applyBorder="1" applyAlignment="1" applyProtection="1">
      <alignment vertical="center"/>
      <protection locked="0"/>
    </xf>
    <xf numFmtId="0" fontId="0" fillId="0" borderId="175" xfId="0" applyNumberFormat="1" applyBorder="1" applyAlignment="1" applyProtection="1">
      <alignment horizontal="left" vertical="center"/>
      <protection locked="0"/>
    </xf>
    <xf numFmtId="0" fontId="106" fillId="0" borderId="175" xfId="0" applyNumberFormat="1" applyFont="1" applyBorder="1" applyAlignment="1" applyProtection="1">
      <alignment horizontal="left" vertical="center"/>
      <protection locked="0"/>
    </xf>
    <xf numFmtId="0" fontId="107" fillId="0" borderId="175" xfId="0" applyFont="1" applyBorder="1" applyAlignment="1" applyProtection="1">
      <alignment horizontal="left" vertical="center"/>
      <protection locked="0"/>
    </xf>
    <xf numFmtId="4" fontId="0" fillId="0" borderId="175" xfId="0" quotePrefix="1" applyNumberFormat="1" applyBorder="1" applyAlignment="1" applyProtection="1">
      <alignment horizontal="left" vertical="center"/>
      <protection locked="0"/>
    </xf>
    <xf numFmtId="4" fontId="107" fillId="0" borderId="175" xfId="0" quotePrefix="1" applyNumberFormat="1" applyFont="1" applyBorder="1" applyAlignment="1" applyProtection="1">
      <alignment horizontal="left" vertical="center"/>
      <protection locked="0"/>
    </xf>
    <xf numFmtId="4" fontId="107" fillId="0" borderId="175" xfId="0" applyNumberFormat="1" applyFont="1" applyBorder="1" applyAlignment="1" applyProtection="1">
      <alignment horizontal="right" vertical="center"/>
      <protection locked="0"/>
    </xf>
    <xf numFmtId="0" fontId="108" fillId="0" borderId="175" xfId="0" applyNumberFormat="1" applyFont="1" applyBorder="1" applyAlignment="1" applyProtection="1">
      <alignment horizontal="left" vertical="center"/>
      <protection locked="0"/>
    </xf>
    <xf numFmtId="0" fontId="0" fillId="0" borderId="175" xfId="0" applyBorder="1" applyAlignment="1" applyProtection="1">
      <alignment horizontal="left" vertical="center"/>
      <protection locked="0"/>
    </xf>
    <xf numFmtId="4" fontId="106" fillId="0" borderId="175" xfId="0" applyNumberFormat="1" applyFont="1" applyBorder="1" applyAlignment="1" applyProtection="1">
      <alignment horizontal="right" vertical="center"/>
      <protection locked="0"/>
    </xf>
    <xf numFmtId="0" fontId="105" fillId="0" borderId="175" xfId="0" applyFont="1" applyBorder="1" applyAlignment="1" applyProtection="1">
      <alignment horizontal="left" vertical="center"/>
      <protection locked="0"/>
    </xf>
    <xf numFmtId="4" fontId="105" fillId="0" borderId="175" xfId="0" quotePrefix="1" applyNumberFormat="1" applyFont="1" applyBorder="1" applyAlignment="1" applyProtection="1">
      <alignment horizontal="left" vertical="center"/>
      <protection locked="0"/>
    </xf>
    <xf numFmtId="4" fontId="105" fillId="0" borderId="175" xfId="0" applyNumberFormat="1" applyFont="1" applyBorder="1" applyAlignment="1" applyProtection="1">
      <alignment horizontal="right" vertical="center"/>
      <protection locked="0"/>
    </xf>
    <xf numFmtId="4" fontId="108" fillId="0" borderId="175" xfId="0" applyNumberFormat="1" applyFont="1" applyBorder="1" applyAlignment="1" applyProtection="1">
      <alignment horizontal="right" vertical="center"/>
      <protection locked="0"/>
    </xf>
    <xf numFmtId="0" fontId="109" fillId="0" borderId="175" xfId="0" applyNumberFormat="1" applyFont="1" applyBorder="1" applyAlignment="1" applyProtection="1">
      <alignment horizontal="left" vertical="center"/>
      <protection locked="0"/>
    </xf>
    <xf numFmtId="0" fontId="110" fillId="0" borderId="175" xfId="0" applyNumberFormat="1" applyFont="1" applyBorder="1" applyAlignment="1" applyProtection="1">
      <alignment horizontal="left" vertical="center"/>
      <protection locked="0"/>
    </xf>
    <xf numFmtId="0" fontId="109" fillId="0" borderId="175" xfId="0" applyFont="1" applyBorder="1" applyAlignment="1" applyProtection="1">
      <alignment horizontal="left" vertical="center"/>
      <protection locked="0"/>
    </xf>
    <xf numFmtId="4" fontId="109" fillId="0" borderId="175" xfId="0" quotePrefix="1" applyNumberFormat="1" applyFont="1" applyBorder="1" applyAlignment="1" applyProtection="1">
      <alignment horizontal="left" vertical="center"/>
      <protection locked="0"/>
    </xf>
    <xf numFmtId="4" fontId="109" fillId="0" borderId="175" xfId="0" applyNumberFormat="1" applyFont="1" applyBorder="1" applyAlignment="1" applyProtection="1">
      <alignment horizontal="left" vertical="center"/>
      <protection locked="0"/>
    </xf>
    <xf numFmtId="4" fontId="110" fillId="0" borderId="175" xfId="0" applyNumberFormat="1" applyFont="1" applyBorder="1" applyAlignment="1" applyProtection="1">
      <alignment horizontal="right" vertical="center"/>
      <protection locked="0"/>
    </xf>
    <xf numFmtId="0" fontId="110" fillId="0" borderId="175" xfId="0" quotePrefix="1" applyFont="1" applyBorder="1" applyAlignment="1" applyProtection="1">
      <alignment horizontal="left" vertical="center"/>
      <protection locked="0"/>
    </xf>
    <xf numFmtId="0" fontId="111" fillId="0" borderId="175" xfId="0" applyNumberFormat="1" applyFont="1" applyBorder="1" applyAlignment="1" applyProtection="1">
      <alignment horizontal="left" vertical="center"/>
      <protection locked="0"/>
    </xf>
    <xf numFmtId="0" fontId="112" fillId="0" borderId="175" xfId="0" applyFont="1" applyBorder="1" applyAlignment="1" applyProtection="1">
      <alignment horizontal="left" vertical="center"/>
      <protection locked="0"/>
    </xf>
    <xf numFmtId="4" fontId="112" fillId="0" borderId="175" xfId="0" quotePrefix="1" applyNumberFormat="1" applyFont="1" applyBorder="1" applyAlignment="1" applyProtection="1">
      <alignment horizontal="left" vertical="center"/>
      <protection locked="0"/>
    </xf>
    <xf numFmtId="4" fontId="112" fillId="0" borderId="175" xfId="0" applyNumberFormat="1" applyFont="1" applyBorder="1" applyAlignment="1" applyProtection="1">
      <alignment horizontal="right" vertical="center"/>
      <protection locked="0"/>
    </xf>
    <xf numFmtId="4" fontId="111" fillId="0" borderId="175" xfId="0" applyNumberFormat="1" applyFont="1" applyBorder="1" applyAlignment="1" applyProtection="1">
      <alignment horizontal="right" vertical="center"/>
      <protection locked="0"/>
    </xf>
    <xf numFmtId="0" fontId="7" fillId="0" borderId="0" xfId="1" applyFont="1" applyFill="1" applyAlignment="1" applyProtection="1">
      <alignment vertical="center"/>
      <protection locked="0"/>
    </xf>
    <xf numFmtId="0" fontId="6" fillId="0" borderId="0" xfId="1" applyFont="1" applyBorder="1" applyAlignment="1" applyProtection="1">
      <alignment horizontal="center" vertical="center"/>
      <protection locked="0"/>
    </xf>
    <xf numFmtId="0" fontId="11" fillId="0" borderId="188" xfId="1" applyFont="1" applyFill="1" applyBorder="1" applyAlignment="1" applyProtection="1">
      <alignment horizontal="center" vertical="center"/>
      <protection locked="0"/>
    </xf>
    <xf numFmtId="0" fontId="11" fillId="0" borderId="190" xfId="1" applyFont="1" applyFill="1" applyBorder="1" applyAlignment="1" applyProtection="1">
      <alignment horizontal="center" vertical="center" wrapText="1"/>
      <protection locked="0"/>
    </xf>
    <xf numFmtId="0" fontId="11" fillId="0" borderId="191" xfId="1" applyFont="1" applyFill="1" applyBorder="1" applyAlignment="1" applyProtection="1">
      <alignment horizontal="center" vertical="center" wrapText="1"/>
      <protection locked="0"/>
    </xf>
    <xf numFmtId="0" fontId="11" fillId="0" borderId="192" xfId="1" applyFont="1" applyFill="1" applyBorder="1" applyAlignment="1" applyProtection="1">
      <alignment horizontal="center" vertical="center"/>
      <protection locked="0"/>
    </xf>
    <xf numFmtId="2" fontId="11" fillId="0" borderId="194" xfId="1" applyNumberFormat="1" applyFont="1" applyFill="1" applyBorder="1" applyAlignment="1" applyProtection="1">
      <alignment horizontal="center" vertical="center" wrapText="1"/>
      <protection locked="0"/>
    </xf>
    <xf numFmtId="0" fontId="11" fillId="0" borderId="193" xfId="1" applyFont="1" applyFill="1" applyBorder="1" applyAlignment="1" applyProtection="1">
      <alignment horizontal="center" vertical="center" wrapText="1"/>
      <protection locked="0"/>
    </xf>
    <xf numFmtId="0" fontId="11" fillId="20" borderId="195" xfId="1" applyFont="1" applyFill="1" applyBorder="1" applyAlignment="1" applyProtection="1">
      <alignment horizontal="center" vertical="center"/>
      <protection locked="0"/>
    </xf>
    <xf numFmtId="0" fontId="8" fillId="20" borderId="135" xfId="1" applyFont="1" applyFill="1" applyBorder="1" applyAlignment="1" applyProtection="1">
      <alignment horizontal="left" vertical="center" indent="1" readingOrder="1"/>
      <protection locked="0"/>
    </xf>
    <xf numFmtId="0" fontId="11" fillId="20" borderId="196" xfId="1" applyFont="1" applyFill="1" applyBorder="1" applyAlignment="1" applyProtection="1">
      <alignment vertical="center"/>
      <protection locked="0"/>
    </xf>
    <xf numFmtId="3" fontId="11" fillId="20" borderId="197" xfId="1" applyNumberFormat="1" applyFont="1" applyFill="1" applyBorder="1" applyAlignment="1" applyProtection="1">
      <alignment vertical="center"/>
      <protection locked="0"/>
    </xf>
    <xf numFmtId="3" fontId="11" fillId="20" borderId="198" xfId="1" applyNumberFormat="1" applyFont="1" applyFill="1" applyBorder="1" applyAlignment="1" applyProtection="1">
      <alignment vertical="center"/>
      <protection locked="0"/>
    </xf>
    <xf numFmtId="0" fontId="10" fillId="0" borderId="199" xfId="1" applyFont="1" applyFill="1" applyBorder="1" applyAlignment="1" applyProtection="1">
      <alignment horizontal="center" vertical="center"/>
      <protection locked="0"/>
    </xf>
    <xf numFmtId="3" fontId="11" fillId="8" borderId="197" xfId="1" applyNumberFormat="1" applyFont="1" applyFill="1" applyBorder="1" applyAlignment="1" applyProtection="1">
      <alignment horizontal="center" vertical="center"/>
      <protection locked="0"/>
    </xf>
    <xf numFmtId="3" fontId="11" fillId="0" borderId="201" xfId="1" applyNumberFormat="1" applyFont="1" applyFill="1" applyBorder="1" applyAlignment="1" applyProtection="1">
      <alignment horizontal="center" vertical="center"/>
      <protection locked="0"/>
    </xf>
    <xf numFmtId="3" fontId="8" fillId="0" borderId="198" xfId="1" applyNumberFormat="1" applyFont="1" applyFill="1" applyBorder="1" applyAlignment="1">
      <alignment horizontal="right" vertical="center"/>
    </xf>
    <xf numFmtId="3" fontId="8" fillId="0" borderId="202" xfId="1" applyNumberFormat="1" applyFont="1" applyFill="1" applyBorder="1" applyAlignment="1">
      <alignment horizontal="right" vertical="center"/>
    </xf>
    <xf numFmtId="0" fontId="10" fillId="0" borderId="176" xfId="1" applyFont="1" applyFill="1" applyBorder="1" applyAlignment="1" applyProtection="1">
      <alignment horizontal="center" vertical="center"/>
      <protection locked="0"/>
    </xf>
    <xf numFmtId="3" fontId="11" fillId="8" borderId="204" xfId="1" applyNumberFormat="1" applyFont="1" applyFill="1" applyBorder="1" applyAlignment="1" applyProtection="1">
      <alignment vertical="center" wrapText="1"/>
      <protection locked="0"/>
    </xf>
    <xf numFmtId="3" fontId="11" fillId="0" borderId="204" xfId="1" applyNumberFormat="1" applyFont="1" applyFill="1" applyBorder="1" applyAlignment="1" applyProtection="1">
      <alignment vertical="center"/>
      <protection locked="0"/>
    </xf>
    <xf numFmtId="3" fontId="11" fillId="0" borderId="205" xfId="1" applyNumberFormat="1" applyFont="1" applyFill="1" applyBorder="1" applyAlignment="1" applyProtection="1">
      <alignment vertical="center"/>
      <protection locked="0"/>
    </xf>
    <xf numFmtId="3" fontId="8" fillId="0" borderId="207" xfId="1" applyNumberFormat="1" applyFont="1" applyFill="1" applyBorder="1" applyAlignment="1" applyProtection="1">
      <alignment horizontal="right" vertical="center"/>
      <protection locked="0"/>
    </xf>
    <xf numFmtId="3" fontId="6" fillId="0" borderId="206" xfId="1" applyNumberFormat="1" applyFont="1" applyFill="1" applyBorder="1" applyAlignment="1" applyProtection="1">
      <alignment horizontal="right" vertical="center"/>
      <protection locked="0"/>
    </xf>
    <xf numFmtId="0" fontId="10" fillId="0" borderId="208" xfId="1" applyFont="1" applyFill="1" applyBorder="1" applyAlignment="1" applyProtection="1">
      <alignment horizontal="center" vertical="center"/>
      <protection locked="0"/>
    </xf>
    <xf numFmtId="0" fontId="10" fillId="0" borderId="209" xfId="1" applyFont="1" applyFill="1" applyBorder="1" applyAlignment="1" applyProtection="1">
      <alignment horizontal="left" vertical="center" wrapText="1"/>
      <protection locked="0"/>
    </xf>
    <xf numFmtId="3" fontId="6" fillId="0" borderId="211" xfId="1" applyNumberFormat="1" applyFont="1" applyFill="1" applyBorder="1" applyAlignment="1" applyProtection="1">
      <alignment horizontal="right" vertical="center"/>
      <protection locked="0"/>
    </xf>
    <xf numFmtId="0" fontId="10" fillId="0" borderId="213" xfId="1" applyFont="1" applyFill="1" applyBorder="1" applyAlignment="1" applyProtection="1">
      <alignment horizontal="center" vertical="center"/>
      <protection locked="0"/>
    </xf>
    <xf numFmtId="0" fontId="10" fillId="0" borderId="214" xfId="1" applyFont="1" applyFill="1" applyBorder="1" applyAlignment="1" applyProtection="1">
      <alignment horizontal="left" vertical="center" wrapText="1"/>
      <protection locked="0"/>
    </xf>
    <xf numFmtId="3" fontId="10" fillId="0" borderId="216" xfId="1" applyNumberFormat="1" applyFont="1" applyFill="1" applyBorder="1" applyAlignment="1" applyProtection="1">
      <alignment vertical="center"/>
      <protection locked="0"/>
    </xf>
    <xf numFmtId="3" fontId="10" fillId="0" borderId="58" xfId="1" applyNumberFormat="1" applyFont="1" applyFill="1" applyBorder="1" applyAlignment="1" applyProtection="1">
      <alignment vertical="center" wrapText="1"/>
      <protection locked="0"/>
    </xf>
    <xf numFmtId="3" fontId="10" fillId="0" borderId="67" xfId="1" applyNumberFormat="1" applyFont="1" applyFill="1" applyBorder="1" applyAlignment="1" applyProtection="1">
      <alignment vertical="center"/>
      <protection locked="0"/>
    </xf>
    <xf numFmtId="0" fontId="10" fillId="0" borderId="218" xfId="1" applyFont="1" applyFill="1" applyBorder="1" applyAlignment="1" applyProtection="1">
      <alignment horizontal="center" vertical="center"/>
      <protection locked="0"/>
    </xf>
    <xf numFmtId="3" fontId="11" fillId="0" borderId="204" xfId="1" applyNumberFormat="1" applyFont="1" applyFill="1" applyBorder="1" applyAlignment="1" applyProtection="1">
      <alignment horizontal="center" vertical="center" wrapText="1"/>
      <protection locked="0"/>
    </xf>
    <xf numFmtId="3" fontId="11" fillId="0" borderId="205" xfId="1" applyNumberFormat="1" applyFont="1" applyFill="1" applyBorder="1" applyAlignment="1" applyProtection="1">
      <alignment horizontal="center" vertical="center"/>
      <protection locked="0"/>
    </xf>
    <xf numFmtId="3" fontId="11" fillId="0" borderId="197" xfId="1" applyNumberFormat="1" applyFont="1" applyFill="1" applyBorder="1" applyAlignment="1" applyProtection="1">
      <alignment vertical="center" wrapText="1"/>
      <protection locked="0"/>
    </xf>
    <xf numFmtId="3" fontId="11" fillId="0" borderId="197" xfId="1" applyNumberFormat="1" applyFont="1" applyFill="1" applyBorder="1" applyAlignment="1" applyProtection="1">
      <alignment horizontal="center" vertical="center"/>
      <protection locked="0"/>
    </xf>
    <xf numFmtId="3" fontId="8" fillId="0" borderId="202" xfId="1" applyNumberFormat="1" applyFont="1" applyFill="1" applyBorder="1" applyAlignment="1" applyProtection="1">
      <alignment horizontal="right" vertical="center"/>
      <protection locked="0"/>
    </xf>
    <xf numFmtId="3" fontId="6" fillId="0" borderId="198" xfId="1" applyNumberFormat="1" applyFont="1" applyFill="1" applyBorder="1" applyAlignment="1" applyProtection="1">
      <alignment horizontal="right" vertical="center"/>
      <protection locked="0"/>
    </xf>
    <xf numFmtId="0" fontId="10" fillId="0" borderId="219" xfId="1" applyFont="1" applyFill="1" applyBorder="1" applyAlignment="1" applyProtection="1">
      <alignment horizontal="center" vertical="center"/>
      <protection locked="0"/>
    </xf>
    <xf numFmtId="0" fontId="10" fillId="0" borderId="182" xfId="1" applyFont="1" applyFill="1" applyBorder="1" applyAlignment="1" applyProtection="1">
      <alignment horizontal="center" vertical="center"/>
      <protection locked="0"/>
    </xf>
    <xf numFmtId="3" fontId="10" fillId="0" borderId="60" xfId="1" applyNumberFormat="1" applyFont="1" applyFill="1" applyBorder="1" applyAlignment="1" applyProtection="1">
      <alignment vertical="center" wrapText="1"/>
      <protection locked="0"/>
    </xf>
    <xf numFmtId="3" fontId="10" fillId="0" borderId="60" xfId="1" applyNumberFormat="1" applyFont="1" applyFill="1" applyBorder="1" applyAlignment="1" applyProtection="1">
      <alignment horizontal="center" vertical="center"/>
      <protection locked="0"/>
    </xf>
    <xf numFmtId="3" fontId="10" fillId="0" borderId="58" xfId="1" applyNumberFormat="1" applyFont="1" applyFill="1" applyBorder="1" applyAlignment="1" applyProtection="1">
      <alignment horizontal="center" vertical="center"/>
      <protection locked="0"/>
    </xf>
    <xf numFmtId="3" fontId="10" fillId="0" borderId="215" xfId="1" applyNumberFormat="1" applyFont="1" applyFill="1" applyBorder="1" applyAlignment="1" applyProtection="1">
      <alignment horizontal="center" vertical="center"/>
      <protection locked="0"/>
    </xf>
    <xf numFmtId="49" fontId="10" fillId="0" borderId="67" xfId="1" applyNumberFormat="1" applyFont="1" applyFill="1" applyBorder="1" applyAlignment="1" applyProtection="1">
      <alignment vertical="center" wrapText="1"/>
      <protection locked="0"/>
    </xf>
    <xf numFmtId="49" fontId="114" fillId="8" borderId="216" xfId="1" applyNumberFormat="1" applyFont="1" applyFill="1" applyBorder="1" applyAlignment="1" applyProtection="1">
      <alignment vertical="center" wrapText="1"/>
      <protection locked="0"/>
    </xf>
    <xf numFmtId="3" fontId="114" fillId="8" borderId="215" xfId="1" applyNumberFormat="1" applyFont="1" applyFill="1" applyBorder="1" applyAlignment="1" applyProtection="1">
      <alignment horizontal="right" vertical="center" wrapText="1"/>
      <protection locked="0"/>
    </xf>
    <xf numFmtId="3" fontId="6" fillId="0" borderId="217" xfId="0" applyNumberFormat="1" applyFont="1" applyFill="1" applyBorder="1"/>
    <xf numFmtId="3" fontId="6" fillId="0" borderId="220" xfId="1" applyNumberFormat="1" applyFont="1" applyFill="1" applyBorder="1" applyAlignment="1" applyProtection="1">
      <alignment horizontal="right" vertical="center"/>
      <protection locked="0"/>
    </xf>
    <xf numFmtId="0" fontId="10" fillId="0" borderId="127" xfId="1" applyFont="1" applyFill="1" applyBorder="1" applyAlignment="1" applyProtection="1">
      <alignment horizontal="center" vertical="center"/>
      <protection locked="0"/>
    </xf>
    <xf numFmtId="0" fontId="10" fillId="0" borderId="72" xfId="1" applyFont="1" applyFill="1" applyBorder="1" applyAlignment="1" applyProtection="1">
      <alignment vertical="center" wrapText="1"/>
      <protection locked="0"/>
    </xf>
    <xf numFmtId="3" fontId="10" fillId="0" borderId="57" xfId="1" applyNumberFormat="1" applyFont="1" applyFill="1" applyBorder="1" applyAlignment="1" applyProtection="1">
      <alignment vertical="center" wrapText="1"/>
      <protection locked="0"/>
    </xf>
    <xf numFmtId="3" fontId="10" fillId="0" borderId="57" xfId="1" applyNumberFormat="1" applyFont="1" applyFill="1" applyBorder="1" applyAlignment="1" applyProtection="1">
      <alignment horizontal="center" vertical="center"/>
      <protection locked="0"/>
    </xf>
    <xf numFmtId="3" fontId="10" fillId="0" borderId="72" xfId="1" applyNumberFormat="1" applyFont="1" applyFill="1" applyBorder="1" applyAlignment="1" applyProtection="1">
      <alignment vertical="center"/>
      <protection locked="0"/>
    </xf>
    <xf numFmtId="3" fontId="6" fillId="0" borderId="185" xfId="0" applyNumberFormat="1" applyFont="1" applyFill="1" applyBorder="1"/>
    <xf numFmtId="3" fontId="6" fillId="0" borderId="186" xfId="0" applyNumberFormat="1" applyFont="1" applyFill="1" applyBorder="1"/>
    <xf numFmtId="0" fontId="10" fillId="0" borderId="127" xfId="1" applyFont="1" applyFill="1" applyBorder="1" applyAlignment="1" applyProtection="1">
      <alignment horizontal="right" vertical="center"/>
      <protection locked="0"/>
    </xf>
    <xf numFmtId="0" fontId="10" fillId="0" borderId="169" xfId="1" applyFont="1" applyFill="1" applyBorder="1" applyAlignment="1" applyProtection="1">
      <alignment vertical="center" wrapText="1"/>
      <protection locked="0"/>
    </xf>
    <xf numFmtId="3" fontId="10" fillId="0" borderId="169" xfId="1" applyNumberFormat="1" applyFont="1" applyFill="1" applyBorder="1" applyAlignment="1" applyProtection="1">
      <alignment vertical="center"/>
      <protection locked="0"/>
    </xf>
    <xf numFmtId="3" fontId="8" fillId="0" borderId="195" xfId="0" applyNumberFormat="1" applyFont="1" applyFill="1" applyBorder="1"/>
    <xf numFmtId="3" fontId="6" fillId="0" borderId="198" xfId="0" applyNumberFormat="1" applyFont="1" applyFill="1" applyBorder="1"/>
    <xf numFmtId="0" fontId="10" fillId="0" borderId="221" xfId="1" applyFont="1" applyFill="1" applyBorder="1" applyAlignment="1" applyProtection="1">
      <alignment horizontal="center" vertical="center"/>
      <protection locked="0"/>
    </xf>
    <xf numFmtId="0" fontId="10" fillId="0" borderId="222" xfId="1" applyFont="1" applyFill="1" applyBorder="1" applyAlignment="1" applyProtection="1">
      <alignment horizontal="left" vertical="center" wrapText="1"/>
      <protection locked="0"/>
    </xf>
    <xf numFmtId="0" fontId="10" fillId="0" borderId="223" xfId="1" applyFont="1" applyFill="1" applyBorder="1" applyAlignment="1" applyProtection="1">
      <alignment horizontal="left" vertical="center" wrapText="1"/>
      <protection locked="0"/>
    </xf>
    <xf numFmtId="3" fontId="10" fillId="0" borderId="224" xfId="1" applyNumberFormat="1" applyFont="1" applyFill="1" applyBorder="1" applyAlignment="1" applyProtection="1">
      <alignment horizontal="center" vertical="center" wrapText="1"/>
      <protection locked="0"/>
    </xf>
    <xf numFmtId="3" fontId="10" fillId="0" borderId="224" xfId="1" applyNumberFormat="1" applyFont="1" applyFill="1" applyBorder="1" applyAlignment="1" applyProtection="1">
      <alignment horizontal="center" vertical="center"/>
      <protection locked="0"/>
    </xf>
    <xf numFmtId="3" fontId="10" fillId="0" borderId="225" xfId="1" applyNumberFormat="1" applyFont="1" applyFill="1" applyBorder="1" applyAlignment="1" applyProtection="1">
      <alignment vertical="center"/>
      <protection locked="0"/>
    </xf>
    <xf numFmtId="3" fontId="6" fillId="0" borderId="227" xfId="0" applyNumberFormat="1" applyFont="1" applyFill="1" applyBorder="1"/>
    <xf numFmtId="3" fontId="6" fillId="0" borderId="226" xfId="0" applyNumberFormat="1" applyFont="1" applyFill="1" applyBorder="1"/>
    <xf numFmtId="0" fontId="113" fillId="0" borderId="0" xfId="1" applyFont="1" applyFill="1" applyAlignment="1" applyProtection="1">
      <alignment vertical="center"/>
      <protection locked="0"/>
    </xf>
    <xf numFmtId="0" fontId="115" fillId="0" borderId="0" xfId="1" applyFont="1" applyFill="1" applyAlignment="1" applyProtection="1">
      <alignment vertical="center"/>
      <protection locked="0"/>
    </xf>
    <xf numFmtId="0" fontId="8" fillId="0" borderId="0" xfId="1" applyFont="1" applyFill="1" applyAlignment="1" applyProtection="1">
      <alignment vertical="center"/>
      <protection locked="0"/>
    </xf>
    <xf numFmtId="3" fontId="8" fillId="0" borderId="0" xfId="1" applyNumberFormat="1" applyFont="1" applyFill="1" applyAlignment="1" applyProtection="1">
      <alignment vertical="center"/>
      <protection locked="0"/>
    </xf>
    <xf numFmtId="3" fontId="6" fillId="0" borderId="0" xfId="0" applyNumberFormat="1" applyFont="1" applyFill="1"/>
    <xf numFmtId="3" fontId="14" fillId="0" borderId="0" xfId="0" applyNumberFormat="1" applyFont="1" applyFill="1"/>
    <xf numFmtId="0" fontId="22" fillId="0" borderId="0" xfId="1" applyFont="1" applyFill="1" applyAlignment="1" applyProtection="1">
      <alignment vertical="center"/>
      <protection locked="0"/>
    </xf>
    <xf numFmtId="0" fontId="116" fillId="0" borderId="0" xfId="1" applyFont="1" applyFill="1" applyAlignment="1" applyProtection="1">
      <alignment vertical="center"/>
      <protection locked="0"/>
    </xf>
    <xf numFmtId="49" fontId="8" fillId="0" borderId="0" xfId="1" applyNumberFormat="1" applyFont="1" applyFill="1" applyAlignment="1" applyProtection="1">
      <alignment vertical="center"/>
      <protection locked="0"/>
    </xf>
    <xf numFmtId="0" fontId="6" fillId="0" borderId="0" xfId="0" applyFont="1" applyFill="1"/>
    <xf numFmtId="0" fontId="14" fillId="0" borderId="0" xfId="0" applyFont="1" applyFill="1"/>
    <xf numFmtId="0" fontId="10" fillId="0" borderId="0" xfId="1" applyFont="1" applyFill="1" applyBorder="1" applyAlignment="1" applyProtection="1">
      <alignment horizontal="left" vertical="center" wrapText="1"/>
      <protection locked="0"/>
    </xf>
    <xf numFmtId="0" fontId="10" fillId="0" borderId="229" xfId="1" applyFont="1" applyFill="1" applyBorder="1" applyAlignment="1" applyProtection="1">
      <alignment horizontal="center" vertical="center"/>
      <protection locked="0"/>
    </xf>
    <xf numFmtId="3" fontId="11" fillId="0" borderId="230" xfId="1" applyNumberFormat="1" applyFont="1" applyFill="1" applyBorder="1" applyAlignment="1" applyProtection="1">
      <alignment vertical="center" wrapText="1"/>
      <protection locked="0"/>
    </xf>
    <xf numFmtId="3" fontId="11" fillId="0" borderId="230" xfId="1" applyNumberFormat="1" applyFont="1" applyFill="1" applyBorder="1" applyAlignment="1" applyProtection="1">
      <alignment horizontal="right" vertical="center"/>
      <protection locked="0"/>
    </xf>
    <xf numFmtId="3" fontId="6" fillId="0" borderId="231" xfId="1" applyNumberFormat="1" applyFont="1" applyFill="1" applyBorder="1" applyAlignment="1" applyProtection="1">
      <alignment horizontal="right" vertical="center"/>
      <protection locked="0"/>
    </xf>
    <xf numFmtId="0" fontId="10" fillId="0" borderId="232" xfId="1" applyFont="1" applyFill="1" applyBorder="1" applyAlignment="1" applyProtection="1">
      <alignment horizontal="center" vertical="center"/>
      <protection locked="0"/>
    </xf>
    <xf numFmtId="0" fontId="10" fillId="0" borderId="10" xfId="1" applyFont="1" applyFill="1" applyBorder="1" applyAlignment="1" applyProtection="1">
      <alignment horizontal="left" vertical="center"/>
      <protection locked="0"/>
    </xf>
    <xf numFmtId="0" fontId="11" fillId="0" borderId="10" xfId="1" applyFont="1" applyFill="1" applyBorder="1" applyAlignment="1" applyProtection="1">
      <alignment vertical="center" wrapText="1"/>
      <protection locked="0"/>
    </xf>
    <xf numFmtId="3" fontId="10" fillId="0" borderId="10" xfId="1" applyNumberFormat="1" applyFont="1" applyFill="1" applyBorder="1" applyAlignment="1" applyProtection="1">
      <alignment vertical="center" wrapText="1"/>
      <protection locked="0"/>
    </xf>
    <xf numFmtId="3" fontId="10" fillId="0" borderId="10" xfId="1" applyNumberFormat="1" applyFont="1" applyFill="1" applyBorder="1" applyAlignment="1" applyProtection="1">
      <alignment horizontal="center" vertical="center"/>
      <protection locked="0"/>
    </xf>
    <xf numFmtId="3" fontId="6" fillId="0" borderId="233" xfId="1" applyNumberFormat="1" applyFont="1" applyFill="1" applyBorder="1" applyAlignment="1" applyProtection="1">
      <alignment horizontal="right" vertical="center"/>
      <protection locked="0"/>
    </xf>
    <xf numFmtId="0" fontId="10" fillId="0" borderId="234" xfId="1" applyFont="1" applyFill="1" applyBorder="1" applyAlignment="1" applyProtection="1">
      <alignment horizontal="center" vertical="center"/>
      <protection locked="0"/>
    </xf>
    <xf numFmtId="0" fontId="10" fillId="0" borderId="228" xfId="1" applyFont="1" applyFill="1" applyBorder="1" applyAlignment="1" applyProtection="1">
      <alignment horizontal="left" vertical="center"/>
      <protection locked="0"/>
    </xf>
    <xf numFmtId="3" fontId="10" fillId="0" borderId="228" xfId="1" applyNumberFormat="1" applyFont="1" applyFill="1" applyBorder="1" applyAlignment="1" applyProtection="1">
      <alignment vertical="center" wrapText="1"/>
      <protection locked="0"/>
    </xf>
    <xf numFmtId="3" fontId="6" fillId="0" borderId="235" xfId="1" applyNumberFormat="1" applyFont="1" applyFill="1" applyBorder="1" applyAlignment="1" applyProtection="1">
      <alignment horizontal="right" vertical="center"/>
      <protection locked="0"/>
    </xf>
    <xf numFmtId="3" fontId="11" fillId="8" borderId="230" xfId="1" applyNumberFormat="1" applyFont="1" applyFill="1" applyBorder="1" applyAlignment="1" applyProtection="1">
      <alignment horizontal="right" vertical="center" wrapText="1"/>
      <protection locked="0"/>
    </xf>
    <xf numFmtId="3" fontId="10" fillId="0" borderId="228" xfId="1" applyNumberFormat="1" applyFont="1" applyFill="1" applyBorder="1" applyAlignment="1" applyProtection="1">
      <alignment horizontal="right" vertical="center"/>
      <protection locked="0"/>
    </xf>
    <xf numFmtId="0" fontId="10" fillId="0" borderId="236" xfId="1" applyFont="1" applyFill="1" applyBorder="1" applyAlignment="1" applyProtection="1">
      <alignment horizontal="center" vertical="center"/>
      <protection locked="0"/>
    </xf>
    <xf numFmtId="0" fontId="10" fillId="0" borderId="237" xfId="1" applyFont="1" applyFill="1" applyBorder="1" applyAlignment="1" applyProtection="1">
      <alignment vertical="center" wrapText="1"/>
      <protection locked="0"/>
    </xf>
    <xf numFmtId="0" fontId="10" fillId="0" borderId="238" xfId="1" applyFont="1" applyFill="1" applyBorder="1" applyAlignment="1" applyProtection="1">
      <alignment horizontal="left" vertical="center" wrapText="1"/>
      <protection locked="0"/>
    </xf>
    <xf numFmtId="3" fontId="10" fillId="0" borderId="228" xfId="1" applyNumberFormat="1" applyFont="1" applyFill="1" applyBorder="1" applyAlignment="1" applyProtection="1">
      <alignment vertical="center"/>
      <protection locked="0"/>
    </xf>
    <xf numFmtId="3" fontId="10" fillId="0" borderId="239" xfId="1" applyNumberFormat="1" applyFont="1" applyFill="1" applyBorder="1" applyAlignment="1" applyProtection="1">
      <alignment vertical="center"/>
      <protection locked="0"/>
    </xf>
    <xf numFmtId="3" fontId="6" fillId="0" borderId="234" xfId="1" applyNumberFormat="1" applyFont="1" applyFill="1" applyBorder="1" applyAlignment="1" applyProtection="1">
      <alignment horizontal="right" vertical="center"/>
      <protection locked="0"/>
    </xf>
    <xf numFmtId="3" fontId="8" fillId="0" borderId="229" xfId="1" applyNumberFormat="1" applyFont="1" applyFill="1" applyBorder="1" applyAlignment="1" applyProtection="1">
      <alignment horizontal="right" vertical="center"/>
      <protection locked="0"/>
    </xf>
    <xf numFmtId="3" fontId="6" fillId="0" borderId="232" xfId="1" applyNumberFormat="1" applyFont="1" applyFill="1" applyBorder="1" applyAlignment="1" applyProtection="1">
      <alignment horizontal="right" vertical="center"/>
      <protection locked="0"/>
    </xf>
    <xf numFmtId="3" fontId="11" fillId="0" borderId="229" xfId="1" applyNumberFormat="1" applyFont="1" applyFill="1" applyBorder="1" applyAlignment="1" applyProtection="1">
      <alignment vertical="center" wrapText="1"/>
      <protection locked="0"/>
    </xf>
    <xf numFmtId="3" fontId="6" fillId="0" borderId="212" xfId="0" applyNumberFormat="1" applyFont="1" applyFill="1" applyBorder="1"/>
    <xf numFmtId="0" fontId="10" fillId="0" borderId="0" xfId="1" applyFont="1" applyFill="1" applyBorder="1" applyAlignment="1" applyProtection="1">
      <alignment horizontal="center" vertical="center"/>
      <protection locked="0"/>
    </xf>
    <xf numFmtId="3" fontId="10" fillId="0" borderId="0" xfId="1" applyNumberFormat="1" applyFont="1" applyFill="1" applyBorder="1" applyAlignment="1" applyProtection="1">
      <alignment horizontal="center" vertical="center" wrapText="1"/>
      <protection locked="0"/>
    </xf>
    <xf numFmtId="3" fontId="10" fillId="0" borderId="0" xfId="1" applyNumberFormat="1" applyFont="1" applyFill="1" applyBorder="1" applyAlignment="1" applyProtection="1">
      <alignment horizontal="center" vertical="center"/>
      <protection locked="0"/>
    </xf>
    <xf numFmtId="3" fontId="10" fillId="0" borderId="0" xfId="1" applyNumberFormat="1" applyFont="1" applyFill="1" applyBorder="1" applyAlignment="1" applyProtection="1">
      <alignment vertical="center"/>
      <protection locked="0"/>
    </xf>
    <xf numFmtId="3" fontId="6" fillId="0" borderId="0" xfId="1" applyNumberFormat="1" applyFont="1" applyFill="1" applyBorder="1" applyAlignment="1" applyProtection="1">
      <alignment horizontal="right" vertical="center"/>
      <protection locked="0"/>
    </xf>
    <xf numFmtId="3" fontId="6" fillId="0" borderId="0" xfId="0" applyNumberFormat="1" applyFont="1" applyFill="1" applyBorder="1"/>
    <xf numFmtId="3" fontId="11" fillId="20" borderId="201" xfId="1" applyNumberFormat="1" applyFont="1" applyFill="1" applyBorder="1" applyAlignment="1" applyProtection="1">
      <alignment vertical="center"/>
      <protection locked="0"/>
    </xf>
    <xf numFmtId="3" fontId="8" fillId="0" borderId="201" xfId="1" applyNumberFormat="1" applyFont="1" applyFill="1" applyBorder="1" applyAlignment="1">
      <alignment horizontal="right" vertical="center"/>
    </xf>
    <xf numFmtId="3" fontId="8" fillId="0" borderId="205" xfId="1" applyNumberFormat="1" applyFont="1" applyFill="1" applyBorder="1" applyAlignment="1">
      <alignment horizontal="right" vertical="center"/>
    </xf>
    <xf numFmtId="3" fontId="6" fillId="0" borderId="216" xfId="1" applyNumberFormat="1" applyFont="1" applyFill="1" applyBorder="1" applyAlignment="1" applyProtection="1">
      <alignment horizontal="right" vertical="center"/>
      <protection locked="0"/>
    </xf>
    <xf numFmtId="3" fontId="6" fillId="0" borderId="239" xfId="1" applyNumberFormat="1" applyFont="1" applyFill="1" applyBorder="1" applyAlignment="1" applyProtection="1">
      <alignment horizontal="right" vertical="center"/>
      <protection locked="0"/>
    </xf>
    <xf numFmtId="3" fontId="8" fillId="0" borderId="240" xfId="1" applyNumberFormat="1" applyFont="1" applyFill="1" applyBorder="1" applyAlignment="1">
      <alignment horizontal="right" vertical="center"/>
    </xf>
    <xf numFmtId="3" fontId="6" fillId="0" borderId="27" xfId="1" applyNumberFormat="1" applyFont="1" applyFill="1" applyBorder="1" applyAlignment="1" applyProtection="1">
      <alignment horizontal="right" vertical="center"/>
      <protection locked="0"/>
    </xf>
    <xf numFmtId="3" fontId="6" fillId="0" borderId="62" xfId="0" applyNumberFormat="1" applyFont="1" applyFill="1" applyBorder="1"/>
    <xf numFmtId="3" fontId="11" fillId="20" borderId="202" xfId="1" applyNumberFormat="1" applyFont="1" applyFill="1" applyBorder="1" applyAlignment="1" applyProtection="1">
      <alignment vertical="center"/>
      <protection locked="0"/>
    </xf>
    <xf numFmtId="3" fontId="10" fillId="0" borderId="106" xfId="1" applyNumberFormat="1" applyFont="1" applyFill="1" applyBorder="1" applyAlignment="1" applyProtection="1">
      <alignment horizontal="center" vertical="center" wrapText="1"/>
      <protection locked="0"/>
    </xf>
    <xf numFmtId="3" fontId="10" fillId="0" borderId="106" xfId="1" applyNumberFormat="1" applyFont="1" applyFill="1" applyBorder="1" applyAlignment="1" applyProtection="1">
      <alignment horizontal="center" vertical="center"/>
      <protection locked="0"/>
    </xf>
    <xf numFmtId="3" fontId="6" fillId="0" borderId="225" xfId="1" applyNumberFormat="1" applyFont="1" applyFill="1" applyBorder="1" applyAlignment="1" applyProtection="1">
      <alignment horizontal="right" vertical="center"/>
      <protection locked="0"/>
    </xf>
    <xf numFmtId="0" fontId="13" fillId="20" borderId="94" xfId="0" applyFont="1" applyFill="1" applyBorder="1" applyAlignment="1">
      <alignment horizontal="center" vertical="center"/>
    </xf>
    <xf numFmtId="0" fontId="13" fillId="0" borderId="12" xfId="0" applyFont="1" applyBorder="1" applyAlignment="1">
      <alignment horizontal="center" vertical="center" wrapText="1" shrinkToFit="1"/>
    </xf>
    <xf numFmtId="0" fontId="13" fillId="0" borderId="13" xfId="0" applyFont="1" applyBorder="1" applyAlignment="1">
      <alignment horizontal="center" vertical="center" wrapText="1" shrinkToFit="1"/>
    </xf>
    <xf numFmtId="0" fontId="13" fillId="0" borderId="95" xfId="0" applyFont="1" applyBorder="1" applyAlignment="1">
      <alignment horizontal="center" vertical="center" wrapText="1" shrinkToFit="1"/>
    </xf>
    <xf numFmtId="0" fontId="13" fillId="0" borderId="12" xfId="0" applyFont="1" applyFill="1" applyBorder="1" applyAlignment="1">
      <alignment horizontal="center" vertical="center" wrapText="1" shrinkToFit="1"/>
    </xf>
    <xf numFmtId="0" fontId="13" fillId="0" borderId="101" xfId="0" applyFont="1" applyFill="1" applyBorder="1" applyAlignment="1">
      <alignment horizontal="center" vertical="center" wrapText="1" shrinkToFit="1"/>
    </xf>
    <xf numFmtId="0" fontId="13" fillId="0" borderId="13" xfId="0" applyFont="1" applyFill="1" applyBorder="1" applyAlignment="1">
      <alignment horizontal="center" vertical="center" wrapText="1" shrinkToFit="1"/>
    </xf>
    <xf numFmtId="0" fontId="13" fillId="0" borderId="1" xfId="0" applyFont="1" applyFill="1" applyBorder="1" applyAlignment="1">
      <alignment horizontal="center" vertical="center" wrapText="1" shrinkToFit="1"/>
    </xf>
    <xf numFmtId="0" fontId="13" fillId="20" borderId="15" xfId="0" applyFont="1" applyFill="1" applyBorder="1" applyAlignment="1">
      <alignment horizontal="center" vertical="center"/>
    </xf>
    <xf numFmtId="0" fontId="13" fillId="20" borderId="102" xfId="0" applyFont="1" applyFill="1" applyBorder="1" applyAlignment="1">
      <alignment horizontal="center" vertical="center"/>
    </xf>
    <xf numFmtId="3" fontId="6" fillId="20" borderId="117" xfId="1" applyNumberFormat="1" applyFont="1" applyFill="1" applyBorder="1" applyAlignment="1">
      <alignment horizontal="right" vertical="center"/>
    </xf>
    <xf numFmtId="3" fontId="6" fillId="20" borderId="63" xfId="1" applyNumberFormat="1" applyFont="1" applyFill="1" applyBorder="1" applyAlignment="1">
      <alignment horizontal="right" vertical="center"/>
    </xf>
    <xf numFmtId="3" fontId="6" fillId="20" borderId="118" xfId="1" applyNumberFormat="1" applyFont="1" applyFill="1" applyBorder="1" applyAlignment="1">
      <alignment horizontal="right" vertical="center"/>
    </xf>
    <xf numFmtId="3" fontId="6" fillId="20" borderId="64" xfId="1" applyNumberFormat="1" applyFont="1" applyFill="1" applyBorder="1" applyAlignment="1">
      <alignment horizontal="right" vertical="center"/>
    </xf>
    <xf numFmtId="3" fontId="6" fillId="20" borderId="116" xfId="1" applyNumberFormat="1" applyFont="1" applyFill="1" applyBorder="1" applyAlignment="1">
      <alignment horizontal="right" vertical="center"/>
    </xf>
    <xf numFmtId="0" fontId="13" fillId="20" borderId="33" xfId="0" applyFont="1" applyFill="1" applyBorder="1" applyAlignment="1">
      <alignment horizontal="center" vertical="center"/>
    </xf>
    <xf numFmtId="0" fontId="13" fillId="20" borderId="96" xfId="0" applyFont="1" applyFill="1" applyBorder="1" applyAlignment="1">
      <alignment horizontal="center" vertical="center"/>
    </xf>
    <xf numFmtId="0" fontId="12" fillId="0" borderId="27" xfId="0" applyFont="1" applyBorder="1" applyAlignment="1">
      <alignment vertical="center"/>
    </xf>
    <xf numFmtId="49" fontId="12" fillId="0" borderId="97" xfId="0" applyNumberFormat="1" applyFont="1" applyBorder="1" applyAlignment="1">
      <alignment horizontal="left" vertical="center"/>
    </xf>
    <xf numFmtId="0" fontId="12" fillId="0" borderId="45" xfId="0" applyFont="1" applyBorder="1" applyAlignment="1">
      <alignment vertical="center"/>
    </xf>
    <xf numFmtId="0" fontId="12" fillId="0" borderId="97" xfId="0" applyFont="1" applyBorder="1" applyAlignment="1">
      <alignment horizontal="left" vertical="center"/>
    </xf>
    <xf numFmtId="0" fontId="12" fillId="0" borderId="89" xfId="0" applyFont="1" applyBorder="1" applyAlignment="1">
      <alignment vertical="center"/>
    </xf>
    <xf numFmtId="0" fontId="12" fillId="0" borderId="98" xfId="0" applyFont="1" applyBorder="1" applyAlignment="1">
      <alignment horizontal="left" vertical="center"/>
    </xf>
    <xf numFmtId="0" fontId="24" fillId="0" borderId="97" xfId="0" applyFont="1" applyBorder="1" applyAlignment="1">
      <alignment horizontal="right" vertical="center"/>
    </xf>
    <xf numFmtId="0" fontId="13" fillId="20" borderId="30" xfId="0" applyFont="1" applyFill="1" applyBorder="1" applyAlignment="1">
      <alignment horizontal="center" vertical="center"/>
    </xf>
    <xf numFmtId="0" fontId="12" fillId="0" borderId="45" xfId="0" applyFont="1" applyBorder="1" applyAlignment="1">
      <alignment horizontal="left" vertical="center"/>
    </xf>
    <xf numFmtId="0" fontId="12" fillId="0" borderId="45" xfId="0" applyFont="1" applyBorder="1" applyAlignment="1">
      <alignment horizontal="center" vertical="center"/>
    </xf>
    <xf numFmtId="0" fontId="12" fillId="0" borderId="0" xfId="0" applyFont="1" applyBorder="1" applyAlignment="1">
      <alignment vertical="center"/>
    </xf>
    <xf numFmtId="16" fontId="12" fillId="0" borderId="45" xfId="0" applyNumberFormat="1" applyFont="1" applyBorder="1" applyAlignment="1">
      <alignment horizontal="left" vertical="center"/>
    </xf>
    <xf numFmtId="0" fontId="12" fillId="0" borderId="89" xfId="0" applyFont="1" applyBorder="1" applyAlignment="1">
      <alignment horizontal="left" vertical="center"/>
    </xf>
    <xf numFmtId="3" fontId="6" fillId="0" borderId="31" xfId="1" applyNumberFormat="1" applyFont="1" applyFill="1" applyBorder="1" applyAlignment="1">
      <alignment horizontal="right" vertical="center"/>
    </xf>
    <xf numFmtId="3" fontId="6" fillId="0" borderId="29" xfId="1" applyNumberFormat="1" applyFont="1" applyFill="1" applyBorder="1" applyAlignment="1">
      <alignment horizontal="right" vertical="center"/>
    </xf>
    <xf numFmtId="3" fontId="6" fillId="0" borderId="125" xfId="1" applyNumberFormat="1" applyFont="1" applyFill="1" applyBorder="1" applyAlignment="1">
      <alignment horizontal="right" vertical="center"/>
    </xf>
    <xf numFmtId="3" fontId="6" fillId="0" borderId="34" xfId="1" applyNumberFormat="1" applyFont="1" applyFill="1" applyBorder="1" applyAlignment="1">
      <alignment horizontal="right" vertical="center"/>
    </xf>
    <xf numFmtId="3" fontId="6" fillId="0" borderId="35" xfId="1" applyNumberFormat="1" applyFont="1" applyFill="1" applyBorder="1" applyAlignment="1">
      <alignment horizontal="right" vertical="center"/>
    </xf>
    <xf numFmtId="0" fontId="117" fillId="20" borderId="97" xfId="0" applyFont="1" applyFill="1" applyBorder="1" applyAlignment="1">
      <alignment horizontal="right" vertical="center"/>
    </xf>
    <xf numFmtId="3" fontId="8" fillId="20" borderId="94" xfId="0" applyNumberFormat="1" applyFont="1" applyFill="1" applyBorder="1" applyAlignment="1">
      <alignment vertical="center"/>
    </xf>
    <xf numFmtId="9" fontId="8" fillId="20" borderId="174" xfId="0" applyNumberFormat="1" applyFont="1" applyFill="1" applyBorder="1" applyAlignment="1">
      <alignment vertical="center"/>
    </xf>
    <xf numFmtId="3" fontId="8" fillId="20" borderId="27" xfId="0" applyNumberFormat="1" applyFont="1" applyFill="1" applyBorder="1" applyAlignment="1">
      <alignment vertical="center"/>
    </xf>
    <xf numFmtId="3" fontId="8" fillId="20" borderId="9" xfId="0" applyNumberFormat="1" applyFont="1" applyFill="1" applyBorder="1" applyAlignment="1">
      <alignment vertical="center"/>
    </xf>
    <xf numFmtId="0" fontId="6" fillId="0" borderId="241" xfId="0" applyFont="1" applyBorder="1" applyAlignment="1">
      <alignment horizontal="center" vertical="center"/>
    </xf>
    <xf numFmtId="0" fontId="11" fillId="0" borderId="241" xfId="0" applyFont="1" applyFill="1" applyBorder="1" applyAlignment="1">
      <alignment horizontal="center" vertical="center"/>
    </xf>
    <xf numFmtId="0" fontId="6" fillId="0" borderId="243" xfId="0" applyFont="1" applyFill="1" applyBorder="1" applyAlignment="1">
      <alignment horizontal="center" vertical="center"/>
    </xf>
    <xf numFmtId="3" fontId="29" fillId="0" borderId="244" xfId="1" applyNumberFormat="1" applyFont="1" applyFill="1" applyBorder="1" applyAlignment="1">
      <alignment horizontal="right" vertical="center"/>
    </xf>
    <xf numFmtId="3" fontId="29" fillId="0" borderId="245" xfId="1" applyNumberFormat="1" applyFont="1" applyFill="1" applyBorder="1" applyAlignment="1">
      <alignment horizontal="right" vertical="center"/>
    </xf>
    <xf numFmtId="3" fontId="29" fillId="0" borderId="246" xfId="1" applyNumberFormat="1" applyFont="1" applyFill="1" applyBorder="1" applyAlignment="1">
      <alignment horizontal="right" vertical="center"/>
    </xf>
    <xf numFmtId="9" fontId="29" fillId="0" borderId="247" xfId="1" applyNumberFormat="1" applyFont="1" applyFill="1" applyBorder="1" applyAlignment="1">
      <alignment horizontal="right" vertical="center"/>
    </xf>
    <xf numFmtId="3" fontId="6" fillId="0" borderId="245" xfId="0" applyNumberFormat="1" applyFont="1" applyBorder="1" applyAlignment="1">
      <alignment vertical="center"/>
    </xf>
    <xf numFmtId="3" fontId="6" fillId="0" borderId="248" xfId="0" applyNumberFormat="1" applyFont="1" applyFill="1" applyBorder="1" applyAlignment="1">
      <alignment vertical="center"/>
    </xf>
    <xf numFmtId="3" fontId="20" fillId="0" borderId="249" xfId="0" applyNumberFormat="1" applyFont="1" applyFill="1" applyBorder="1" applyAlignment="1">
      <alignment vertical="center"/>
    </xf>
    <xf numFmtId="3" fontId="6" fillId="0" borderId="247" xfId="0" applyNumberFormat="1" applyFont="1" applyFill="1" applyBorder="1" applyAlignment="1">
      <alignment vertical="center"/>
    </xf>
    <xf numFmtId="3" fontId="6" fillId="20" borderId="249" xfId="0" applyNumberFormat="1" applyFont="1" applyFill="1" applyBorder="1" applyAlignment="1">
      <alignment vertical="center"/>
    </xf>
    <xf numFmtId="0" fontId="6" fillId="0" borderId="45" xfId="0" applyFont="1" applyBorder="1" applyAlignment="1">
      <alignment horizontal="center" vertical="center"/>
    </xf>
    <xf numFmtId="0" fontId="11" fillId="0" borderId="45" xfId="0" applyFont="1" applyFill="1" applyBorder="1" applyAlignment="1">
      <alignment horizontal="center" vertical="center"/>
    </xf>
    <xf numFmtId="0" fontId="6" fillId="0" borderId="97" xfId="0" applyFont="1" applyFill="1" applyBorder="1" applyAlignment="1">
      <alignment horizontal="center" vertical="center"/>
    </xf>
    <xf numFmtId="3" fontId="6" fillId="0" borderId="9" xfId="0" applyNumberFormat="1" applyFont="1" applyFill="1" applyBorder="1" applyAlignment="1">
      <alignment vertical="center"/>
    </xf>
    <xf numFmtId="3" fontId="6" fillId="0" borderId="94" xfId="0" applyNumberFormat="1" applyFont="1" applyBorder="1" applyAlignment="1">
      <alignment vertical="center"/>
    </xf>
    <xf numFmtId="9" fontId="6" fillId="0" borderId="9" xfId="0" applyNumberFormat="1" applyFont="1" applyFill="1" applyBorder="1" applyAlignment="1">
      <alignment vertical="center"/>
    </xf>
    <xf numFmtId="3" fontId="6" fillId="0" borderId="27" xfId="0" applyNumberFormat="1" applyFont="1" applyFill="1" applyBorder="1" applyAlignment="1">
      <alignment vertical="center"/>
    </xf>
    <xf numFmtId="3" fontId="20" fillId="0" borderId="22" xfId="0" applyNumberFormat="1" applyFont="1" applyFill="1" applyBorder="1" applyAlignment="1">
      <alignment vertical="center"/>
    </xf>
    <xf numFmtId="3" fontId="6" fillId="20" borderId="22" xfId="0" applyNumberFormat="1" applyFont="1" applyFill="1" applyBorder="1" applyAlignment="1">
      <alignment vertical="center"/>
    </xf>
    <xf numFmtId="0" fontId="6" fillId="0" borderId="18" xfId="0" applyFont="1" applyBorder="1" applyAlignment="1">
      <alignment horizontal="center" vertical="center"/>
    </xf>
    <xf numFmtId="0" fontId="6" fillId="0" borderId="90" xfId="0" applyFont="1" applyBorder="1" applyAlignment="1">
      <alignment horizontal="center" vertical="center"/>
    </xf>
    <xf numFmtId="0" fontId="11" fillId="0" borderId="90" xfId="0" applyFont="1" applyFill="1" applyBorder="1" applyAlignment="1">
      <alignment horizontal="center" vertical="center"/>
    </xf>
    <xf numFmtId="0" fontId="6" fillId="0" borderId="99" xfId="0" applyFont="1" applyFill="1" applyBorder="1" applyAlignment="1">
      <alignment horizontal="center" vertical="center"/>
    </xf>
    <xf numFmtId="9" fontId="29" fillId="0" borderId="9" xfId="1" applyNumberFormat="1" applyFont="1" applyFill="1" applyBorder="1" applyAlignment="1">
      <alignment horizontal="right" vertical="center"/>
    </xf>
    <xf numFmtId="0" fontId="8" fillId="20" borderId="3" xfId="0" applyFont="1" applyFill="1" applyBorder="1" applyAlignment="1">
      <alignment horizontal="center" vertical="center"/>
    </xf>
    <xf numFmtId="0" fontId="8" fillId="20" borderId="93" xfId="0" applyFont="1" applyFill="1" applyBorder="1" applyAlignment="1">
      <alignment vertical="center"/>
    </xf>
    <xf numFmtId="0" fontId="8" fillId="20" borderId="100" xfId="0" applyFont="1" applyFill="1" applyBorder="1" applyAlignment="1">
      <alignment vertical="center"/>
    </xf>
    <xf numFmtId="9" fontId="8" fillId="20" borderId="26" xfId="1" applyNumberFormat="1" applyFont="1" applyFill="1" applyBorder="1" applyAlignment="1">
      <alignment horizontal="right" vertical="center"/>
    </xf>
    <xf numFmtId="3" fontId="8" fillId="20" borderId="25" xfId="1" applyNumberFormat="1" applyFont="1" applyFill="1" applyBorder="1" applyAlignment="1">
      <alignment horizontal="right" vertical="center"/>
    </xf>
    <xf numFmtId="0" fontId="118" fillId="0" borderId="0" xfId="0" applyFont="1" applyAlignment="1">
      <alignment vertical="center"/>
    </xf>
    <xf numFmtId="0" fontId="59" fillId="8" borderId="0" xfId="4" applyFont="1" applyFill="1" applyAlignment="1">
      <alignment horizontal="center" vertical="center"/>
    </xf>
    <xf numFmtId="3" fontId="12" fillId="8" borderId="15" xfId="4" applyNumberFormat="1" applyFont="1" applyFill="1" applyBorder="1" applyAlignment="1">
      <alignment horizontal="right" vertical="center"/>
    </xf>
    <xf numFmtId="3" fontId="12" fillId="8" borderId="16" xfId="4" applyNumberFormat="1" applyFont="1" applyFill="1" applyBorder="1" applyAlignment="1">
      <alignment horizontal="right" vertical="center"/>
    </xf>
    <xf numFmtId="3" fontId="6" fillId="8" borderId="30" xfId="4" applyNumberFormat="1" applyFont="1" applyFill="1" applyBorder="1" applyAlignment="1">
      <alignment horizontal="right" vertical="center"/>
    </xf>
    <xf numFmtId="3" fontId="6" fillId="8" borderId="10" xfId="4" applyNumberFormat="1" applyFont="1" applyFill="1" applyBorder="1" applyAlignment="1">
      <alignment horizontal="right" vertical="center"/>
    </xf>
    <xf numFmtId="0" fontId="101" fillId="8" borderId="0" xfId="0" quotePrefix="1" applyFont="1" applyFill="1" applyAlignment="1">
      <alignment horizontal="left" vertical="center"/>
    </xf>
    <xf numFmtId="0" fontId="10" fillId="0" borderId="250" xfId="1" applyFont="1" applyFill="1" applyBorder="1" applyAlignment="1" applyProtection="1">
      <alignment horizontal="left" vertical="center" wrapText="1"/>
      <protection locked="0"/>
    </xf>
    <xf numFmtId="3" fontId="10" fillId="0" borderId="224" xfId="1" applyNumberFormat="1" applyFont="1" applyFill="1" applyBorder="1" applyAlignment="1" applyProtection="1">
      <alignment vertical="center" wrapText="1"/>
      <protection locked="0"/>
    </xf>
    <xf numFmtId="3" fontId="10" fillId="0" borderId="224" xfId="1" applyNumberFormat="1" applyFont="1" applyFill="1" applyBorder="1" applyAlignment="1" applyProtection="1">
      <alignment vertical="center"/>
      <protection locked="0"/>
    </xf>
    <xf numFmtId="3" fontId="6" fillId="0" borderId="227" xfId="1" applyNumberFormat="1" applyFont="1" applyFill="1" applyBorder="1" applyAlignment="1" applyProtection="1">
      <alignment horizontal="right" vertical="center"/>
      <protection locked="0"/>
    </xf>
    <xf numFmtId="3" fontId="6" fillId="0" borderId="226" xfId="1" applyNumberFormat="1" applyFont="1" applyFill="1" applyBorder="1" applyAlignment="1" applyProtection="1">
      <alignment horizontal="right" vertical="center"/>
      <protection locked="0"/>
    </xf>
    <xf numFmtId="0" fontId="10" fillId="0" borderId="251" xfId="1" applyFont="1" applyFill="1" applyBorder="1" applyAlignment="1" applyProtection="1">
      <alignment horizontal="center" vertical="center"/>
      <protection locked="0"/>
    </xf>
    <xf numFmtId="0" fontId="10" fillId="0" borderId="38" xfId="1" applyFont="1" applyFill="1" applyBorder="1" applyAlignment="1" applyProtection="1">
      <alignment horizontal="left" vertical="center" wrapText="1"/>
      <protection locked="0"/>
    </xf>
    <xf numFmtId="0" fontId="10" fillId="0" borderId="45" xfId="1" applyFont="1" applyFill="1" applyBorder="1" applyAlignment="1" applyProtection="1">
      <alignment horizontal="left" vertical="center" wrapText="1"/>
      <protection locked="0"/>
    </xf>
    <xf numFmtId="3" fontId="10" fillId="0" borderId="10" xfId="1" applyNumberFormat="1" applyFont="1" applyFill="1" applyBorder="1" applyAlignment="1" applyProtection="1">
      <alignment horizontal="center" vertical="center" wrapText="1"/>
      <protection locked="0"/>
    </xf>
    <xf numFmtId="3" fontId="10" fillId="0" borderId="27" xfId="1" applyNumberFormat="1" applyFont="1" applyFill="1" applyBorder="1" applyAlignment="1" applyProtection="1">
      <alignment vertical="center"/>
      <protection locked="0"/>
    </xf>
    <xf numFmtId="3" fontId="11" fillId="0" borderId="204" xfId="1" applyNumberFormat="1" applyFont="1" applyFill="1" applyBorder="1" applyAlignment="1" applyProtection="1">
      <alignment vertical="center" wrapText="1"/>
      <protection locked="0"/>
    </xf>
    <xf numFmtId="3" fontId="11" fillId="0" borderId="204" xfId="1" applyNumberFormat="1" applyFont="1" applyFill="1" applyBorder="1" applyAlignment="1" applyProtection="1">
      <alignment horizontal="right" vertical="center"/>
      <protection locked="0"/>
    </xf>
    <xf numFmtId="3" fontId="11" fillId="0" borderId="205" xfId="1" applyNumberFormat="1" applyFont="1" applyFill="1" applyBorder="1" applyAlignment="1" applyProtection="1">
      <alignment vertical="center" wrapText="1"/>
      <protection locked="0"/>
    </xf>
    <xf numFmtId="0" fontId="10" fillId="0" borderId="252" xfId="1" applyFont="1" applyFill="1" applyBorder="1" applyAlignment="1" applyProtection="1">
      <alignment horizontal="center" vertical="center"/>
      <protection locked="0"/>
    </xf>
    <xf numFmtId="3" fontId="11" fillId="0" borderId="230" xfId="1" applyNumberFormat="1" applyFont="1" applyFill="1" applyBorder="1" applyAlignment="1" applyProtection="1">
      <alignment horizontal="center" vertical="center"/>
      <protection locked="0"/>
    </xf>
    <xf numFmtId="3" fontId="11" fillId="0" borderId="240" xfId="1" applyNumberFormat="1" applyFont="1" applyFill="1" applyBorder="1" applyAlignment="1" applyProtection="1">
      <alignment horizontal="center" vertical="center"/>
      <protection locked="0"/>
    </xf>
    <xf numFmtId="0" fontId="10" fillId="0" borderId="30" xfId="1" applyFont="1" applyFill="1" applyBorder="1" applyAlignment="1" applyProtection="1">
      <alignment horizontal="left" vertical="center"/>
      <protection locked="0"/>
    </xf>
    <xf numFmtId="0" fontId="10" fillId="0" borderId="27" xfId="1" quotePrefix="1" applyFont="1" applyFill="1" applyBorder="1" applyAlignment="1" applyProtection="1">
      <alignment horizontal="left" vertical="center" wrapText="1"/>
      <protection locked="0"/>
    </xf>
    <xf numFmtId="3" fontId="10" fillId="0" borderId="27" xfId="1" applyNumberFormat="1" applyFont="1" applyFill="1" applyBorder="1" applyAlignment="1" applyProtection="1">
      <alignment horizontal="center" vertical="center"/>
      <protection locked="0"/>
    </xf>
    <xf numFmtId="0" fontId="10" fillId="0" borderId="30" xfId="1" applyFont="1" applyFill="1" applyBorder="1" applyAlignment="1" applyProtection="1">
      <alignment horizontal="center" vertical="center"/>
      <protection locked="0"/>
    </xf>
    <xf numFmtId="0" fontId="10" fillId="0" borderId="27" xfId="1" applyFont="1" applyFill="1" applyBorder="1" applyAlignment="1" applyProtection="1">
      <alignment vertical="center" wrapText="1"/>
      <protection locked="0"/>
    </xf>
    <xf numFmtId="3" fontId="6" fillId="0" borderId="27" xfId="1" applyNumberFormat="1" applyFont="1" applyFill="1" applyBorder="1" applyAlignment="1" applyProtection="1">
      <alignment horizontal="center" vertical="center"/>
      <protection locked="0"/>
    </xf>
    <xf numFmtId="0" fontId="10" fillId="0" borderId="237" xfId="1" applyFont="1" applyFill="1" applyBorder="1" applyAlignment="1" applyProtection="1">
      <alignment horizontal="right" vertical="center"/>
      <protection locked="0"/>
    </xf>
    <xf numFmtId="49" fontId="10" fillId="0" borderId="239" xfId="1" applyNumberFormat="1" applyFont="1" applyFill="1" applyBorder="1" applyAlignment="1" applyProtection="1">
      <alignment vertical="center" wrapText="1"/>
      <protection locked="0"/>
    </xf>
    <xf numFmtId="3" fontId="10" fillId="0" borderId="228" xfId="1" applyNumberFormat="1" applyFont="1" applyFill="1" applyBorder="1" applyAlignment="1" applyProtection="1">
      <alignment horizontal="center" vertical="center"/>
      <protection locked="0"/>
    </xf>
    <xf numFmtId="3" fontId="10" fillId="0" borderId="239" xfId="1" applyNumberFormat="1" applyFont="1" applyFill="1" applyBorder="1" applyAlignment="1" applyProtection="1">
      <alignment horizontal="center" vertical="center"/>
      <protection locked="0"/>
    </xf>
    <xf numFmtId="3" fontId="11" fillId="0" borderId="230" xfId="1" applyNumberFormat="1" applyFont="1" applyFill="1" applyBorder="1" applyAlignment="1" applyProtection="1">
      <alignment horizontal="center" vertical="center" wrapText="1"/>
      <protection locked="0"/>
    </xf>
    <xf numFmtId="3" fontId="11" fillId="0" borderId="231" xfId="1" applyNumberFormat="1" applyFont="1" applyFill="1" applyBorder="1" applyAlignment="1" applyProtection="1">
      <alignment vertical="center" wrapText="1"/>
      <protection locked="0"/>
    </xf>
    <xf numFmtId="3" fontId="10" fillId="0" borderId="10" xfId="1" applyNumberFormat="1" applyFont="1" applyFill="1" applyBorder="1" applyAlignment="1" applyProtection="1">
      <alignment horizontal="right" vertical="center" wrapText="1"/>
      <protection locked="0"/>
    </xf>
    <xf numFmtId="0" fontId="10" fillId="0" borderId="157" xfId="1" applyFont="1" applyFill="1" applyBorder="1" applyAlignment="1" applyProtection="1">
      <alignment horizontal="center" vertical="center"/>
      <protection locked="0"/>
    </xf>
    <xf numFmtId="49" fontId="10" fillId="0" borderId="210" xfId="1" applyNumberFormat="1" applyFont="1" applyFill="1" applyBorder="1" applyAlignment="1" applyProtection="1">
      <alignment vertical="center" wrapText="1"/>
      <protection locked="0"/>
    </xf>
    <xf numFmtId="3" fontId="10" fillId="0" borderId="106" xfId="1" applyNumberFormat="1" applyFont="1" applyFill="1" applyBorder="1" applyAlignment="1" applyProtection="1">
      <alignment vertical="center" wrapText="1"/>
      <protection locked="0"/>
    </xf>
    <xf numFmtId="3" fontId="10" fillId="0" borderId="210" xfId="1" applyNumberFormat="1" applyFont="1" applyFill="1" applyBorder="1" applyAlignment="1" applyProtection="1">
      <alignment horizontal="center" vertical="center"/>
      <protection locked="0"/>
    </xf>
    <xf numFmtId="3" fontId="6" fillId="0" borderId="210" xfId="1" applyNumberFormat="1" applyFont="1" applyFill="1" applyBorder="1" applyAlignment="1" applyProtection="1">
      <alignment horizontal="right" vertical="center"/>
      <protection locked="0"/>
    </xf>
    <xf numFmtId="0" fontId="10" fillId="0" borderId="30" xfId="1" applyFont="1" applyFill="1" applyBorder="1" applyAlignment="1" applyProtection="1">
      <alignment horizontal="left" vertical="center" wrapText="1"/>
      <protection locked="0"/>
    </xf>
    <xf numFmtId="3" fontId="6" fillId="0" borderId="232" xfId="0" applyNumberFormat="1" applyFont="1" applyFill="1" applyBorder="1"/>
    <xf numFmtId="3" fontId="6" fillId="0" borderId="233" xfId="0" applyNumberFormat="1" applyFont="1" applyFill="1" applyBorder="1"/>
    <xf numFmtId="0" fontId="10" fillId="0" borderId="45" xfId="1" quotePrefix="1" applyFont="1" applyFill="1" applyBorder="1" applyAlignment="1" applyProtection="1">
      <alignment horizontal="left" vertical="center" wrapText="1"/>
      <protection locked="0"/>
    </xf>
    <xf numFmtId="0" fontId="10" fillId="0" borderId="254" xfId="1" applyFont="1" applyFill="1" applyBorder="1" applyAlignment="1" applyProtection="1">
      <alignment horizontal="left" vertical="center" wrapText="1"/>
      <protection locked="0"/>
    </xf>
    <xf numFmtId="3" fontId="10" fillId="0" borderId="228" xfId="1" applyNumberFormat="1" applyFont="1" applyFill="1" applyBorder="1" applyAlignment="1" applyProtection="1">
      <alignment horizontal="center" vertical="center" wrapText="1"/>
      <protection locked="0"/>
    </xf>
    <xf numFmtId="3" fontId="6" fillId="0" borderId="234" xfId="0" applyNumberFormat="1" applyFont="1" applyFill="1" applyBorder="1"/>
    <xf numFmtId="3" fontId="6" fillId="0" borderId="235" xfId="0" applyNumberFormat="1" applyFont="1" applyFill="1" applyBorder="1"/>
    <xf numFmtId="3" fontId="11" fillId="8" borderId="61" xfId="1" applyNumberFormat="1" applyFont="1" applyFill="1" applyBorder="1" applyAlignment="1" applyProtection="1">
      <alignment horizontal="center" vertical="center" wrapText="1"/>
      <protection locked="0"/>
    </xf>
    <xf numFmtId="3" fontId="11" fillId="8" borderId="61" xfId="1" applyNumberFormat="1" applyFont="1" applyFill="1" applyBorder="1" applyAlignment="1" applyProtection="1">
      <alignment horizontal="center" vertical="center"/>
      <protection locked="0"/>
    </xf>
    <xf numFmtId="3" fontId="8" fillId="8" borderId="205" xfId="0" applyNumberFormat="1" applyFont="1" applyFill="1" applyBorder="1"/>
    <xf numFmtId="3" fontId="8" fillId="0" borderId="207" xfId="0" applyNumberFormat="1" applyFont="1" applyFill="1" applyBorder="1"/>
    <xf numFmtId="3" fontId="8" fillId="0" borderId="206" xfId="0" applyNumberFormat="1" applyFont="1" applyFill="1" applyBorder="1"/>
    <xf numFmtId="0" fontId="11" fillId="0" borderId="30" xfId="1" applyFont="1" applyFill="1" applyBorder="1" applyAlignment="1" applyProtection="1">
      <alignment horizontal="left" vertical="center"/>
      <protection locked="0"/>
    </xf>
    <xf numFmtId="49" fontId="11" fillId="0" borderId="45" xfId="1" applyNumberFormat="1" applyFont="1" applyFill="1" applyBorder="1" applyAlignment="1" applyProtection="1">
      <alignment vertical="center" wrapText="1"/>
      <protection locked="0"/>
    </xf>
    <xf numFmtId="3" fontId="6" fillId="0" borderId="27" xfId="0" applyNumberFormat="1" applyFont="1" applyFill="1" applyBorder="1"/>
    <xf numFmtId="4" fontId="6" fillId="0" borderId="0" xfId="1" applyNumberFormat="1" applyFont="1" applyAlignment="1">
      <alignment vertical="center"/>
    </xf>
    <xf numFmtId="0" fontId="119" fillId="0" borderId="0" xfId="1" applyNumberFormat="1" applyFont="1" applyAlignment="1">
      <alignment vertical="center"/>
    </xf>
    <xf numFmtId="4" fontId="6" fillId="0" borderId="0" xfId="1" applyNumberFormat="1" applyFont="1" applyAlignment="1" applyProtection="1">
      <alignment vertical="center"/>
      <protection locked="0"/>
    </xf>
    <xf numFmtId="0" fontId="8" fillId="0" borderId="0" xfId="1" applyFont="1" applyAlignment="1">
      <alignment vertical="center"/>
    </xf>
    <xf numFmtId="0" fontId="98" fillId="0" borderId="0" xfId="1" applyFont="1" applyAlignment="1">
      <alignment vertical="center"/>
    </xf>
    <xf numFmtId="4" fontId="9" fillId="0" borderId="0" xfId="1" applyNumberFormat="1" applyFont="1" applyAlignment="1">
      <alignment vertical="center"/>
    </xf>
    <xf numFmtId="0" fontId="9" fillId="0" borderId="0" xfId="1" applyFont="1" applyAlignment="1">
      <alignment vertical="center"/>
    </xf>
    <xf numFmtId="0" fontId="8" fillId="0" borderId="255" xfId="1" applyFont="1" applyFill="1" applyBorder="1" applyAlignment="1">
      <alignment horizontal="center" vertical="center" wrapText="1"/>
    </xf>
    <xf numFmtId="0" fontId="8" fillId="0" borderId="256" xfId="1" applyFont="1" applyFill="1" applyBorder="1" applyAlignment="1">
      <alignment horizontal="center" vertical="center"/>
    </xf>
    <xf numFmtId="0" fontId="8" fillId="0" borderId="257" xfId="1" applyFont="1" applyFill="1" applyBorder="1" applyAlignment="1">
      <alignment horizontal="center" vertical="center" wrapText="1"/>
    </xf>
    <xf numFmtId="0" fontId="120" fillId="0" borderId="0" xfId="0" applyFont="1" applyAlignment="1" applyProtection="1">
      <alignment horizontal="left" vertical="top"/>
      <protection locked="0"/>
    </xf>
    <xf numFmtId="0" fontId="0" fillId="0" borderId="0" xfId="0" applyAlignment="1" applyProtection="1">
      <alignment horizontal="left" vertical="center"/>
      <protection locked="0"/>
    </xf>
    <xf numFmtId="0" fontId="0" fillId="0" borderId="0" xfId="0" applyAlignment="1" applyProtection="1">
      <alignment horizontal="right" vertical="center"/>
      <protection locked="0"/>
    </xf>
    <xf numFmtId="0" fontId="121" fillId="0" borderId="0" xfId="0" applyFont="1" applyAlignment="1" applyProtection="1">
      <alignment horizontal="center" vertical="center"/>
      <protection locked="0"/>
    </xf>
    <xf numFmtId="0" fontId="0" fillId="0" borderId="0" xfId="0" applyAlignment="1" applyProtection="1">
      <alignment horizontal="center" vertical="center" wrapText="1"/>
      <protection locked="0"/>
    </xf>
    <xf numFmtId="0" fontId="104" fillId="0" borderId="0" xfId="0" applyFont="1" applyAlignment="1" applyProtection="1">
      <alignment horizontal="center" vertical="center" wrapText="1"/>
      <protection locked="0"/>
    </xf>
    <xf numFmtId="0" fontId="11" fillId="20" borderId="202" xfId="0" applyFont="1" applyFill="1" applyBorder="1" applyAlignment="1" applyProtection="1">
      <alignment horizontal="center" vertical="center" wrapText="1"/>
      <protection locked="0"/>
    </xf>
    <xf numFmtId="0" fontId="11" fillId="20" borderId="197" xfId="0" applyFont="1" applyFill="1" applyBorder="1" applyAlignment="1" applyProtection="1">
      <alignment horizontal="center" vertical="center" wrapText="1"/>
      <protection locked="0"/>
    </xf>
    <xf numFmtId="0" fontId="8" fillId="20" borderId="197" xfId="0" applyFont="1" applyFill="1" applyBorder="1" applyAlignment="1" applyProtection="1">
      <alignment horizontal="center" vertical="center" wrapText="1"/>
      <protection locked="0"/>
    </xf>
    <xf numFmtId="0" fontId="6" fillId="20" borderId="197" xfId="0" applyFont="1" applyFill="1" applyBorder="1" applyAlignment="1">
      <alignment horizontal="center" vertical="center" wrapText="1"/>
    </xf>
    <xf numFmtId="0" fontId="8" fillId="20" borderId="197" xfId="0" applyFont="1" applyFill="1" applyBorder="1" applyAlignment="1">
      <alignment horizontal="center" vertical="center" wrapText="1"/>
    </xf>
    <xf numFmtId="0" fontId="8" fillId="20" borderId="198" xfId="0" applyFont="1" applyFill="1" applyBorder="1" applyAlignment="1">
      <alignment horizontal="center" vertical="center" wrapText="1"/>
    </xf>
    <xf numFmtId="0" fontId="8" fillId="0" borderId="258" xfId="0" applyFont="1" applyBorder="1" applyAlignment="1" applyProtection="1">
      <alignment horizontal="center" vertical="top"/>
      <protection locked="0"/>
    </xf>
    <xf numFmtId="0" fontId="8" fillId="0" borderId="7" xfId="0" applyFont="1" applyBorder="1" applyAlignment="1" applyProtection="1">
      <alignment horizontal="center" vertical="center"/>
      <protection locked="0"/>
    </xf>
    <xf numFmtId="0" fontId="8" fillId="0" borderId="7" xfId="0" applyFont="1" applyBorder="1" applyAlignment="1">
      <alignment horizontal="center" vertical="center"/>
    </xf>
    <xf numFmtId="0" fontId="8" fillId="0" borderId="259" xfId="0" applyFont="1" applyBorder="1" applyAlignment="1">
      <alignment horizontal="center" vertical="center"/>
    </xf>
    <xf numFmtId="0" fontId="8" fillId="0" borderId="0" xfId="0" applyFont="1" applyBorder="1" applyAlignment="1">
      <alignment horizontal="center" vertical="center"/>
    </xf>
    <xf numFmtId="0" fontId="6" fillId="0" borderId="232" xfId="0" applyNumberFormat="1"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0" xfId="0" applyFont="1" applyBorder="1" applyAlignment="1" applyProtection="1">
      <alignment horizontal="left" vertical="center"/>
      <protection locked="0"/>
    </xf>
    <xf numFmtId="3" fontId="6" fillId="0" borderId="10" xfId="0" applyNumberFormat="1" applyFont="1" applyBorder="1" applyAlignment="1" applyProtection="1">
      <alignment horizontal="right" vertical="center"/>
      <protection locked="0"/>
    </xf>
    <xf numFmtId="4" fontId="6" fillId="24" borderId="10" xfId="0" applyNumberFormat="1" applyFont="1" applyFill="1" applyBorder="1" applyAlignment="1" applyProtection="1">
      <alignment horizontal="right" vertical="top"/>
      <protection locked="0"/>
    </xf>
    <xf numFmtId="4" fontId="6" fillId="11" borderId="10" xfId="0" applyNumberFormat="1" applyFont="1" applyFill="1" applyBorder="1" applyAlignment="1" applyProtection="1">
      <alignment horizontal="right" vertical="center"/>
      <protection locked="0"/>
    </xf>
    <xf numFmtId="3" fontId="6" fillId="0" borderId="233" xfId="0" applyNumberFormat="1" applyFont="1" applyBorder="1" applyAlignment="1" applyProtection="1">
      <alignment horizontal="right" vertical="center"/>
      <protection locked="0"/>
    </xf>
    <xf numFmtId="3" fontId="6" fillId="0" borderId="0" xfId="0" applyNumberFormat="1" applyFont="1" applyBorder="1" applyAlignment="1" applyProtection="1">
      <alignment horizontal="right" vertical="center"/>
      <protection locked="0"/>
    </xf>
    <xf numFmtId="0" fontId="6" fillId="0" borderId="232" xfId="0" applyFont="1" applyBorder="1" applyAlignment="1" applyProtection="1">
      <alignment horizontal="center" vertical="center"/>
      <protection locked="0"/>
    </xf>
    <xf numFmtId="0" fontId="6" fillId="0" borderId="10" xfId="0" applyFont="1" applyBorder="1" applyAlignment="1" applyProtection="1">
      <alignment horizontal="center" vertical="top"/>
      <protection locked="0"/>
    </xf>
    <xf numFmtId="0" fontId="6" fillId="0" borderId="10" xfId="0" applyFont="1" applyBorder="1" applyAlignment="1" applyProtection="1">
      <alignment horizontal="left" vertical="top"/>
      <protection locked="0"/>
    </xf>
    <xf numFmtId="4" fontId="6" fillId="24" borderId="10" xfId="0" applyNumberFormat="1" applyFont="1" applyFill="1" applyBorder="1" applyAlignment="1" applyProtection="1">
      <alignment horizontal="right" vertical="center"/>
      <protection locked="0"/>
    </xf>
    <xf numFmtId="4" fontId="6" fillId="11" borderId="10" xfId="0" applyNumberFormat="1" applyFont="1" applyFill="1" applyBorder="1" applyAlignment="1">
      <alignment vertical="center"/>
    </xf>
    <xf numFmtId="0" fontId="8" fillId="0" borderId="10" xfId="0" applyFont="1" applyBorder="1" applyAlignment="1" applyProtection="1">
      <alignment horizontal="center" vertical="center"/>
      <protection locked="0"/>
    </xf>
    <xf numFmtId="0" fontId="8" fillId="0" borderId="10" xfId="0" applyFont="1" applyBorder="1" applyAlignment="1" applyProtection="1">
      <alignment horizontal="left" vertical="center"/>
      <protection locked="0"/>
    </xf>
    <xf numFmtId="3" fontId="8" fillId="0" borderId="10" xfId="0" applyNumberFormat="1" applyFont="1" applyBorder="1" applyAlignment="1" applyProtection="1">
      <alignment horizontal="right" vertical="center"/>
      <protection locked="0"/>
    </xf>
    <xf numFmtId="4" fontId="8" fillId="24" borderId="10" xfId="0" applyNumberFormat="1" applyFont="1" applyFill="1" applyBorder="1" applyAlignment="1" applyProtection="1">
      <alignment horizontal="right" vertical="center"/>
      <protection locked="0"/>
    </xf>
    <xf numFmtId="4" fontId="8" fillId="11" borderId="10" xfId="0" applyNumberFormat="1" applyFont="1" applyFill="1" applyBorder="1" applyAlignment="1">
      <alignment vertical="center"/>
    </xf>
    <xf numFmtId="3" fontId="8" fillId="0" borderId="233" xfId="0" applyNumberFormat="1" applyFont="1" applyBorder="1" applyAlignment="1" applyProtection="1">
      <alignment horizontal="right" vertical="center"/>
      <protection locked="0"/>
    </xf>
    <xf numFmtId="3" fontId="8" fillId="0" borderId="0" xfId="0" applyNumberFormat="1" applyFont="1" applyBorder="1" applyAlignment="1" applyProtection="1">
      <alignment horizontal="right" vertical="center"/>
      <protection locked="0"/>
    </xf>
    <xf numFmtId="49" fontId="6" fillId="0" borderId="10" xfId="0" applyNumberFormat="1" applyFont="1" applyBorder="1" applyAlignment="1" applyProtection="1">
      <alignment horizontal="left" vertical="center"/>
      <protection locked="0"/>
    </xf>
    <xf numFmtId="0" fontId="6" fillId="0" borderId="10" xfId="0" applyFont="1" applyFill="1" applyBorder="1" applyAlignment="1" applyProtection="1">
      <alignment horizontal="left" vertical="center"/>
      <protection locked="0"/>
    </xf>
    <xf numFmtId="0" fontId="6" fillId="8" borderId="232" xfId="0" applyFont="1" applyFill="1" applyBorder="1" applyAlignment="1" applyProtection="1">
      <alignment horizontal="center" vertical="center"/>
      <protection locked="0"/>
    </xf>
    <xf numFmtId="0" fontId="8" fillId="8" borderId="10" xfId="0" applyFont="1" applyFill="1" applyBorder="1" applyAlignment="1" applyProtection="1">
      <alignment horizontal="center" vertical="center"/>
      <protection locked="0"/>
    </xf>
    <xf numFmtId="0" fontId="8" fillId="8" borderId="10" xfId="0" applyFont="1" applyFill="1" applyBorder="1" applyAlignment="1" applyProtection="1">
      <alignment horizontal="left" vertical="center"/>
      <protection locked="0"/>
    </xf>
    <xf numFmtId="3" fontId="8" fillId="8" borderId="10" xfId="0" applyNumberFormat="1" applyFont="1" applyFill="1" applyBorder="1" applyAlignment="1" applyProtection="1">
      <alignment horizontal="right" vertical="center"/>
      <protection locked="0"/>
    </xf>
    <xf numFmtId="3" fontId="8" fillId="8" borderId="233" xfId="0" applyNumberFormat="1" applyFont="1" applyFill="1" applyBorder="1" applyAlignment="1" applyProtection="1">
      <alignment horizontal="right" vertical="center"/>
      <protection locked="0"/>
    </xf>
    <xf numFmtId="0" fontId="6" fillId="8" borderId="10" xfId="0" applyFont="1" applyFill="1" applyBorder="1" applyAlignment="1" applyProtection="1">
      <alignment horizontal="center" vertical="center"/>
      <protection locked="0"/>
    </xf>
    <xf numFmtId="0" fontId="6" fillId="8" borderId="10" xfId="0" applyFont="1" applyFill="1" applyBorder="1" applyAlignment="1" applyProtection="1">
      <alignment horizontal="left" vertical="center"/>
      <protection locked="0"/>
    </xf>
    <xf numFmtId="3" fontId="6" fillId="8" borderId="10" xfId="0" applyNumberFormat="1" applyFont="1" applyFill="1" applyBorder="1" applyAlignment="1" applyProtection="1">
      <alignment horizontal="right" vertical="center"/>
      <protection locked="0"/>
    </xf>
    <xf numFmtId="4" fontId="6" fillId="8" borderId="10" xfId="0" applyNumberFormat="1" applyFont="1" applyFill="1" applyBorder="1" applyAlignment="1" applyProtection="1">
      <alignment horizontal="right" vertical="center"/>
      <protection locked="0"/>
    </xf>
    <xf numFmtId="4" fontId="6" fillId="8" borderId="10" xfId="0" applyNumberFormat="1" applyFont="1" applyFill="1" applyBorder="1" applyAlignment="1">
      <alignment vertical="center"/>
    </xf>
    <xf numFmtId="3" fontId="8" fillId="8" borderId="0" xfId="0" applyNumberFormat="1" applyFont="1" applyFill="1" applyBorder="1" applyAlignment="1" applyProtection="1">
      <alignment horizontal="right" vertical="center"/>
      <protection locked="0"/>
    </xf>
    <xf numFmtId="0" fontId="6" fillId="8" borderId="10" xfId="0" applyFont="1" applyFill="1" applyBorder="1" applyAlignment="1" applyProtection="1">
      <alignment horizontal="left" vertical="top"/>
      <protection locked="0"/>
    </xf>
    <xf numFmtId="0" fontId="6" fillId="8" borderId="0" xfId="0" applyFont="1" applyFill="1" applyBorder="1" applyAlignment="1" applyProtection="1">
      <alignment horizontal="left" vertical="top"/>
      <protection locked="0"/>
    </xf>
    <xf numFmtId="0" fontId="8" fillId="8" borderId="245" xfId="0" applyFont="1" applyFill="1" applyBorder="1" applyAlignment="1" applyProtection="1">
      <alignment horizontal="center" vertical="center"/>
      <protection locked="0"/>
    </xf>
    <xf numFmtId="0" fontId="8" fillId="8" borderId="245" xfId="0" applyFont="1" applyFill="1" applyBorder="1" applyAlignment="1" applyProtection="1">
      <alignment horizontal="left" vertical="center"/>
      <protection locked="0"/>
    </xf>
    <xf numFmtId="3" fontId="8" fillId="8" borderId="245" xfId="0" applyNumberFormat="1" applyFont="1" applyFill="1" applyBorder="1" applyAlignment="1" applyProtection="1">
      <alignment horizontal="right" vertical="center"/>
      <protection locked="0"/>
    </xf>
    <xf numFmtId="0" fontId="6" fillId="20" borderId="197" xfId="0" applyFont="1" applyFill="1" applyBorder="1" applyAlignment="1" applyProtection="1">
      <alignment horizontal="left" vertical="center"/>
      <protection locked="0"/>
    </xf>
    <xf numFmtId="0" fontId="8" fillId="20" borderId="197" xfId="0" applyFont="1" applyFill="1" applyBorder="1" applyAlignment="1" applyProtection="1">
      <alignment horizontal="left" vertical="center"/>
      <protection locked="0"/>
    </xf>
    <xf numFmtId="3" fontId="8" fillId="20" borderId="197" xfId="0" applyNumberFormat="1" applyFont="1" applyFill="1" applyBorder="1" applyAlignment="1">
      <alignment vertical="center"/>
    </xf>
    <xf numFmtId="3" fontId="8" fillId="20" borderId="198" xfId="0" applyNumberFormat="1" applyFont="1" applyFill="1" applyBorder="1" applyAlignment="1">
      <alignment vertical="center"/>
    </xf>
    <xf numFmtId="0" fontId="6" fillId="0" borderId="0" xfId="0" applyFont="1" applyAlignment="1" applyProtection="1">
      <alignment horizontal="left" vertical="top"/>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protection locked="0"/>
    </xf>
    <xf numFmtId="4" fontId="6" fillId="0" borderId="0" xfId="0" applyNumberFormat="1" applyFont="1" applyAlignment="1">
      <alignment vertical="center"/>
    </xf>
    <xf numFmtId="10" fontId="122" fillId="0" borderId="0" xfId="0" applyNumberFormat="1" applyFont="1" applyAlignment="1" applyProtection="1">
      <alignment horizontal="left" vertical="center"/>
      <protection locked="0"/>
    </xf>
    <xf numFmtId="10" fontId="122" fillId="0" borderId="0" xfId="0" applyNumberFormat="1" applyFont="1" applyAlignment="1">
      <alignment vertical="center"/>
    </xf>
    <xf numFmtId="3" fontId="62" fillId="0" borderId="0" xfId="0" applyNumberFormat="1" applyFont="1" applyAlignment="1" applyProtection="1">
      <alignment horizontal="right" vertical="center"/>
      <protection locked="0"/>
    </xf>
    <xf numFmtId="3" fontId="62" fillId="0" borderId="0" xfId="0" applyNumberFormat="1" applyFont="1" applyAlignment="1" applyProtection="1">
      <alignment horizontal="center" vertical="center"/>
      <protection locked="0"/>
    </xf>
    <xf numFmtId="4" fontId="29" fillId="11" borderId="10" xfId="0" applyNumberFormat="1" applyFont="1" applyFill="1" applyBorder="1" applyAlignment="1" applyProtection="1">
      <alignment horizontal="right" vertical="top"/>
      <protection locked="0"/>
    </xf>
    <xf numFmtId="0" fontId="29" fillId="0" borderId="10" xfId="0" applyFont="1" applyBorder="1" applyAlignment="1" applyProtection="1">
      <alignment horizontal="center" vertical="top"/>
      <protection locked="0"/>
    </xf>
    <xf numFmtId="0" fontId="29" fillId="0" borderId="10" xfId="0" applyFont="1" applyBorder="1" applyAlignment="1" applyProtection="1">
      <alignment horizontal="left" vertical="top"/>
      <protection locked="0"/>
    </xf>
    <xf numFmtId="4" fontId="8" fillId="24" borderId="10" xfId="0" applyNumberFormat="1" applyFont="1" applyFill="1" applyBorder="1" applyAlignment="1" applyProtection="1">
      <alignment horizontal="right" vertical="top"/>
      <protection locked="0"/>
    </xf>
    <xf numFmtId="0" fontId="8" fillId="0" borderId="10" xfId="0" applyFont="1" applyBorder="1" applyAlignment="1" applyProtection="1">
      <alignment horizontal="center" vertical="top"/>
      <protection locked="0"/>
    </xf>
    <xf numFmtId="4" fontId="30" fillId="11" borderId="10" xfId="0" applyNumberFormat="1" applyFont="1" applyFill="1" applyBorder="1" applyAlignment="1" applyProtection="1">
      <alignment horizontal="right" vertical="top"/>
      <protection locked="0"/>
    </xf>
    <xf numFmtId="4" fontId="6" fillId="24" borderId="10" xfId="0" applyNumberFormat="1" applyFont="1" applyFill="1" applyBorder="1" applyAlignment="1">
      <alignment vertical="center"/>
    </xf>
    <xf numFmtId="3" fontId="6" fillId="25" borderId="10" xfId="0" applyNumberFormat="1" applyFont="1" applyFill="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2" fillId="22" borderId="10" xfId="0" applyFont="1" applyFill="1" applyBorder="1" applyAlignment="1" applyProtection="1">
      <alignment horizontal="left" vertical="center"/>
      <protection locked="0"/>
    </xf>
    <xf numFmtId="3" fontId="22" fillId="25" borderId="10" xfId="0" applyNumberFormat="1" applyFont="1" applyFill="1" applyBorder="1" applyAlignment="1" applyProtection="1">
      <alignment horizontal="right" vertical="center"/>
      <protection locked="0"/>
    </xf>
    <xf numFmtId="4" fontId="22" fillId="24" borderId="10" xfId="0" applyNumberFormat="1" applyFont="1" applyFill="1" applyBorder="1" applyAlignment="1">
      <alignment vertical="center"/>
    </xf>
    <xf numFmtId="3" fontId="22" fillId="22" borderId="10" xfId="0" applyNumberFormat="1" applyFont="1" applyFill="1" applyBorder="1" applyAlignment="1" applyProtection="1">
      <alignment horizontal="right" vertical="center"/>
      <protection locked="0"/>
    </xf>
    <xf numFmtId="4" fontId="42" fillId="11" borderId="10" xfId="0" applyNumberFormat="1" applyFont="1" applyFill="1" applyBorder="1" applyAlignment="1" applyProtection="1">
      <alignment horizontal="right" vertical="top"/>
      <protection locked="0"/>
    </xf>
    <xf numFmtId="3" fontId="22" fillId="0" borderId="233" xfId="0" applyNumberFormat="1" applyFont="1" applyBorder="1" applyAlignment="1" applyProtection="1">
      <alignment horizontal="right" vertical="center"/>
      <protection locked="0"/>
    </xf>
    <xf numFmtId="0" fontId="8" fillId="21" borderId="10" xfId="0" applyFont="1" applyFill="1" applyBorder="1" applyAlignment="1" applyProtection="1">
      <alignment horizontal="center" vertical="center"/>
      <protection locked="0"/>
    </xf>
    <xf numFmtId="0" fontId="8" fillId="21" borderId="10" xfId="0" applyFont="1" applyFill="1" applyBorder="1" applyAlignment="1" applyProtection="1">
      <alignment horizontal="left" vertical="center"/>
      <protection locked="0"/>
    </xf>
    <xf numFmtId="3" fontId="8" fillId="21" borderId="10" xfId="0" applyNumberFormat="1" applyFont="1" applyFill="1" applyBorder="1" applyAlignment="1" applyProtection="1">
      <alignment horizontal="right" vertical="center"/>
      <protection locked="0"/>
    </xf>
    <xf numFmtId="4" fontId="8" fillId="24" borderId="10" xfId="0" applyNumberFormat="1" applyFont="1" applyFill="1" applyBorder="1" applyAlignment="1">
      <alignment vertical="center"/>
    </xf>
    <xf numFmtId="0" fontId="8" fillId="0" borderId="10" xfId="0" applyFont="1" applyFill="1" applyBorder="1" applyAlignment="1" applyProtection="1">
      <alignment horizontal="left" vertical="center"/>
      <protection locked="0"/>
    </xf>
    <xf numFmtId="4" fontId="22" fillId="24" borderId="10" xfId="0" applyNumberFormat="1" applyFont="1" applyFill="1" applyBorder="1" applyAlignment="1" applyProtection="1">
      <alignment horizontal="right" vertical="top"/>
      <protection locked="0"/>
    </xf>
    <xf numFmtId="3" fontId="22" fillId="0" borderId="10" xfId="0" applyNumberFormat="1" applyFont="1" applyBorder="1" applyAlignment="1" applyProtection="1">
      <alignment horizontal="right" vertical="center"/>
      <protection locked="0"/>
    </xf>
    <xf numFmtId="4" fontId="22" fillId="11" borderId="10" xfId="0" applyNumberFormat="1" applyFont="1" applyFill="1" applyBorder="1" applyAlignment="1">
      <alignment vertical="center"/>
    </xf>
    <xf numFmtId="0" fontId="6" fillId="18" borderId="10" xfId="0" applyFont="1" applyFill="1" applyBorder="1" applyAlignment="1" applyProtection="1">
      <alignment horizontal="left" vertical="center"/>
      <protection locked="0"/>
    </xf>
    <xf numFmtId="3" fontId="6" fillId="18" borderId="10" xfId="0" applyNumberFormat="1" applyFont="1" applyFill="1" applyBorder="1" applyAlignment="1" applyProtection="1">
      <alignment horizontal="right" vertical="center"/>
      <protection locked="0"/>
    </xf>
    <xf numFmtId="0" fontId="6" fillId="18" borderId="10" xfId="0" applyFont="1" applyFill="1" applyBorder="1" applyAlignment="1" applyProtection="1">
      <alignment horizontal="left" vertical="top"/>
      <protection locked="0"/>
    </xf>
    <xf numFmtId="0" fontId="8" fillId="25" borderId="10" xfId="0" applyFont="1" applyFill="1" applyBorder="1" applyAlignment="1" applyProtection="1">
      <alignment horizontal="center" vertical="center"/>
      <protection locked="0"/>
    </xf>
    <xf numFmtId="0" fontId="8" fillId="25" borderId="10" xfId="0" applyFont="1" applyFill="1" applyBorder="1" applyAlignment="1" applyProtection="1">
      <alignment horizontal="left" vertical="center"/>
      <protection locked="0"/>
    </xf>
    <xf numFmtId="3" fontId="8" fillId="25" borderId="10" xfId="0" applyNumberFormat="1" applyFont="1" applyFill="1" applyBorder="1" applyAlignment="1" applyProtection="1">
      <alignment horizontal="right" vertical="center"/>
      <protection locked="0"/>
    </xf>
    <xf numFmtId="4" fontId="8" fillId="25" borderId="10" xfId="0" applyNumberFormat="1" applyFont="1" applyFill="1" applyBorder="1" applyAlignment="1" applyProtection="1">
      <alignment horizontal="right" vertical="top"/>
      <protection locked="0"/>
    </xf>
    <xf numFmtId="4" fontId="8" fillId="25" borderId="10" xfId="0" applyNumberFormat="1" applyFont="1" applyFill="1" applyBorder="1" applyAlignment="1">
      <alignment vertical="center"/>
    </xf>
    <xf numFmtId="3" fontId="8" fillId="25" borderId="233" xfId="0" applyNumberFormat="1" applyFont="1" applyFill="1" applyBorder="1" applyAlignment="1" applyProtection="1">
      <alignment horizontal="right" vertical="center"/>
      <protection locked="0"/>
    </xf>
    <xf numFmtId="0" fontId="8" fillId="18" borderId="245" xfId="0" applyFont="1" applyFill="1" applyBorder="1" applyAlignment="1" applyProtection="1">
      <alignment horizontal="center" vertical="center"/>
      <protection locked="0"/>
    </xf>
    <xf numFmtId="0" fontId="8" fillId="18" borderId="245" xfId="0" applyFont="1" applyFill="1" applyBorder="1" applyAlignment="1" applyProtection="1">
      <alignment horizontal="left" vertical="center"/>
      <protection locked="0"/>
    </xf>
    <xf numFmtId="3" fontId="8" fillId="18" borderId="245" xfId="0" applyNumberFormat="1" applyFont="1" applyFill="1" applyBorder="1" applyAlignment="1" applyProtection="1">
      <alignment horizontal="right" vertical="center"/>
      <protection locked="0"/>
    </xf>
    <xf numFmtId="4" fontId="8" fillId="24" borderId="245" xfId="0" applyNumberFormat="1" applyFont="1" applyFill="1" applyBorder="1" applyAlignment="1">
      <alignment vertical="center"/>
    </xf>
    <xf numFmtId="3" fontId="8" fillId="0" borderId="245" xfId="0" applyNumberFormat="1" applyFont="1" applyBorder="1" applyAlignment="1" applyProtection="1">
      <alignment horizontal="right" vertical="center"/>
      <protection locked="0"/>
    </xf>
    <xf numFmtId="4" fontId="8" fillId="11" borderId="245" xfId="0" applyNumberFormat="1" applyFont="1" applyFill="1" applyBorder="1" applyAlignment="1">
      <alignment vertical="center"/>
    </xf>
    <xf numFmtId="3" fontId="6" fillId="0" borderId="260" xfId="0" applyNumberFormat="1" applyFont="1" applyBorder="1" applyAlignment="1" applyProtection="1">
      <alignment horizontal="right" vertical="center"/>
      <protection locked="0"/>
    </xf>
    <xf numFmtId="0" fontId="6" fillId="20" borderId="197" xfId="0" applyFont="1" applyFill="1" applyBorder="1" applyAlignment="1" applyProtection="1">
      <alignment horizontal="center" vertical="center"/>
      <protection locked="0"/>
    </xf>
    <xf numFmtId="3" fontId="8" fillId="5" borderId="197" xfId="0" applyNumberFormat="1" applyFont="1" applyFill="1" applyBorder="1" applyAlignment="1" applyProtection="1">
      <alignment horizontal="right" vertical="top"/>
      <protection locked="0"/>
    </xf>
    <xf numFmtId="3" fontId="0" fillId="0" borderId="0" xfId="0" applyNumberFormat="1" applyAlignment="1" applyProtection="1">
      <alignment horizontal="right" vertical="center"/>
      <protection locked="0"/>
    </xf>
    <xf numFmtId="10" fontId="123" fillId="25" borderId="0" xfId="0" applyNumberFormat="1" applyFont="1" applyFill="1" applyAlignment="1" applyProtection="1">
      <alignment horizontal="left" vertical="center"/>
      <protection locked="0"/>
    </xf>
    <xf numFmtId="10" fontId="123" fillId="25" borderId="0" xfId="0" applyNumberFormat="1" applyFont="1" applyFill="1" applyAlignment="1">
      <alignment vertical="center"/>
    </xf>
    <xf numFmtId="4" fontId="0" fillId="0" borderId="0" xfId="0" applyNumberFormat="1" applyAlignment="1" applyProtection="1">
      <alignment horizontal="right" vertical="top"/>
      <protection locked="0"/>
    </xf>
    <xf numFmtId="4" fontId="0" fillId="0" borderId="0" xfId="0" applyNumberFormat="1" applyAlignment="1" applyProtection="1">
      <alignment horizontal="left" vertical="top"/>
      <protection locked="0"/>
    </xf>
    <xf numFmtId="4" fontId="104" fillId="0" borderId="241" xfId="0" applyNumberFormat="1" applyFont="1" applyBorder="1" applyAlignment="1" applyProtection="1">
      <alignment horizontal="right" vertical="top"/>
      <protection locked="0"/>
    </xf>
    <xf numFmtId="4" fontId="0" fillId="26" borderId="0" xfId="0" applyNumberFormat="1" applyFill="1" applyAlignment="1" applyProtection="1">
      <alignment horizontal="right" vertical="top"/>
      <protection locked="0"/>
    </xf>
    <xf numFmtId="0" fontId="124" fillId="0" borderId="0" xfId="0" quotePrefix="1" applyFont="1" applyAlignment="1">
      <alignment horizontal="left"/>
    </xf>
    <xf numFmtId="0" fontId="41" fillId="0" borderId="0" xfId="0" applyFont="1" applyAlignment="1" applyProtection="1">
      <alignment horizontal="left" vertical="top"/>
      <protection locked="0"/>
    </xf>
    <xf numFmtId="0" fontId="41" fillId="0" borderId="0" xfId="0" applyFont="1" applyAlignment="1" applyProtection="1">
      <alignment horizontal="center" vertical="top"/>
      <protection locked="0"/>
    </xf>
    <xf numFmtId="0" fontId="22" fillId="25" borderId="10" xfId="0" applyFont="1" applyFill="1" applyBorder="1" applyAlignment="1" applyProtection="1">
      <alignment horizontal="center" vertical="center"/>
      <protection locked="0"/>
    </xf>
    <xf numFmtId="0" fontId="6" fillId="0" borderId="0" xfId="1" applyFont="1" applyAlignment="1" applyProtection="1">
      <alignment horizontal="left" vertical="center" wrapText="1"/>
      <protection locked="0"/>
    </xf>
    <xf numFmtId="4" fontId="26" fillId="26" borderId="0" xfId="0" applyNumberFormat="1" applyFont="1" applyFill="1" applyAlignment="1" applyProtection="1">
      <alignment horizontal="right" vertical="top"/>
      <protection locked="0"/>
    </xf>
    <xf numFmtId="3" fontId="0" fillId="0" borderId="0" xfId="0" applyNumberFormat="1" applyAlignment="1" applyProtection="1">
      <alignment horizontal="left" vertical="center"/>
      <protection locked="0"/>
    </xf>
    <xf numFmtId="3" fontId="125" fillId="0" borderId="0" xfId="0" applyNumberFormat="1" applyFont="1" applyAlignment="1" applyProtection="1">
      <alignment horizontal="right" vertical="center"/>
      <protection locked="0"/>
    </xf>
    <xf numFmtId="3" fontId="0" fillId="0" borderId="0" xfId="0" applyNumberFormat="1" applyAlignment="1">
      <alignment horizontal="right" vertical="center"/>
    </xf>
    <xf numFmtId="3" fontId="126" fillId="0" borderId="0" xfId="0" applyNumberFormat="1" applyFont="1" applyAlignment="1" applyProtection="1">
      <alignment horizontal="right" vertical="center"/>
      <protection locked="0"/>
    </xf>
    <xf numFmtId="3" fontId="127" fillId="0" borderId="0" xfId="0" applyNumberFormat="1" applyFont="1" applyAlignment="1">
      <alignment vertical="center"/>
    </xf>
    <xf numFmtId="0" fontId="82" fillId="0" borderId="0" xfId="0" applyFont="1" applyAlignment="1" applyProtection="1">
      <alignment horizontal="left" vertical="center"/>
      <protection locked="0"/>
    </xf>
    <xf numFmtId="3" fontId="8" fillId="26" borderId="197" xfId="0" applyNumberFormat="1" applyFont="1" applyFill="1" applyBorder="1" applyAlignment="1" applyProtection="1">
      <alignment horizontal="right" vertical="top"/>
      <protection locked="0"/>
    </xf>
    <xf numFmtId="4" fontId="0" fillId="11" borderId="0" xfId="0" applyNumberFormat="1" applyFill="1" applyAlignment="1" applyProtection="1">
      <alignment horizontal="right" vertical="top"/>
      <protection locked="0"/>
    </xf>
    <xf numFmtId="0" fontId="41" fillId="0" borderId="10" xfId="0" applyFont="1" applyBorder="1" applyAlignment="1" applyProtection="1">
      <alignment horizontal="left" vertical="top"/>
      <protection locked="0"/>
    </xf>
    <xf numFmtId="0" fontId="6" fillId="0" borderId="10" xfId="0" quotePrefix="1" applyFont="1" applyBorder="1" applyAlignment="1" applyProtection="1">
      <alignment horizontal="left" vertical="center"/>
      <protection locked="0"/>
    </xf>
    <xf numFmtId="0" fontId="6" fillId="0" borderId="261" xfId="0" applyFont="1" applyBorder="1" applyAlignment="1" applyProtection="1">
      <alignment horizontal="center" vertical="center"/>
      <protection locked="0"/>
    </xf>
    <xf numFmtId="3" fontId="8" fillId="5" borderId="198" xfId="0" applyNumberFormat="1" applyFont="1" applyFill="1" applyBorder="1" applyAlignment="1" applyProtection="1">
      <alignment horizontal="right" vertical="top"/>
      <protection locked="0"/>
    </xf>
    <xf numFmtId="4" fontId="29" fillId="0" borderId="10" xfId="2" applyNumberFormat="1" applyFont="1" applyBorder="1" applyAlignment="1">
      <alignment horizontal="right" vertical="center" wrapText="1"/>
    </xf>
    <xf numFmtId="4" fontId="29" fillId="0" borderId="22" xfId="2" applyNumberFormat="1" applyFont="1" applyBorder="1" applyAlignment="1">
      <alignment horizontal="right" vertical="center" wrapText="1"/>
    </xf>
    <xf numFmtId="49" fontId="30" fillId="0" borderId="9" xfId="2" applyNumberFormat="1" applyFont="1" applyBorder="1" applyAlignment="1">
      <alignment horizontal="center" vertical="center" wrapText="1"/>
    </xf>
    <xf numFmtId="49" fontId="30" fillId="0" borderId="10" xfId="2" applyNumberFormat="1" applyFont="1" applyBorder="1" applyAlignment="1">
      <alignment horizontal="center" vertical="center" wrapText="1"/>
    </xf>
    <xf numFmtId="4" fontId="30" fillId="0" borderId="7" xfId="2" applyNumberFormat="1" applyFont="1" applyBorder="1" applyAlignment="1">
      <alignment horizontal="right" vertical="center" wrapText="1"/>
    </xf>
    <xf numFmtId="4" fontId="30" fillId="0" borderId="21" xfId="2" applyNumberFormat="1" applyFont="1" applyBorder="1" applyAlignment="1">
      <alignment horizontal="right" vertical="center" wrapText="1"/>
    </xf>
    <xf numFmtId="4" fontId="30" fillId="0" borderId="10" xfId="2" applyNumberFormat="1" applyFont="1" applyBorder="1" applyAlignment="1">
      <alignment horizontal="right" vertical="center" wrapText="1"/>
    </xf>
    <xf numFmtId="4" fontId="30" fillId="0" borderId="22" xfId="2" applyNumberFormat="1" applyFont="1" applyBorder="1" applyAlignment="1">
      <alignment horizontal="right" vertical="center" wrapText="1"/>
    </xf>
    <xf numFmtId="0" fontId="30" fillId="0" borderId="8" xfId="2" applyFont="1" applyBorder="1" applyAlignment="1">
      <alignment horizontal="left" vertical="center" wrapText="1"/>
    </xf>
    <xf numFmtId="0" fontId="30" fillId="0" borderId="14" xfId="2" applyFont="1" applyBorder="1" applyAlignment="1">
      <alignment horizontal="left" vertical="center" wrapText="1"/>
    </xf>
    <xf numFmtId="49" fontId="30" fillId="0" borderId="15" xfId="2" applyNumberFormat="1" applyFont="1" applyBorder="1" applyAlignment="1">
      <alignment horizontal="center" vertical="center" wrapText="1"/>
    </xf>
    <xf numFmtId="49" fontId="30" fillId="0" borderId="16" xfId="2" applyNumberFormat="1" applyFont="1" applyBorder="1" applyAlignment="1">
      <alignment horizontal="center" vertical="center" wrapText="1"/>
    </xf>
    <xf numFmtId="4" fontId="30" fillId="0" borderId="16" xfId="2" applyNumberFormat="1" applyFont="1" applyBorder="1" applyAlignment="1">
      <alignment horizontal="right" vertical="center" wrapText="1"/>
    </xf>
    <xf numFmtId="4" fontId="30" fillId="0" borderId="40" xfId="2" applyNumberFormat="1" applyFont="1" applyBorder="1" applyAlignment="1">
      <alignment horizontal="right" vertical="center" wrapText="1"/>
    </xf>
    <xf numFmtId="49" fontId="30" fillId="0" borderId="12" xfId="2" applyNumberFormat="1" applyFont="1" applyBorder="1" applyAlignment="1">
      <alignment horizontal="center" vertical="center" wrapText="1"/>
    </xf>
    <xf numFmtId="49" fontId="30" fillId="0" borderId="13" xfId="2" applyNumberFormat="1" applyFont="1" applyBorder="1" applyAlignment="1">
      <alignment horizontal="center" vertical="center" wrapText="1"/>
    </xf>
    <xf numFmtId="4" fontId="30" fillId="0" borderId="12" xfId="2" applyNumberFormat="1" applyFont="1" applyBorder="1" applyAlignment="1">
      <alignment horizontal="right" vertical="center" wrapText="1"/>
    </xf>
    <xf numFmtId="4" fontId="30" fillId="0" borderId="1" xfId="2" applyNumberFormat="1" applyFont="1" applyBorder="1" applyAlignment="1">
      <alignment horizontal="right" vertical="center" wrapText="1"/>
    </xf>
    <xf numFmtId="49" fontId="30" fillId="0" borderId="6" xfId="2" applyNumberFormat="1" applyFont="1" applyBorder="1" applyAlignment="1">
      <alignment horizontal="center" vertical="center" wrapText="1"/>
    </xf>
    <xf numFmtId="49" fontId="30" fillId="0" borderId="7" xfId="2" applyNumberFormat="1" applyFont="1" applyBorder="1" applyAlignment="1">
      <alignment horizontal="center" vertical="center" wrapText="1"/>
    </xf>
    <xf numFmtId="49" fontId="32" fillId="0" borderId="9" xfId="2" applyNumberFormat="1" applyFont="1" applyBorder="1" applyAlignment="1">
      <alignment horizontal="center" vertical="center"/>
    </xf>
    <xf numFmtId="49" fontId="30" fillId="0" borderId="18" xfId="2" applyNumberFormat="1" applyFont="1" applyBorder="1" applyAlignment="1">
      <alignment horizontal="center" vertical="center" wrapText="1"/>
    </xf>
    <xf numFmtId="4" fontId="30" fillId="0" borderId="13" xfId="2" applyNumberFormat="1" applyFont="1" applyBorder="1" applyAlignment="1">
      <alignment horizontal="right" vertical="center" wrapText="1"/>
    </xf>
    <xf numFmtId="0" fontId="101" fillId="8" borderId="0" xfId="2" applyFont="1" applyFill="1" applyBorder="1" applyAlignment="1">
      <alignment vertical="center" wrapText="1"/>
    </xf>
    <xf numFmtId="49" fontId="29" fillId="8" borderId="0" xfId="2" applyNumberFormat="1" applyFont="1" applyFill="1" applyBorder="1" applyAlignment="1">
      <alignment vertical="center" wrapText="1"/>
    </xf>
    <xf numFmtId="3" fontId="29" fillId="8" borderId="0" xfId="2" applyNumberFormat="1" applyFont="1" applyFill="1" applyBorder="1" applyAlignment="1">
      <alignment vertical="center"/>
    </xf>
    <xf numFmtId="49" fontId="66" fillId="0" borderId="0" xfId="2" quotePrefix="1" applyNumberFormat="1" applyFont="1" applyBorder="1" applyAlignment="1">
      <alignment horizontal="left" vertical="center"/>
    </xf>
    <xf numFmtId="0" fontId="90" fillId="0" borderId="0" xfId="2" applyFont="1" applyBorder="1" applyAlignment="1">
      <alignment horizontal="left" vertical="center"/>
    </xf>
    <xf numFmtId="4" fontId="29" fillId="0" borderId="10" xfId="2" applyNumberFormat="1" applyFont="1" applyBorder="1" applyAlignment="1">
      <alignment horizontal="right" vertical="center"/>
    </xf>
    <xf numFmtId="4" fontId="29" fillId="0" borderId="22" xfId="2" applyNumberFormat="1" applyFont="1" applyBorder="1" applyAlignment="1">
      <alignment horizontal="right" vertical="center"/>
    </xf>
    <xf numFmtId="4" fontId="45" fillId="0" borderId="10" xfId="2" applyNumberFormat="1" applyFont="1" applyBorder="1" applyAlignment="1">
      <alignment horizontal="right" vertical="center"/>
    </xf>
    <xf numFmtId="4" fontId="45" fillId="0" borderId="22" xfId="2" applyNumberFormat="1" applyFont="1" applyBorder="1" applyAlignment="1">
      <alignment horizontal="right" vertical="center"/>
    </xf>
    <xf numFmtId="0" fontId="30" fillId="0" borderId="6" xfId="2" applyFont="1" applyBorder="1" applyAlignment="1">
      <alignment horizontal="center" vertical="center"/>
    </xf>
    <xf numFmtId="49" fontId="30" fillId="0" borderId="7" xfId="2" applyNumberFormat="1" applyFont="1" applyBorder="1" applyAlignment="1">
      <alignment horizontal="center" vertical="center"/>
    </xf>
    <xf numFmtId="4" fontId="30" fillId="0" borderId="7" xfId="2" applyNumberFormat="1" applyFont="1" applyBorder="1" applyAlignment="1">
      <alignment horizontal="right" vertical="center"/>
    </xf>
    <xf numFmtId="4" fontId="30" fillId="0" borderId="21" xfId="2" applyNumberFormat="1" applyFont="1" applyBorder="1" applyAlignment="1">
      <alignment horizontal="right" vertical="center"/>
    </xf>
    <xf numFmtId="0" fontId="30" fillId="0" borderId="9" xfId="2" applyFont="1" applyBorder="1" applyAlignment="1">
      <alignment horizontal="center" vertical="center"/>
    </xf>
    <xf numFmtId="49" fontId="30" fillId="0" borderId="10" xfId="2" applyNumberFormat="1" applyFont="1" applyBorder="1" applyAlignment="1">
      <alignment horizontal="center" vertical="center"/>
    </xf>
    <xf numFmtId="4" fontId="30" fillId="0" borderId="10" xfId="2" applyNumberFormat="1" applyFont="1" applyBorder="1" applyAlignment="1">
      <alignment horizontal="right" vertical="center"/>
    </xf>
    <xf numFmtId="4" fontId="30" fillId="0" borderId="22" xfId="2" applyNumberFormat="1" applyFont="1" applyBorder="1" applyAlignment="1">
      <alignment horizontal="right" vertical="center"/>
    </xf>
    <xf numFmtId="0" fontId="30" fillId="0" borderId="33" xfId="2" applyFont="1" applyBorder="1" applyAlignment="1">
      <alignment horizontal="center" vertical="center"/>
    </xf>
    <xf numFmtId="0" fontId="30" fillId="0" borderId="30" xfId="2" applyFont="1" applyBorder="1" applyAlignment="1">
      <alignment horizontal="center" vertical="center"/>
    </xf>
    <xf numFmtId="0" fontId="10" fillId="20" borderId="2" xfId="2" applyFont="1" applyFill="1" applyBorder="1" applyAlignment="1">
      <alignment vertical="center" wrapText="1"/>
    </xf>
    <xf numFmtId="0" fontId="10" fillId="20" borderId="93" xfId="2" applyFont="1" applyFill="1" applyBorder="1" applyAlignment="1">
      <alignment vertical="center" wrapText="1"/>
    </xf>
    <xf numFmtId="0" fontId="10" fillId="20" borderId="23" xfId="2" applyFont="1" applyFill="1" applyBorder="1" applyAlignment="1">
      <alignment vertical="center" wrapText="1"/>
    </xf>
    <xf numFmtId="0" fontId="8" fillId="20" borderId="2" xfId="2" applyFont="1" applyFill="1" applyBorder="1" applyAlignment="1">
      <alignment horizontal="left" vertical="center"/>
    </xf>
    <xf numFmtId="49" fontId="8" fillId="20" borderId="3" xfId="2" applyNumberFormat="1" applyFont="1" applyFill="1" applyBorder="1" applyAlignment="1">
      <alignment horizontal="center" vertical="center" wrapText="1"/>
    </xf>
    <xf numFmtId="49" fontId="8" fillId="20" borderId="4" xfId="2" applyNumberFormat="1" applyFont="1" applyFill="1" applyBorder="1" applyAlignment="1">
      <alignment horizontal="center" vertical="center" wrapText="1"/>
    </xf>
    <xf numFmtId="3" fontId="8" fillId="20" borderId="4" xfId="2" applyNumberFormat="1" applyFont="1" applyFill="1" applyBorder="1" applyAlignment="1">
      <alignment horizontal="center" vertical="center" wrapText="1"/>
    </xf>
    <xf numFmtId="3" fontId="8" fillId="20" borderId="19" xfId="2" applyNumberFormat="1" applyFont="1" applyFill="1" applyBorder="1" applyAlignment="1">
      <alignment horizontal="center" vertical="center" wrapText="1"/>
    </xf>
    <xf numFmtId="0" fontId="8" fillId="0" borderId="14" xfId="2" applyFont="1" applyBorder="1" applyAlignment="1">
      <alignment vertical="center" wrapText="1"/>
    </xf>
    <xf numFmtId="3" fontId="8" fillId="0" borderId="16" xfId="2" applyNumberFormat="1" applyFont="1" applyFill="1" applyBorder="1" applyAlignment="1">
      <alignment horizontal="center" vertical="center" wrapText="1"/>
    </xf>
    <xf numFmtId="3" fontId="8" fillId="0" borderId="40" xfId="2" applyNumberFormat="1" applyFont="1" applyFill="1" applyBorder="1" applyAlignment="1">
      <alignment horizontal="center" vertical="center" wrapText="1"/>
    </xf>
    <xf numFmtId="0" fontId="8" fillId="0" borderId="5" xfId="2" applyFont="1" applyBorder="1" applyAlignment="1">
      <alignment vertical="center" wrapText="1"/>
    </xf>
    <xf numFmtId="0" fontId="8" fillId="0" borderId="6" xfId="2" applyFont="1" applyBorder="1" applyAlignment="1">
      <alignment horizontal="center" vertical="center"/>
    </xf>
    <xf numFmtId="49" fontId="8" fillId="0" borderId="7" xfId="2" applyNumberFormat="1" applyFont="1" applyBorder="1" applyAlignment="1">
      <alignment horizontal="center" vertical="center"/>
    </xf>
    <xf numFmtId="4" fontId="8" fillId="0" borderId="7" xfId="2" applyNumberFormat="1" applyFont="1" applyBorder="1" applyAlignment="1">
      <alignment horizontal="right" vertical="center"/>
    </xf>
    <xf numFmtId="4" fontId="8" fillId="0" borderId="21" xfId="2" applyNumberFormat="1" applyFont="1" applyBorder="1" applyAlignment="1">
      <alignment horizontal="right" vertical="center"/>
    </xf>
    <xf numFmtId="0" fontId="6" fillId="0" borderId="8" xfId="2" applyFont="1" applyBorder="1" applyAlignment="1">
      <alignment vertical="center" wrapText="1"/>
    </xf>
    <xf numFmtId="0" fontId="6" fillId="0" borderId="9" xfId="2" applyFont="1" applyBorder="1" applyAlignment="1">
      <alignment horizontal="center" vertical="center"/>
    </xf>
    <xf numFmtId="49" fontId="6" fillId="0" borderId="10" xfId="2" applyNumberFormat="1" applyFont="1" applyBorder="1" applyAlignment="1">
      <alignment horizontal="center" vertical="center"/>
    </xf>
    <xf numFmtId="4" fontId="6" fillId="0" borderId="10" xfId="2" applyNumberFormat="1" applyFont="1" applyBorder="1" applyAlignment="1">
      <alignment horizontal="right" vertical="center"/>
    </xf>
    <xf numFmtId="4" fontId="6" fillId="0" borderId="22" xfId="2" applyNumberFormat="1" applyFont="1" applyBorder="1" applyAlignment="1">
      <alignment horizontal="right" vertical="center"/>
    </xf>
    <xf numFmtId="0" fontId="8" fillId="0" borderId="8" xfId="2" applyFont="1" applyBorder="1" applyAlignment="1">
      <alignment vertical="center" wrapText="1"/>
    </xf>
    <xf numFmtId="0" fontId="8" fillId="0" borderId="9" xfId="2" applyFont="1" applyBorder="1" applyAlignment="1">
      <alignment horizontal="center" vertical="center"/>
    </xf>
    <xf numFmtId="49" fontId="8" fillId="0" borderId="10" xfId="2" applyNumberFormat="1" applyFont="1" applyBorder="1" applyAlignment="1">
      <alignment horizontal="center" vertical="center"/>
    </xf>
    <xf numFmtId="4" fontId="8" fillId="0" borderId="10" xfId="2" applyNumberFormat="1" applyFont="1" applyBorder="1" applyAlignment="1">
      <alignment horizontal="right" vertical="center"/>
    </xf>
    <xf numFmtId="4" fontId="8" fillId="0" borderId="22" xfId="2" applyNumberFormat="1" applyFont="1" applyBorder="1" applyAlignment="1">
      <alignment horizontal="right" vertical="center"/>
    </xf>
    <xf numFmtId="0" fontId="8" fillId="5" borderId="11" xfId="2" applyFont="1" applyFill="1" applyBorder="1" applyAlignment="1">
      <alignment vertical="center" wrapText="1"/>
    </xf>
    <xf numFmtId="0" fontId="8" fillId="5" borderId="18" xfId="2" applyFont="1" applyFill="1" applyBorder="1" applyAlignment="1">
      <alignment horizontal="center" vertical="center" wrapText="1"/>
    </xf>
    <xf numFmtId="49" fontId="8" fillId="5" borderId="13" xfId="2" applyNumberFormat="1" applyFont="1" applyFill="1" applyBorder="1" applyAlignment="1">
      <alignment horizontal="center" vertical="center"/>
    </xf>
    <xf numFmtId="4" fontId="8" fillId="5" borderId="13" xfId="2" applyNumberFormat="1" applyFont="1" applyFill="1" applyBorder="1" applyAlignment="1">
      <alignment horizontal="right" vertical="center"/>
    </xf>
    <xf numFmtId="4" fontId="8" fillId="5" borderId="1" xfId="2" applyNumberFormat="1" applyFont="1" applyFill="1" applyBorder="1" applyAlignment="1">
      <alignment horizontal="right" vertical="center"/>
    </xf>
    <xf numFmtId="0" fontId="8" fillId="0" borderId="2" xfId="2" applyFont="1" applyBorder="1" applyAlignment="1">
      <alignment vertical="center" wrapText="1"/>
    </xf>
    <xf numFmtId="0" fontId="8" fillId="0" borderId="93" xfId="2" applyFont="1" applyBorder="1" applyAlignment="1">
      <alignment vertical="center" wrapText="1"/>
    </xf>
    <xf numFmtId="0" fontId="8" fillId="0" borderId="23" xfId="2" applyFont="1" applyBorder="1" applyAlignment="1">
      <alignment vertical="center" wrapText="1"/>
    </xf>
    <xf numFmtId="0" fontId="8" fillId="0" borderId="33" xfId="2" applyFont="1" applyBorder="1" applyAlignment="1">
      <alignment horizontal="center" vertical="center"/>
    </xf>
    <xf numFmtId="0" fontId="6" fillId="0" borderId="30" xfId="2" applyFont="1" applyBorder="1" applyAlignment="1">
      <alignment horizontal="center" vertical="center"/>
    </xf>
    <xf numFmtId="0" fontId="8" fillId="0" borderId="30" xfId="2" applyFont="1" applyBorder="1" applyAlignment="1">
      <alignment horizontal="center" vertical="center"/>
    </xf>
    <xf numFmtId="0" fontId="8" fillId="5" borderId="8" xfId="2" applyFont="1" applyFill="1" applyBorder="1" applyAlignment="1">
      <alignment vertical="center" wrapText="1"/>
    </xf>
    <xf numFmtId="0" fontId="8" fillId="5" borderId="30" xfId="2" applyFont="1" applyFill="1" applyBorder="1" applyAlignment="1">
      <alignment horizontal="center" vertical="center" wrapText="1"/>
    </xf>
    <xf numFmtId="49" fontId="8" fillId="5" borderId="10" xfId="2" applyNumberFormat="1" applyFont="1" applyFill="1" applyBorder="1" applyAlignment="1">
      <alignment horizontal="center" vertical="center"/>
    </xf>
    <xf numFmtId="4" fontId="8" fillId="5" borderId="10" xfId="2" applyNumberFormat="1" applyFont="1" applyFill="1" applyBorder="1" applyAlignment="1">
      <alignment horizontal="right" vertical="center"/>
    </xf>
    <xf numFmtId="4" fontId="8" fillId="5" borderId="22" xfId="2" applyNumberFormat="1" applyFont="1" applyFill="1" applyBorder="1" applyAlignment="1">
      <alignment horizontal="right" vertical="center"/>
    </xf>
    <xf numFmtId="0" fontId="8" fillId="0" borderId="37" xfId="2" applyFont="1" applyBorder="1" applyAlignment="1">
      <alignment vertical="center" wrapText="1"/>
    </xf>
    <xf numFmtId="49" fontId="8" fillId="0" borderId="33" xfId="2" applyNumberFormat="1" applyFont="1" applyBorder="1" applyAlignment="1">
      <alignment horizontal="center" vertical="center" wrapText="1"/>
    </xf>
    <xf numFmtId="49" fontId="8" fillId="0" borderId="7" xfId="2" applyNumberFormat="1" applyFont="1" applyBorder="1" applyAlignment="1">
      <alignment horizontal="center" vertical="center" wrapText="1"/>
    </xf>
    <xf numFmtId="49" fontId="8" fillId="5" borderId="18" xfId="2" applyNumberFormat="1" applyFont="1" applyFill="1" applyBorder="1" applyAlignment="1">
      <alignment horizontal="center" vertical="center" wrapText="1"/>
    </xf>
    <xf numFmtId="49" fontId="8" fillId="5" borderId="13" xfId="2" applyNumberFormat="1" applyFont="1" applyFill="1" applyBorder="1" applyAlignment="1">
      <alignment horizontal="center" vertical="center" wrapText="1"/>
    </xf>
    <xf numFmtId="0" fontId="6" fillId="0" borderId="0" xfId="2" applyFont="1" applyBorder="1" applyAlignment="1">
      <alignment vertical="center" wrapText="1"/>
    </xf>
    <xf numFmtId="0" fontId="6" fillId="0" borderId="0" xfId="2" applyFont="1" applyBorder="1" applyAlignment="1">
      <alignment horizontal="center" vertical="center"/>
    </xf>
    <xf numFmtId="3" fontId="6" fillId="0" borderId="0" xfId="2" applyNumberFormat="1" applyFont="1" applyBorder="1" applyAlignment="1">
      <alignment vertical="center"/>
    </xf>
    <xf numFmtId="4" fontId="6" fillId="0" borderId="7" xfId="2" applyNumberFormat="1" applyFont="1" applyBorder="1" applyAlignment="1">
      <alignment horizontal="right" vertical="center"/>
    </xf>
    <xf numFmtId="4" fontId="6" fillId="0" borderId="21" xfId="2" applyNumberFormat="1" applyFont="1" applyBorder="1" applyAlignment="1">
      <alignment horizontal="right" vertical="center"/>
    </xf>
    <xf numFmtId="0" fontId="8" fillId="0" borderId="127" xfId="2" applyFont="1" applyBorder="1" applyAlignment="1">
      <alignment vertical="center" wrapText="1"/>
    </xf>
    <xf numFmtId="0" fontId="8" fillId="0" borderId="0" xfId="2" applyFont="1" applyBorder="1" applyAlignment="1">
      <alignment vertical="center" wrapText="1"/>
    </xf>
    <xf numFmtId="3" fontId="6" fillId="0" borderId="61" xfId="2" applyNumberFormat="1" applyFont="1" applyBorder="1" applyAlignment="1">
      <alignment horizontal="right" vertical="center"/>
    </xf>
    <xf numFmtId="3" fontId="6" fillId="0" borderId="53" xfId="2" applyNumberFormat="1" applyFont="1" applyBorder="1" applyAlignment="1">
      <alignment horizontal="right" vertical="center"/>
    </xf>
    <xf numFmtId="0" fontId="8" fillId="0" borderId="15" xfId="2" applyFont="1" applyBorder="1" applyAlignment="1">
      <alignment horizontal="center" vertical="center"/>
    </xf>
    <xf numFmtId="49" fontId="8" fillId="0" borderId="16" xfId="2" applyNumberFormat="1" applyFont="1" applyBorder="1" applyAlignment="1">
      <alignment horizontal="center" vertical="center"/>
    </xf>
    <xf numFmtId="4" fontId="8" fillId="5" borderId="7" xfId="2" applyNumberFormat="1" applyFont="1" applyFill="1" applyBorder="1" applyAlignment="1">
      <alignment horizontal="right" vertical="center"/>
    </xf>
    <xf numFmtId="4" fontId="8" fillId="5" borderId="21" xfId="2" applyNumberFormat="1" applyFont="1" applyFill="1" applyBorder="1" applyAlignment="1">
      <alignment horizontal="right" vertical="center"/>
    </xf>
    <xf numFmtId="0" fontId="30" fillId="5" borderId="2" xfId="2" applyFont="1" applyFill="1" applyBorder="1" applyAlignment="1">
      <alignment horizontal="left" vertical="center"/>
    </xf>
    <xf numFmtId="49" fontId="30" fillId="5" borderId="3" xfId="2" applyNumberFormat="1" applyFont="1" applyFill="1" applyBorder="1" applyAlignment="1">
      <alignment horizontal="center" vertical="center" wrapText="1"/>
    </xf>
    <xf numFmtId="49" fontId="30" fillId="5" borderId="4" xfId="2" applyNumberFormat="1" applyFont="1" applyFill="1" applyBorder="1" applyAlignment="1">
      <alignment horizontal="center" vertical="center" wrapText="1"/>
    </xf>
    <xf numFmtId="3" fontId="30" fillId="5" borderId="4" xfId="2" applyNumberFormat="1" applyFont="1" applyFill="1" applyBorder="1" applyAlignment="1">
      <alignment horizontal="center" vertical="center" wrapText="1"/>
    </xf>
    <xf numFmtId="3" fontId="30" fillId="5" borderId="19" xfId="2" applyNumberFormat="1" applyFont="1" applyFill="1" applyBorder="1" applyAlignment="1">
      <alignment horizontal="center" vertical="center" wrapText="1"/>
    </xf>
    <xf numFmtId="0" fontId="30" fillId="5" borderId="11" xfId="2" applyFont="1" applyFill="1" applyBorder="1" applyAlignment="1">
      <alignment vertical="center" wrapText="1"/>
    </xf>
    <xf numFmtId="0" fontId="30" fillId="5" borderId="18" xfId="2" applyFont="1" applyFill="1" applyBorder="1" applyAlignment="1">
      <alignment horizontal="center" vertical="center" wrapText="1"/>
    </xf>
    <xf numFmtId="49" fontId="30" fillId="5" borderId="13" xfId="2" applyNumberFormat="1" applyFont="1" applyFill="1" applyBorder="1" applyAlignment="1">
      <alignment horizontal="center" vertical="center"/>
    </xf>
    <xf numFmtId="4" fontId="30" fillId="5" borderId="13" xfId="2" applyNumberFormat="1" applyFont="1" applyFill="1" applyBorder="1" applyAlignment="1">
      <alignment horizontal="right" vertical="center"/>
    </xf>
    <xf numFmtId="4" fontId="30" fillId="5" borderId="1" xfId="2" applyNumberFormat="1" applyFont="1" applyFill="1" applyBorder="1" applyAlignment="1">
      <alignment horizontal="right" vertical="center"/>
    </xf>
    <xf numFmtId="0" fontId="30" fillId="5" borderId="8" xfId="2" applyFont="1" applyFill="1" applyBorder="1" applyAlignment="1">
      <alignment vertical="center" wrapText="1"/>
    </xf>
    <xf numFmtId="0" fontId="30" fillId="5" borderId="30" xfId="2" applyFont="1" applyFill="1" applyBorder="1" applyAlignment="1">
      <alignment horizontal="center" vertical="center" wrapText="1"/>
    </xf>
    <xf numFmtId="49" fontId="30" fillId="5" borderId="10" xfId="2" applyNumberFormat="1" applyFont="1" applyFill="1" applyBorder="1" applyAlignment="1">
      <alignment horizontal="center" vertical="center"/>
    </xf>
    <xf numFmtId="4" fontId="30" fillId="5" borderId="10" xfId="2" applyNumberFormat="1" applyFont="1" applyFill="1" applyBorder="1" applyAlignment="1">
      <alignment horizontal="right" vertical="center"/>
    </xf>
    <xf numFmtId="4" fontId="30" fillId="5" borderId="22" xfId="2" applyNumberFormat="1" applyFont="1" applyFill="1" applyBorder="1" applyAlignment="1">
      <alignment horizontal="right" vertical="center"/>
    </xf>
    <xf numFmtId="49" fontId="29" fillId="5" borderId="18" xfId="2" applyNumberFormat="1" applyFont="1" applyFill="1" applyBorder="1" applyAlignment="1">
      <alignment horizontal="center" vertical="center" wrapText="1"/>
    </xf>
    <xf numFmtId="49" fontId="29" fillId="5" borderId="13" xfId="2" applyNumberFormat="1" applyFont="1" applyFill="1" applyBorder="1" applyAlignment="1">
      <alignment horizontal="center" vertical="center" wrapText="1"/>
    </xf>
    <xf numFmtId="0" fontId="30" fillId="8" borderId="8" xfId="2" applyFont="1" applyFill="1" applyBorder="1" applyAlignment="1">
      <alignment vertical="center" wrapText="1"/>
    </xf>
    <xf numFmtId="0" fontId="29" fillId="8" borderId="30" xfId="2" applyFont="1" applyFill="1" applyBorder="1" applyAlignment="1">
      <alignment horizontal="center" vertical="center"/>
    </xf>
    <xf numFmtId="49" fontId="29" fillId="8" borderId="10" xfId="2" applyNumberFormat="1" applyFont="1" applyFill="1" applyBorder="1" applyAlignment="1">
      <alignment horizontal="center" vertical="center"/>
    </xf>
    <xf numFmtId="4" fontId="29" fillId="8" borderId="10" xfId="2" applyNumberFormat="1" applyFont="1" applyFill="1" applyBorder="1" applyAlignment="1">
      <alignment horizontal="right" vertical="center"/>
    </xf>
    <xf numFmtId="4" fontId="29" fillId="8" borderId="22" xfId="2" applyNumberFormat="1" applyFont="1" applyFill="1" applyBorder="1" applyAlignment="1">
      <alignment horizontal="right" vertical="center"/>
    </xf>
    <xf numFmtId="4" fontId="8" fillId="0" borderId="16" xfId="2" applyNumberFormat="1" applyFont="1" applyBorder="1" applyAlignment="1">
      <alignment horizontal="right" vertical="center"/>
    </xf>
    <xf numFmtId="4" fontId="8" fillId="0" borderId="40" xfId="2" applyNumberFormat="1" applyFont="1" applyBorder="1" applyAlignment="1">
      <alignment horizontal="right" vertical="center"/>
    </xf>
    <xf numFmtId="0" fontId="8" fillId="20" borderId="17" xfId="0" quotePrefix="1" applyFont="1" applyFill="1" applyBorder="1" applyAlignment="1">
      <alignment horizontal="center" vertical="center"/>
    </xf>
    <xf numFmtId="0" fontId="8" fillId="20" borderId="17" xfId="0" applyFont="1" applyFill="1" applyBorder="1" applyAlignment="1">
      <alignment horizontal="center" vertical="center"/>
    </xf>
    <xf numFmtId="0" fontId="8" fillId="0" borderId="8" xfId="0" applyFont="1" applyBorder="1" applyAlignment="1">
      <alignment vertical="center"/>
    </xf>
    <xf numFmtId="0" fontId="8" fillId="0" borderId="8" xfId="0" applyNumberFormat="1" applyFont="1" applyBorder="1" applyAlignment="1">
      <alignment vertical="center"/>
    </xf>
    <xf numFmtId="4" fontId="8" fillId="0" borderId="8" xfId="0" applyNumberFormat="1" applyFont="1" applyBorder="1" applyAlignment="1">
      <alignment vertical="center"/>
    </xf>
    <xf numFmtId="4" fontId="8" fillId="0" borderId="8" xfId="0" applyNumberFormat="1" applyFont="1" applyFill="1" applyBorder="1" applyAlignment="1">
      <alignment vertical="center"/>
    </xf>
    <xf numFmtId="0" fontId="6" fillId="0" borderId="8" xfId="0" applyFont="1" applyBorder="1" applyAlignment="1">
      <alignment vertical="center"/>
    </xf>
    <xf numFmtId="0" fontId="6" fillId="0" borderId="8" xfId="0" applyNumberFormat="1" applyFont="1" applyBorder="1" applyAlignment="1">
      <alignment vertical="center"/>
    </xf>
    <xf numFmtId="4" fontId="6" fillId="0" borderId="8" xfId="0" applyNumberFormat="1" applyFont="1" applyBorder="1" applyAlignment="1">
      <alignment vertical="center"/>
    </xf>
    <xf numFmtId="4" fontId="6" fillId="0" borderId="8" xfId="0" applyNumberFormat="1" applyFont="1" applyFill="1" applyBorder="1" applyAlignment="1">
      <alignment vertical="center"/>
    </xf>
    <xf numFmtId="0" fontId="6" fillId="0" borderId="8" xfId="0" applyFont="1" applyBorder="1" applyAlignment="1">
      <alignment horizontal="left" vertical="center"/>
    </xf>
    <xf numFmtId="0" fontId="8" fillId="0" borderId="8" xfId="0" applyFont="1" applyBorder="1" applyAlignment="1">
      <alignment horizontal="left" vertical="center"/>
    </xf>
    <xf numFmtId="0" fontId="8" fillId="20" borderId="17" xfId="0" applyFont="1" applyFill="1" applyBorder="1" applyAlignment="1">
      <alignment vertical="center"/>
    </xf>
    <xf numFmtId="0" fontId="8" fillId="20" borderId="17" xfId="0" applyNumberFormat="1" applyFont="1" applyFill="1" applyBorder="1" applyAlignment="1">
      <alignment vertical="center"/>
    </xf>
    <xf numFmtId="4" fontId="8" fillId="20" borderId="17" xfId="0" applyNumberFormat="1" applyFont="1" applyFill="1" applyBorder="1" applyAlignment="1">
      <alignment vertical="center"/>
    </xf>
    <xf numFmtId="0" fontId="8" fillId="0" borderId="56" xfId="0" applyFont="1" applyBorder="1" applyAlignment="1">
      <alignment vertical="center"/>
    </xf>
    <xf numFmtId="4" fontId="8" fillId="0" borderId="56" xfId="0" applyNumberFormat="1" applyFont="1" applyBorder="1" applyAlignment="1">
      <alignment vertical="center"/>
    </xf>
    <xf numFmtId="4" fontId="8" fillId="0" borderId="56" xfId="0" applyNumberFormat="1" applyFont="1" applyFill="1" applyBorder="1" applyAlignment="1">
      <alignment vertical="center"/>
    </xf>
    <xf numFmtId="0" fontId="8" fillId="0" borderId="126" xfId="0" applyFont="1" applyBorder="1" applyAlignment="1">
      <alignment vertical="center"/>
    </xf>
    <xf numFmtId="4" fontId="6" fillId="0" borderId="126" xfId="0" applyNumberFormat="1" applyFont="1" applyBorder="1" applyAlignment="1">
      <alignment vertical="center"/>
    </xf>
    <xf numFmtId="4" fontId="6" fillId="0" borderId="126" xfId="0" applyNumberFormat="1" applyFont="1" applyFill="1" applyBorder="1" applyAlignment="1">
      <alignment vertical="center"/>
    </xf>
    <xf numFmtId="0" fontId="99" fillId="25" borderId="0" xfId="2" applyFont="1" applyFill="1" applyBorder="1" applyAlignment="1">
      <alignment vertical="center"/>
    </xf>
    <xf numFmtId="49" fontId="66" fillId="25" borderId="0" xfId="2" applyNumberFormat="1" applyFont="1" applyFill="1" applyBorder="1" applyAlignment="1">
      <alignment vertical="center"/>
    </xf>
    <xf numFmtId="49" fontId="100" fillId="25" borderId="0" xfId="2" applyNumberFormat="1" applyFont="1" applyFill="1" applyBorder="1" applyAlignment="1">
      <alignment vertical="center"/>
    </xf>
    <xf numFmtId="0" fontId="102" fillId="0" borderId="0" xfId="0" quotePrefix="1" applyFont="1" applyAlignment="1" applyProtection="1">
      <alignment horizontal="left" vertical="top"/>
      <protection locked="0"/>
    </xf>
    <xf numFmtId="0" fontId="8" fillId="8" borderId="0" xfId="0" applyFont="1" applyFill="1" applyBorder="1" applyAlignment="1">
      <alignment horizontal="center" vertical="center" wrapText="1"/>
    </xf>
    <xf numFmtId="3" fontId="82" fillId="25" borderId="0" xfId="0" applyNumberFormat="1" applyFont="1" applyFill="1" applyAlignment="1" applyProtection="1">
      <alignment horizontal="right" vertical="center"/>
      <protection locked="0"/>
    </xf>
    <xf numFmtId="0" fontId="82" fillId="25" borderId="0" xfId="0" applyFont="1" applyFill="1" applyAlignment="1">
      <alignment vertical="center"/>
    </xf>
    <xf numFmtId="3" fontId="82" fillId="25" borderId="233" xfId="0" applyNumberFormat="1" applyFont="1" applyFill="1" applyBorder="1" applyAlignment="1" applyProtection="1">
      <alignment horizontal="right" vertical="center"/>
      <protection locked="0"/>
    </xf>
    <xf numFmtId="0" fontId="6" fillId="8" borderId="0" xfId="0" applyFont="1" applyFill="1" applyBorder="1" applyAlignment="1" applyProtection="1">
      <alignment horizontal="center" vertical="center"/>
      <protection locked="0"/>
    </xf>
    <xf numFmtId="0" fontId="6" fillId="8" borderId="0" xfId="0" applyFont="1" applyFill="1" applyBorder="1" applyAlignment="1" applyProtection="1">
      <alignment horizontal="left" vertical="center"/>
      <protection locked="0"/>
    </xf>
    <xf numFmtId="4" fontId="6" fillId="8" borderId="0" xfId="0" applyNumberFormat="1" applyFont="1" applyFill="1" applyBorder="1" applyAlignment="1" applyProtection="1">
      <alignment horizontal="right" vertical="center"/>
      <protection locked="0"/>
    </xf>
    <xf numFmtId="0" fontId="0" fillId="0" borderId="0" xfId="0" applyBorder="1" applyAlignment="1" applyProtection="1">
      <alignment horizontal="right" vertical="top"/>
      <protection locked="0"/>
    </xf>
    <xf numFmtId="3" fontId="0" fillId="0" borderId="0" xfId="0" applyNumberFormat="1" applyBorder="1" applyAlignment="1" applyProtection="1">
      <alignment horizontal="right" vertical="top"/>
      <protection locked="0"/>
    </xf>
    <xf numFmtId="0" fontId="0" fillId="0" borderId="0" xfId="0" applyBorder="1"/>
    <xf numFmtId="0" fontId="0" fillId="0" borderId="10" xfId="0" applyBorder="1" applyAlignment="1" applyProtection="1">
      <alignment horizontal="left" vertical="top"/>
      <protection locked="0"/>
    </xf>
    <xf numFmtId="4" fontId="0" fillId="0" borderId="10" xfId="0" applyNumberFormat="1" applyBorder="1" applyAlignment="1" applyProtection="1">
      <alignment horizontal="right" vertical="top"/>
      <protection locked="0"/>
    </xf>
    <xf numFmtId="4" fontId="0" fillId="24" borderId="10" xfId="0" applyNumberFormat="1" applyFill="1" applyBorder="1" applyAlignment="1" applyProtection="1">
      <alignment horizontal="right" vertical="top"/>
      <protection locked="0"/>
    </xf>
    <xf numFmtId="0" fontId="12" fillId="0" borderId="0" xfId="0" applyFont="1" applyFill="1" applyAlignment="1">
      <alignment horizontal="left" vertical="center" wrapText="1"/>
    </xf>
    <xf numFmtId="0" fontId="55" fillId="0" borderId="0" xfId="0" applyFont="1" applyFill="1" applyAlignment="1">
      <alignment horizontal="left" vertical="center" wrapText="1"/>
    </xf>
    <xf numFmtId="0" fontId="6" fillId="0" borderId="65" xfId="1" applyFont="1" applyBorder="1" applyAlignment="1">
      <alignment horizontal="center" vertical="center"/>
    </xf>
    <xf numFmtId="0" fontId="41" fillId="0" borderId="10" xfId="0" applyFont="1" applyBorder="1" applyAlignment="1" applyProtection="1">
      <alignment horizontal="center" vertical="top"/>
      <protection locked="0"/>
    </xf>
    <xf numFmtId="0" fontId="96" fillId="0" borderId="0" xfId="0" applyFont="1" applyAlignment="1" applyProtection="1">
      <alignment horizontal="left" vertical="top"/>
      <protection locked="0"/>
    </xf>
    <xf numFmtId="0" fontId="96" fillId="0" borderId="0" xfId="0" applyFont="1" applyAlignment="1" applyProtection="1">
      <alignment horizontal="right" vertical="top"/>
      <protection locked="0"/>
    </xf>
    <xf numFmtId="4" fontId="96" fillId="0" borderId="0" xfId="0" applyNumberFormat="1" applyFont="1" applyAlignment="1" applyProtection="1">
      <alignment horizontal="right" vertical="top"/>
      <protection locked="0"/>
    </xf>
    <xf numFmtId="0" fontId="128" fillId="0" borderId="0" xfId="0" applyFont="1" applyAlignment="1" applyProtection="1">
      <alignment horizontal="left" vertical="top"/>
      <protection locked="0"/>
    </xf>
    <xf numFmtId="0" fontId="128" fillId="0" borderId="0" xfId="0" applyFont="1" applyAlignment="1" applyProtection="1">
      <alignment horizontal="right" vertical="top"/>
      <protection locked="0"/>
    </xf>
    <xf numFmtId="4" fontId="128" fillId="0" borderId="0" xfId="0" applyNumberFormat="1" applyFont="1" applyAlignment="1" applyProtection="1">
      <alignment horizontal="right" vertical="top"/>
      <protection locked="0"/>
    </xf>
    <xf numFmtId="4" fontId="8" fillId="11" borderId="10" xfId="0" applyNumberFormat="1" applyFont="1" applyFill="1" applyBorder="1" applyAlignment="1" applyProtection="1">
      <alignment horizontal="right" vertical="center"/>
      <protection locked="0"/>
    </xf>
    <xf numFmtId="22" fontId="129" fillId="0" borderId="0" xfId="0" applyNumberFormat="1" applyFont="1" applyAlignment="1" applyProtection="1">
      <alignment horizontal="right" vertical="top"/>
      <protection locked="0"/>
    </xf>
    <xf numFmtId="0" fontId="14" fillId="8" borderId="10" xfId="0" applyFont="1" applyFill="1" applyBorder="1" applyAlignment="1" applyProtection="1">
      <alignment horizontal="center" vertical="center"/>
      <protection locked="0"/>
    </xf>
    <xf numFmtId="0" fontId="14" fillId="8" borderId="10" xfId="0" applyFont="1" applyFill="1" applyBorder="1" applyAlignment="1" applyProtection="1">
      <alignment horizontal="left" vertical="center"/>
      <protection locked="0"/>
    </xf>
    <xf numFmtId="4" fontId="0" fillId="11" borderId="10" xfId="0" applyNumberFormat="1" applyFill="1" applyBorder="1" applyAlignment="1" applyProtection="1">
      <alignment horizontal="right" vertical="top"/>
      <protection locked="0"/>
    </xf>
    <xf numFmtId="0" fontId="6" fillId="11" borderId="0" xfId="0" applyFont="1" applyFill="1" applyBorder="1" applyAlignment="1" applyProtection="1">
      <alignment horizontal="left" vertical="center"/>
      <protection locked="0"/>
    </xf>
    <xf numFmtId="3" fontId="62" fillId="0" borderId="0" xfId="0" quotePrefix="1" applyNumberFormat="1" applyFont="1" applyAlignment="1" applyProtection="1">
      <alignment horizontal="center" vertical="center"/>
      <protection locked="0"/>
    </xf>
    <xf numFmtId="4" fontId="0" fillId="0" borderId="10" xfId="0" applyNumberFormat="1" applyBorder="1"/>
    <xf numFmtId="4" fontId="26" fillId="0" borderId="10" xfId="0" applyNumberFormat="1" applyFont="1" applyBorder="1"/>
    <xf numFmtId="3" fontId="22" fillId="8" borderId="10" xfId="0" applyNumberFormat="1" applyFont="1" applyFill="1" applyBorder="1" applyAlignment="1" applyProtection="1">
      <alignment horizontal="right" vertical="center"/>
      <protection locked="0"/>
    </xf>
    <xf numFmtId="0" fontId="7" fillId="0" borderId="0" xfId="1" applyFont="1" applyAlignment="1" applyProtection="1">
      <alignment horizontal="left" vertical="center"/>
      <protection locked="0"/>
    </xf>
    <xf numFmtId="0" fontId="6" fillId="0" borderId="0" xfId="1" applyFont="1" applyAlignment="1" applyProtection="1">
      <alignment horizontal="center" vertical="center"/>
      <protection locked="0"/>
    </xf>
    <xf numFmtId="0" fontId="6" fillId="0" borderId="0" xfId="1" applyFont="1" applyAlignment="1">
      <alignment horizontal="right" vertical="center"/>
    </xf>
    <xf numFmtId="0" fontId="8" fillId="20" borderId="16" xfId="1" applyFont="1" applyFill="1" applyBorder="1" applyAlignment="1" applyProtection="1">
      <alignment horizontal="center" vertical="center" wrapText="1"/>
      <protection locked="0"/>
    </xf>
    <xf numFmtId="0" fontId="8" fillId="20" borderId="16" xfId="1" applyFont="1" applyFill="1" applyBorder="1" applyAlignment="1" applyProtection="1">
      <alignment vertical="center" wrapText="1"/>
      <protection locked="0"/>
    </xf>
    <xf numFmtId="0" fontId="8" fillId="20" borderId="40" xfId="1" applyFont="1" applyFill="1" applyBorder="1" applyAlignment="1" applyProtection="1">
      <alignment vertical="center" wrapText="1"/>
      <protection locked="0"/>
    </xf>
    <xf numFmtId="0" fontId="8" fillId="0" borderId="41" xfId="1" applyFont="1" applyBorder="1" applyAlignment="1" applyProtection="1">
      <alignment horizontal="center" vertical="center" wrapText="1"/>
      <protection locked="0"/>
    </xf>
    <xf numFmtId="0" fontId="8" fillId="0" borderId="41" xfId="1" applyFont="1" applyFill="1" applyBorder="1" applyAlignment="1" applyProtection="1">
      <alignment horizontal="center" vertical="center" wrapText="1"/>
      <protection locked="0"/>
    </xf>
    <xf numFmtId="0" fontId="8" fillId="0" borderId="42" xfId="1" applyFont="1" applyBorder="1" applyAlignment="1" applyProtection="1">
      <alignment horizontal="center" vertical="center" wrapText="1"/>
      <protection locked="0"/>
    </xf>
    <xf numFmtId="0" fontId="6" fillId="20" borderId="117" xfId="1" applyFont="1" applyFill="1" applyBorder="1" applyAlignment="1">
      <alignment horizontal="center" vertical="center"/>
    </xf>
    <xf numFmtId="0" fontId="8" fillId="20" borderId="138" xfId="1" applyFont="1" applyFill="1" applyBorder="1" applyAlignment="1" applyProtection="1">
      <alignment horizontal="left" vertical="center" wrapText="1" indent="1"/>
      <protection locked="0"/>
    </xf>
    <xf numFmtId="3" fontId="8" fillId="20" borderId="16" xfId="1" applyNumberFormat="1" applyFont="1" applyFill="1" applyBorder="1" applyAlignment="1" applyProtection="1">
      <alignment vertical="center" wrapText="1"/>
      <protection locked="0"/>
    </xf>
    <xf numFmtId="164" fontId="8" fillId="20" borderId="40" xfId="1" applyNumberFormat="1" applyFont="1" applyFill="1" applyBorder="1" applyAlignment="1">
      <alignment horizontal="center" vertical="center"/>
    </xf>
    <xf numFmtId="3" fontId="6" fillId="0" borderId="49" xfId="1" applyNumberFormat="1" applyFont="1" applyBorder="1" applyAlignment="1" applyProtection="1">
      <alignment horizontal="right" vertical="center"/>
      <protection locked="0"/>
    </xf>
    <xf numFmtId="4" fontId="6" fillId="0" borderId="49" xfId="1" applyNumberFormat="1" applyFont="1" applyBorder="1" applyAlignment="1" applyProtection="1">
      <alignment horizontal="right" vertical="center"/>
      <protection locked="0"/>
    </xf>
    <xf numFmtId="0" fontId="8" fillId="20" borderId="33" xfId="1" applyFont="1" applyFill="1" applyBorder="1" applyAlignment="1">
      <alignment horizontal="center" vertical="center"/>
    </xf>
    <xf numFmtId="3" fontId="8" fillId="20" borderId="45" xfId="1" applyNumberFormat="1" applyFont="1" applyFill="1" applyBorder="1" applyAlignment="1" applyProtection="1">
      <alignment vertical="center" wrapText="1"/>
      <protection locked="0"/>
    </xf>
    <xf numFmtId="3" fontId="8" fillId="20" borderId="7" xfId="1" applyNumberFormat="1" applyFont="1" applyFill="1" applyBorder="1" applyAlignment="1" applyProtection="1">
      <alignment horizontal="right" vertical="center" wrapText="1"/>
      <protection locked="0"/>
    </xf>
    <xf numFmtId="4" fontId="8" fillId="20" borderId="22" xfId="1" applyNumberFormat="1" applyFont="1" applyFill="1" applyBorder="1" applyAlignment="1">
      <alignment horizontal="right" vertical="center"/>
    </xf>
    <xf numFmtId="3" fontId="8" fillId="8" borderId="22" xfId="1" applyNumberFormat="1" applyFont="1" applyFill="1" applyBorder="1" applyAlignment="1">
      <alignment horizontal="right" vertical="center"/>
    </xf>
    <xf numFmtId="4" fontId="6" fillId="8" borderId="49" xfId="1" applyNumberFormat="1" applyFont="1" applyFill="1" applyBorder="1" applyAlignment="1" applyProtection="1">
      <alignment horizontal="right" vertical="center"/>
      <protection locked="0"/>
    </xf>
    <xf numFmtId="3" fontId="9" fillId="0" borderId="49" xfId="1" applyNumberFormat="1" applyFont="1" applyBorder="1" applyAlignment="1" applyProtection="1">
      <alignment horizontal="right" vertical="center"/>
      <protection locked="0"/>
    </xf>
    <xf numFmtId="3" fontId="8" fillId="20" borderId="3" xfId="1" applyNumberFormat="1" applyFont="1" applyFill="1" applyBorder="1" applyAlignment="1" applyProtection="1">
      <alignment horizontal="center" vertical="center"/>
      <protection locked="0"/>
    </xf>
    <xf numFmtId="3" fontId="8" fillId="20" borderId="4" xfId="1" applyNumberFormat="1" applyFont="1" applyFill="1" applyBorder="1" applyAlignment="1" applyProtection="1">
      <alignment vertical="center" wrapText="1"/>
      <protection locked="0"/>
    </xf>
    <xf numFmtId="3" fontId="8" fillId="20" borderId="4" xfId="1" applyNumberFormat="1" applyFont="1" applyFill="1" applyBorder="1" applyAlignment="1" applyProtection="1">
      <alignment horizontal="right" vertical="center"/>
      <protection hidden="1"/>
    </xf>
    <xf numFmtId="4" fontId="8" fillId="20" borderId="19" xfId="1" applyNumberFormat="1" applyFont="1" applyFill="1" applyBorder="1" applyAlignment="1">
      <alignment horizontal="right" vertical="center"/>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left" vertical="center"/>
      <protection locked="0"/>
    </xf>
    <xf numFmtId="4" fontId="115" fillId="0" borderId="0" xfId="1" applyNumberFormat="1" applyFont="1" applyFill="1" applyBorder="1" applyAlignment="1" applyProtection="1">
      <alignment horizontal="right" vertical="center"/>
      <protection hidden="1"/>
    </xf>
    <xf numFmtId="4" fontId="115" fillId="8" borderId="0" xfId="1" applyNumberFormat="1" applyFont="1" applyFill="1" applyBorder="1" applyAlignment="1" applyProtection="1">
      <alignment horizontal="right" vertical="center"/>
      <protection hidden="1"/>
    </xf>
    <xf numFmtId="0" fontId="6" fillId="0" borderId="0" xfId="1" applyFont="1" applyAlignment="1">
      <alignment horizontal="left" vertical="center"/>
    </xf>
    <xf numFmtId="0" fontId="20" fillId="0" borderId="0" xfId="1" applyFont="1" applyAlignment="1" applyProtection="1">
      <alignment horizontal="left" vertical="center"/>
      <protection locked="0"/>
    </xf>
    <xf numFmtId="0" fontId="130" fillId="0" borderId="0" xfId="1" applyFont="1" applyAlignment="1" applyProtection="1">
      <alignment vertical="center"/>
      <protection locked="0"/>
    </xf>
    <xf numFmtId="0" fontId="132" fillId="0" borderId="0" xfId="0" applyFont="1"/>
    <xf numFmtId="0" fontId="133" fillId="0" borderId="0" xfId="0" applyFont="1" applyAlignment="1">
      <alignment horizontal="left"/>
    </xf>
    <xf numFmtId="0" fontId="22" fillId="20" borderId="17" xfId="1" applyFont="1" applyFill="1" applyBorder="1" applyAlignment="1" applyProtection="1">
      <alignment horizontal="center" vertical="center" wrapText="1"/>
      <protection locked="0"/>
    </xf>
    <xf numFmtId="0" fontId="22" fillId="20" borderId="3" xfId="1" applyFont="1" applyFill="1" applyBorder="1" applyAlignment="1" applyProtection="1">
      <alignment horizontal="center" vertical="center" wrapText="1"/>
      <protection locked="0"/>
    </xf>
    <xf numFmtId="0" fontId="22" fillId="20" borderId="4" xfId="1" applyFont="1" applyFill="1" applyBorder="1" applyAlignment="1" applyProtection="1">
      <alignment horizontal="center" vertical="center" wrapText="1"/>
      <protection locked="0"/>
    </xf>
    <xf numFmtId="0" fontId="22" fillId="20" borderId="19" xfId="1" applyFont="1" applyFill="1" applyBorder="1" applyAlignment="1" applyProtection="1">
      <alignment horizontal="center" vertical="center" wrapText="1"/>
      <protection locked="0"/>
    </xf>
    <xf numFmtId="49" fontId="6" fillId="0" borderId="8" xfId="0" applyNumberFormat="1" applyFont="1" applyFill="1" applyBorder="1" applyAlignment="1">
      <alignment horizontal="left" vertical="center"/>
    </xf>
    <xf numFmtId="3" fontId="6" fillId="0" borderId="9" xfId="1" applyNumberFormat="1" applyFont="1" applyBorder="1" applyAlignment="1" applyProtection="1">
      <alignment horizontal="right" vertical="center" wrapText="1"/>
      <protection locked="0"/>
    </xf>
    <xf numFmtId="3" fontId="6" fillId="21" borderId="10" xfId="1" applyNumberFormat="1" applyFont="1" applyFill="1" applyBorder="1" applyAlignment="1" applyProtection="1">
      <alignment horizontal="right" vertical="center" wrapText="1"/>
      <protection locked="0"/>
    </xf>
    <xf numFmtId="3" fontId="22" fillId="0" borderId="21" xfId="1" applyNumberFormat="1" applyFont="1" applyBorder="1" applyAlignment="1" applyProtection="1">
      <alignment horizontal="right" vertical="center" wrapText="1"/>
      <protection hidden="1"/>
    </xf>
    <xf numFmtId="10" fontId="22" fillId="0" borderId="21" xfId="1" applyNumberFormat="1" applyFont="1" applyBorder="1" applyAlignment="1" applyProtection="1">
      <alignment horizontal="right" vertical="center" wrapText="1"/>
      <protection hidden="1"/>
    </xf>
    <xf numFmtId="3" fontId="6" fillId="18" borderId="10" xfId="1" applyNumberFormat="1" applyFont="1" applyFill="1" applyBorder="1" applyAlignment="1" applyProtection="1">
      <alignment horizontal="right" vertical="center" wrapText="1"/>
      <protection locked="0"/>
    </xf>
    <xf numFmtId="3" fontId="6" fillId="11" borderId="10" xfId="1" applyNumberFormat="1" applyFont="1" applyFill="1" applyBorder="1" applyAlignment="1" applyProtection="1">
      <alignment horizontal="right" vertical="center" wrapText="1"/>
      <protection locked="0"/>
    </xf>
    <xf numFmtId="3" fontId="6" fillId="0" borderId="9" xfId="1" applyNumberFormat="1" applyFont="1" applyBorder="1" applyAlignment="1" applyProtection="1">
      <alignment horizontal="center" vertical="center" wrapText="1"/>
      <protection locked="0"/>
    </xf>
    <xf numFmtId="49" fontId="6" fillId="0" borderId="8" xfId="0" quotePrefix="1" applyNumberFormat="1" applyFont="1" applyFill="1" applyBorder="1" applyAlignment="1">
      <alignment horizontal="left" vertical="center"/>
    </xf>
    <xf numFmtId="0" fontId="8" fillId="20" borderId="17" xfId="1" applyFont="1" applyFill="1" applyBorder="1" applyAlignment="1" applyProtection="1">
      <alignment horizontal="left" vertical="center" wrapText="1"/>
      <protection locked="0"/>
    </xf>
    <xf numFmtId="3" fontId="8" fillId="20" borderId="26" xfId="1" applyNumberFormat="1" applyFont="1" applyFill="1" applyBorder="1" applyAlignment="1" applyProtection="1">
      <alignment horizontal="right" vertical="center" wrapText="1"/>
      <protection hidden="1"/>
    </xf>
    <xf numFmtId="3" fontId="8" fillId="20" borderId="23" xfId="1" applyNumberFormat="1" applyFont="1" applyFill="1" applyBorder="1" applyAlignment="1" applyProtection="1">
      <alignment horizontal="right" vertical="center" wrapText="1"/>
      <protection hidden="1"/>
    </xf>
    <xf numFmtId="10" fontId="22" fillId="5" borderId="21" xfId="1" applyNumberFormat="1" applyFont="1" applyFill="1" applyBorder="1" applyAlignment="1" applyProtection="1">
      <alignment horizontal="right" vertical="center" wrapText="1"/>
      <protection hidden="1"/>
    </xf>
    <xf numFmtId="10" fontId="0" fillId="0" borderId="0" xfId="0" applyNumberFormat="1"/>
    <xf numFmtId="10" fontId="0" fillId="10" borderId="0" xfId="0" applyNumberFormat="1" applyFill="1"/>
    <xf numFmtId="3" fontId="82" fillId="0" borderId="9" xfId="1" applyNumberFormat="1" applyFont="1" applyBorder="1" applyAlignment="1" applyProtection="1">
      <alignment horizontal="right" vertical="center" wrapText="1"/>
      <protection locked="0"/>
    </xf>
    <xf numFmtId="3" fontId="59" fillId="0" borderId="21" xfId="1" applyNumberFormat="1" applyFont="1" applyBorder="1" applyAlignment="1" applyProtection="1">
      <alignment horizontal="right" vertical="center" wrapText="1"/>
      <protection hidden="1"/>
    </xf>
    <xf numFmtId="10" fontId="59" fillId="0" borderId="21" xfId="1" applyNumberFormat="1" applyFont="1" applyBorder="1" applyAlignment="1" applyProtection="1">
      <alignment horizontal="right" vertical="center" wrapText="1"/>
      <protection hidden="1"/>
    </xf>
    <xf numFmtId="10" fontId="0" fillId="21" borderId="0" xfId="0" applyNumberFormat="1" applyFill="1"/>
    <xf numFmtId="3" fontId="92" fillId="0" borderId="9" xfId="1" applyNumberFormat="1" applyFont="1" applyBorder="1" applyAlignment="1" applyProtection="1">
      <alignment horizontal="right" vertical="center" wrapText="1"/>
      <protection locked="0"/>
    </xf>
    <xf numFmtId="3" fontId="115" fillId="18" borderId="9" xfId="1" applyNumberFormat="1" applyFont="1" applyFill="1" applyBorder="1" applyAlignment="1" applyProtection="1">
      <alignment horizontal="right" vertical="center" wrapText="1"/>
      <protection locked="0"/>
    </xf>
    <xf numFmtId="3" fontId="134" fillId="0" borderId="21" xfId="1" applyNumberFormat="1" applyFont="1" applyBorder="1" applyAlignment="1" applyProtection="1">
      <alignment horizontal="right" vertical="center" wrapText="1"/>
      <protection hidden="1"/>
    </xf>
    <xf numFmtId="10" fontId="134" fillId="0" borderId="21" xfId="1" applyNumberFormat="1" applyFont="1" applyBorder="1" applyAlignment="1" applyProtection="1">
      <alignment horizontal="right" vertical="center" wrapText="1"/>
      <protection hidden="1"/>
    </xf>
    <xf numFmtId="10" fontId="0" fillId="18" borderId="0" xfId="0" applyNumberFormat="1" applyFill="1"/>
    <xf numFmtId="3" fontId="82" fillId="11" borderId="9" xfId="1" applyNumberFormat="1" applyFont="1" applyFill="1" applyBorder="1" applyAlignment="1" applyProtection="1">
      <alignment horizontal="right" vertical="center" wrapText="1"/>
      <protection locked="0"/>
    </xf>
    <xf numFmtId="10" fontId="0" fillId="11" borderId="0" xfId="0" applyNumberFormat="1" applyFill="1"/>
    <xf numFmtId="49" fontId="6" fillId="0" borderId="56" xfId="0" quotePrefix="1" applyNumberFormat="1" applyFont="1" applyFill="1" applyBorder="1" applyAlignment="1">
      <alignment horizontal="left" vertical="center"/>
    </xf>
    <xf numFmtId="10" fontId="27" fillId="10" borderId="0" xfId="0" applyNumberFormat="1" applyFont="1" applyFill="1"/>
    <xf numFmtId="10" fontId="136" fillId="0" borderId="0" xfId="0" applyNumberFormat="1" applyFont="1"/>
    <xf numFmtId="0" fontId="0" fillId="0" borderId="10" xfId="0" applyBorder="1"/>
    <xf numFmtId="0" fontId="133" fillId="0" borderId="10" xfId="0" applyFont="1" applyBorder="1" applyAlignment="1">
      <alignment horizontal="center"/>
    </xf>
    <xf numFmtId="0" fontId="60" fillId="0" borderId="10" xfId="0" applyFont="1" applyBorder="1" applyAlignment="1">
      <alignment horizontal="center"/>
    </xf>
    <xf numFmtId="0" fontId="0" fillId="22" borderId="10" xfId="0" applyFill="1" applyBorder="1" applyAlignment="1" applyProtection="1">
      <alignment horizontal="left" vertical="top"/>
      <protection locked="0"/>
    </xf>
    <xf numFmtId="4" fontId="0" fillId="22" borderId="10" xfId="0" applyNumberFormat="1" applyFill="1" applyBorder="1" applyAlignment="1" applyProtection="1">
      <alignment horizontal="right" vertical="top"/>
      <protection locked="0"/>
    </xf>
    <xf numFmtId="4" fontId="96" fillId="22" borderId="10" xfId="0" applyNumberFormat="1" applyFont="1" applyFill="1" applyBorder="1"/>
    <xf numFmtId="10" fontId="0" fillId="22" borderId="10" xfId="0" applyNumberFormat="1" applyFill="1" applyBorder="1"/>
    <xf numFmtId="10" fontId="27" fillId="0" borderId="0" xfId="0" applyNumberFormat="1" applyFont="1"/>
    <xf numFmtId="0" fontId="61" fillId="0" borderId="10" xfId="0" applyFont="1" applyBorder="1" applyAlignment="1" applyProtection="1">
      <alignment horizontal="left" vertical="top"/>
      <protection locked="0"/>
    </xf>
    <xf numFmtId="10" fontId="0" fillId="0" borderId="10" xfId="0" applyNumberFormat="1" applyBorder="1"/>
    <xf numFmtId="4" fontId="27" fillId="0" borderId="10" xfId="0" applyNumberFormat="1" applyFont="1" applyBorder="1"/>
    <xf numFmtId="0" fontId="137" fillId="0" borderId="10" xfId="0" applyFont="1" applyBorder="1" applyAlignment="1" applyProtection="1">
      <alignment horizontal="left" vertical="top"/>
      <protection locked="0"/>
    </xf>
    <xf numFmtId="4" fontId="137" fillId="0" borderId="10" xfId="0" applyNumberFormat="1" applyFont="1" applyBorder="1" applyAlignment="1" applyProtection="1">
      <alignment horizontal="right" vertical="top"/>
      <protection locked="0"/>
    </xf>
    <xf numFmtId="4" fontId="137" fillId="0" borderId="10" xfId="0" applyNumberFormat="1" applyFont="1" applyBorder="1"/>
    <xf numFmtId="4" fontId="74" fillId="0" borderId="0" xfId="0" applyNumberFormat="1" applyFont="1" applyAlignment="1">
      <alignment horizontal="right"/>
    </xf>
    <xf numFmtId="4" fontId="138" fillId="0" borderId="0" xfId="0" applyNumberFormat="1" applyFont="1" applyFill="1" applyAlignment="1"/>
    <xf numFmtId="4" fontId="0" fillId="22" borderId="0" xfId="0" applyNumberFormat="1" applyFill="1" applyAlignment="1" applyProtection="1">
      <alignment horizontal="right" vertical="top"/>
      <protection locked="0"/>
    </xf>
    <xf numFmtId="4" fontId="0" fillId="22" borderId="10" xfId="0" applyNumberFormat="1" applyFill="1" applyBorder="1"/>
    <xf numFmtId="0" fontId="131" fillId="0" borderId="0" xfId="0" quotePrefix="1" applyFont="1" applyAlignment="1">
      <alignment horizontal="left"/>
    </xf>
    <xf numFmtId="0" fontId="27" fillId="0" borderId="0" xfId="0" quotePrefix="1" applyFont="1" applyAlignment="1">
      <alignment horizontal="left"/>
    </xf>
    <xf numFmtId="0" fontId="27" fillId="0" borderId="0" xfId="0" quotePrefix="1" applyFont="1" applyAlignment="1">
      <alignment horizontal="center" vertical="center" wrapText="1"/>
    </xf>
    <xf numFmtId="10" fontId="59" fillId="0" borderId="53" xfId="1" applyNumberFormat="1" applyFont="1" applyBorder="1" applyAlignment="1" applyProtection="1">
      <alignment horizontal="right" vertical="center" wrapText="1"/>
      <protection hidden="1"/>
    </xf>
    <xf numFmtId="10" fontId="139" fillId="20" borderId="17" xfId="1" applyNumberFormat="1" applyFont="1" applyFill="1" applyBorder="1" applyAlignment="1" applyProtection="1">
      <alignment horizontal="right" vertical="center" wrapText="1"/>
      <protection hidden="1"/>
    </xf>
    <xf numFmtId="3" fontId="62" fillId="20" borderId="26" xfId="1" applyNumberFormat="1" applyFont="1" applyFill="1" applyBorder="1" applyAlignment="1" applyProtection="1">
      <alignment horizontal="right" vertical="center" wrapText="1"/>
      <protection hidden="1"/>
    </xf>
    <xf numFmtId="3" fontId="62" fillId="20" borderId="23" xfId="1" applyNumberFormat="1" applyFont="1" applyFill="1" applyBorder="1" applyAlignment="1" applyProtection="1">
      <alignment horizontal="right" vertical="center" wrapText="1"/>
      <protection hidden="1"/>
    </xf>
    <xf numFmtId="3" fontId="6" fillId="8" borderId="10" xfId="1" applyNumberFormat="1" applyFont="1" applyFill="1" applyBorder="1" applyAlignment="1" applyProtection="1">
      <alignment horizontal="right" vertical="center" wrapText="1"/>
      <protection locked="0"/>
    </xf>
    <xf numFmtId="0" fontId="6" fillId="25" borderId="10" xfId="0" applyFont="1" applyFill="1" applyBorder="1" applyAlignment="1" applyProtection="1">
      <alignment horizontal="left" vertical="center"/>
      <protection locked="0"/>
    </xf>
    <xf numFmtId="0" fontId="19" fillId="0" borderId="0" xfId="1" applyFont="1" applyAlignment="1" applyProtection="1">
      <alignment horizontal="right" vertical="center"/>
      <protection locked="0"/>
    </xf>
    <xf numFmtId="0" fontId="6" fillId="0" borderId="13" xfId="1" applyFont="1" applyBorder="1" applyAlignment="1" applyProtection="1">
      <alignment horizontal="center" vertical="center" wrapText="1"/>
      <protection locked="0"/>
    </xf>
    <xf numFmtId="0" fontId="6" fillId="0" borderId="1" xfId="1" applyFont="1" applyBorder="1" applyAlignment="1" applyProtection="1">
      <alignment horizontal="center" vertical="center" wrapText="1"/>
      <protection locked="0"/>
    </xf>
    <xf numFmtId="0" fontId="8" fillId="20" borderId="33" xfId="1" applyFont="1" applyFill="1" applyBorder="1" applyAlignment="1" applyProtection="1">
      <alignment horizontal="center" vertical="center"/>
      <protection locked="0"/>
    </xf>
    <xf numFmtId="3" fontId="8" fillId="20" borderId="10" xfId="1" applyNumberFormat="1" applyFont="1" applyFill="1" applyBorder="1" applyAlignment="1" applyProtection="1">
      <alignment vertical="center" wrapText="1"/>
      <protection locked="0"/>
    </xf>
    <xf numFmtId="3" fontId="8" fillId="20" borderId="22" xfId="1" applyNumberFormat="1" applyFont="1" applyFill="1" applyBorder="1" applyAlignment="1" applyProtection="1">
      <alignment vertical="center" wrapText="1"/>
      <protection hidden="1"/>
    </xf>
    <xf numFmtId="0" fontId="6" fillId="0" borderId="30" xfId="1" applyFont="1" applyBorder="1" applyAlignment="1" applyProtection="1">
      <alignment horizontal="center" vertical="center"/>
      <protection locked="0"/>
    </xf>
    <xf numFmtId="0" fontId="6" fillId="0" borderId="27" xfId="1" applyFont="1" applyBorder="1" applyAlignment="1" applyProtection="1">
      <alignment horizontal="left" vertical="center" wrapText="1" indent="1"/>
      <protection locked="0"/>
    </xf>
    <xf numFmtId="0" fontId="6" fillId="0" borderId="10" xfId="1" applyFont="1" applyBorder="1" applyAlignment="1" applyProtection="1">
      <alignment vertical="center" wrapText="1"/>
      <protection locked="0"/>
    </xf>
    <xf numFmtId="3" fontId="6" fillId="0" borderId="22" xfId="1" applyNumberFormat="1" applyFont="1" applyBorder="1" applyAlignment="1" applyProtection="1">
      <alignment vertical="center" wrapText="1"/>
      <protection hidden="1"/>
    </xf>
    <xf numFmtId="0" fontId="6" fillId="0" borderId="10" xfId="1" applyFont="1" applyBorder="1" applyAlignment="1" applyProtection="1">
      <alignment horizontal="left" vertical="center" wrapText="1" indent="1"/>
      <protection locked="0"/>
    </xf>
    <xf numFmtId="0" fontId="8" fillId="20" borderId="30" xfId="1" applyFont="1" applyFill="1" applyBorder="1" applyAlignment="1" applyProtection="1">
      <alignment horizontal="center" vertical="center"/>
      <protection locked="0"/>
    </xf>
    <xf numFmtId="0" fontId="8" fillId="20" borderId="10" xfId="1" applyFont="1" applyFill="1" applyBorder="1" applyAlignment="1" applyProtection="1">
      <alignment horizontal="left" vertical="center" indent="1"/>
      <protection locked="0"/>
    </xf>
    <xf numFmtId="0" fontId="8" fillId="20" borderId="10" xfId="1" applyFont="1" applyFill="1" applyBorder="1" applyAlignment="1" applyProtection="1">
      <alignment horizontal="left" vertical="center" wrapText="1" indent="1"/>
      <protection locked="0"/>
    </xf>
    <xf numFmtId="0" fontId="6" fillId="0" borderId="10" xfId="1" applyFont="1" applyBorder="1" applyAlignment="1" applyProtection="1">
      <alignment horizontal="left" vertical="center" indent="1"/>
      <protection locked="0"/>
    </xf>
    <xf numFmtId="3" fontId="6" fillId="0" borderId="10" xfId="1" applyNumberFormat="1" applyFont="1" applyFill="1" applyBorder="1" applyAlignment="1" applyProtection="1">
      <alignment vertical="center" wrapText="1"/>
      <protection locked="0"/>
    </xf>
    <xf numFmtId="0" fontId="6" fillId="0" borderId="9" xfId="1" applyFont="1" applyBorder="1" applyAlignment="1" applyProtection="1">
      <alignment horizontal="left" vertical="center" wrapText="1" indent="1"/>
      <protection locked="0"/>
    </xf>
    <xf numFmtId="0" fontId="8" fillId="20" borderId="18" xfId="1" applyFont="1" applyFill="1" applyBorder="1" applyAlignment="1" applyProtection="1">
      <alignment horizontal="center" vertical="center"/>
      <protection locked="0"/>
    </xf>
    <xf numFmtId="3" fontId="8" fillId="20" borderId="13" xfId="1" applyNumberFormat="1" applyFont="1" applyFill="1" applyBorder="1" applyAlignment="1" applyProtection="1">
      <alignment vertical="center"/>
      <protection locked="0"/>
    </xf>
    <xf numFmtId="3" fontId="8" fillId="20" borderId="1" xfId="1" applyNumberFormat="1" applyFont="1" applyFill="1" applyBorder="1" applyAlignment="1" applyProtection="1">
      <alignment vertical="center" wrapText="1"/>
      <protection hidden="1"/>
    </xf>
    <xf numFmtId="0" fontId="6" fillId="0" borderId="0" xfId="1" applyFont="1" applyFill="1" applyBorder="1" applyAlignment="1" applyProtection="1">
      <alignment horizontal="center" vertical="center"/>
      <protection locked="0"/>
    </xf>
    <xf numFmtId="0" fontId="6" fillId="0" borderId="0" xfId="1" applyFont="1" applyFill="1" applyBorder="1" applyAlignment="1" applyProtection="1">
      <alignment horizontal="left" vertical="center" indent="1"/>
      <protection locked="0"/>
    </xf>
    <xf numFmtId="3" fontId="6" fillId="0" borderId="0" xfId="1" applyNumberFormat="1" applyFont="1" applyFill="1" applyBorder="1" applyAlignment="1" applyProtection="1">
      <alignment vertical="center"/>
      <protection locked="0"/>
    </xf>
    <xf numFmtId="3" fontId="6" fillId="0" borderId="0" xfId="1" applyNumberFormat="1" applyFont="1" applyFill="1" applyBorder="1" applyAlignment="1" applyProtection="1">
      <alignment vertical="center" wrapText="1"/>
      <protection hidden="1"/>
    </xf>
    <xf numFmtId="0" fontId="142" fillId="0" borderId="0" xfId="0" quotePrefix="1" applyFont="1" applyFill="1" applyAlignment="1">
      <alignment horizontal="left" vertical="center"/>
    </xf>
    <xf numFmtId="0" fontId="6" fillId="25" borderId="10" xfId="0" applyFont="1" applyFill="1" applyBorder="1" applyAlignment="1" applyProtection="1">
      <alignment horizontal="center" vertical="center"/>
      <protection locked="0"/>
    </xf>
    <xf numFmtId="0" fontId="6" fillId="27" borderId="10" xfId="0" applyFont="1" applyFill="1" applyBorder="1" applyAlignment="1" applyProtection="1">
      <alignment horizontal="center" vertical="center"/>
      <protection locked="0"/>
    </xf>
    <xf numFmtId="0" fontId="41" fillId="27" borderId="10" xfId="0" applyFont="1" applyFill="1" applyBorder="1" applyAlignment="1" applyProtection="1">
      <alignment horizontal="left" vertical="top"/>
      <protection locked="0"/>
    </xf>
    <xf numFmtId="0" fontId="6" fillId="27" borderId="10" xfId="0" quotePrefix="1" applyFont="1" applyFill="1" applyBorder="1" applyAlignment="1" applyProtection="1">
      <alignment horizontal="left" vertical="center"/>
      <protection locked="0"/>
    </xf>
    <xf numFmtId="3" fontId="6" fillId="27" borderId="10" xfId="0" applyNumberFormat="1" applyFont="1" applyFill="1" applyBorder="1" applyAlignment="1" applyProtection="1">
      <alignment horizontal="right" vertical="center"/>
      <protection locked="0"/>
    </xf>
    <xf numFmtId="4" fontId="12" fillId="0" borderId="0" xfId="1" applyNumberFormat="1" applyFont="1" applyBorder="1" applyAlignment="1" applyProtection="1">
      <alignment horizontal="right" vertical="center" wrapText="1"/>
      <protection locked="0"/>
    </xf>
    <xf numFmtId="3" fontId="8" fillId="20" borderId="19" xfId="1" applyNumberFormat="1" applyFont="1" applyFill="1" applyBorder="1" applyAlignment="1" applyProtection="1">
      <alignment vertical="center"/>
      <protection locked="0"/>
    </xf>
    <xf numFmtId="0" fontId="12" fillId="0" borderId="245" xfId="1" applyFont="1" applyFill="1" applyBorder="1" applyAlignment="1" applyProtection="1">
      <alignment horizontal="left" vertical="center" wrapText="1" indent="1"/>
      <protection locked="0"/>
    </xf>
    <xf numFmtId="3" fontId="12" fillId="0" borderId="21" xfId="1" applyNumberFormat="1" applyFont="1" applyBorder="1" applyAlignment="1" applyProtection="1">
      <alignment horizontal="right" vertical="center" wrapText="1"/>
      <protection locked="0"/>
    </xf>
    <xf numFmtId="0" fontId="12" fillId="0" borderId="10" xfId="1" applyFont="1" applyFill="1" applyBorder="1" applyAlignment="1" applyProtection="1">
      <alignment horizontal="left" vertical="center" wrapText="1" indent="1"/>
      <protection locked="0"/>
    </xf>
    <xf numFmtId="0" fontId="12" fillId="0" borderId="245" xfId="1" applyFont="1" applyBorder="1" applyAlignment="1" applyProtection="1">
      <alignment horizontal="left" vertical="center" wrapText="1" indent="1"/>
      <protection locked="0"/>
    </xf>
    <xf numFmtId="0" fontId="13" fillId="0" borderId="4" xfId="1" applyFont="1" applyBorder="1" applyAlignment="1" applyProtection="1">
      <alignment horizontal="left" vertical="center" wrapText="1" indent="1"/>
      <protection locked="0"/>
    </xf>
    <xf numFmtId="0" fontId="8" fillId="0" borderId="117" xfId="1" applyFont="1" applyFill="1" applyBorder="1" applyAlignment="1" applyProtection="1">
      <alignment horizontal="left" vertical="center" indent="1"/>
      <protection locked="0"/>
    </xf>
    <xf numFmtId="0" fontId="13" fillId="0" borderId="13" xfId="1" applyFont="1" applyBorder="1" applyAlignment="1" applyProtection="1">
      <alignment horizontal="left" vertical="center" wrapText="1" indent="1"/>
      <protection locked="0"/>
    </xf>
    <xf numFmtId="3" fontId="8" fillId="20" borderId="19" xfId="1" applyNumberFormat="1" applyFont="1" applyFill="1" applyBorder="1" applyAlignment="1" applyProtection="1">
      <alignment vertical="center"/>
      <protection hidden="1"/>
    </xf>
    <xf numFmtId="0" fontId="87" fillId="0" borderId="24" xfId="1" applyFont="1" applyBorder="1" applyAlignment="1" applyProtection="1">
      <alignment horizontal="left" vertical="center" wrapText="1"/>
      <protection locked="0"/>
    </xf>
    <xf numFmtId="0" fontId="12" fillId="0" borderId="0" xfId="1" applyFont="1" applyBorder="1" applyAlignment="1" applyProtection="1">
      <alignment vertical="center" wrapText="1"/>
      <protection locked="0"/>
    </xf>
    <xf numFmtId="4" fontId="6" fillId="0" borderId="0" xfId="1" applyNumberFormat="1" applyFont="1" applyBorder="1" applyAlignment="1" applyProtection="1">
      <alignment vertical="center"/>
      <protection hidden="1"/>
    </xf>
    <xf numFmtId="0" fontId="12" fillId="0" borderId="0" xfId="1" applyFont="1" applyAlignment="1" applyProtection="1">
      <alignment vertical="center" wrapText="1"/>
      <protection locked="0"/>
    </xf>
    <xf numFmtId="4" fontId="12" fillId="0" borderId="0" xfId="1" applyNumberFormat="1" applyFont="1" applyAlignment="1" applyProtection="1">
      <alignment vertical="center" wrapText="1"/>
      <protection locked="0"/>
    </xf>
    <xf numFmtId="0" fontId="12" fillId="0" borderId="0" xfId="1" applyFont="1" applyFill="1" applyAlignment="1" applyProtection="1">
      <alignment vertical="center" wrapText="1"/>
      <protection locked="0"/>
    </xf>
    <xf numFmtId="4" fontId="20" fillId="0" borderId="0" xfId="1" applyNumberFormat="1" applyFont="1" applyAlignment="1" applyProtection="1">
      <alignment vertical="center" wrapText="1"/>
      <protection locked="0"/>
    </xf>
    <xf numFmtId="0" fontId="6" fillId="0" borderId="0" xfId="1" applyFont="1" applyFill="1" applyBorder="1" applyAlignment="1" applyProtection="1">
      <alignment vertical="center"/>
      <protection locked="0"/>
    </xf>
    <xf numFmtId="4" fontId="6" fillId="0" borderId="0" xfId="1" applyNumberFormat="1" applyFont="1" applyFill="1" applyBorder="1" applyAlignment="1" applyProtection="1">
      <alignment vertical="center"/>
      <protection locked="0"/>
    </xf>
    <xf numFmtId="0" fontId="135" fillId="0" borderId="0" xfId="1" applyFont="1" applyFill="1" applyBorder="1" applyAlignment="1" applyProtection="1">
      <alignment horizontal="left" vertical="center" wrapText="1"/>
      <protection locked="0"/>
    </xf>
    <xf numFmtId="4" fontId="91" fillId="0" borderId="0" xfId="1" applyNumberFormat="1" applyFont="1" applyFill="1" applyBorder="1" applyAlignment="1" applyProtection="1">
      <alignment vertical="center" wrapText="1"/>
      <protection locked="0"/>
    </xf>
    <xf numFmtId="0" fontId="6" fillId="0" borderId="0" xfId="1" applyFont="1" applyFill="1" applyBorder="1" applyAlignment="1">
      <alignment vertical="center" wrapText="1"/>
    </xf>
    <xf numFmtId="4" fontId="91" fillId="0" borderId="0" xfId="1" applyNumberFormat="1" applyFont="1" applyFill="1" applyBorder="1" applyAlignment="1">
      <alignment horizontal="center" vertical="center" wrapText="1"/>
    </xf>
    <xf numFmtId="4" fontId="91" fillId="0" borderId="0" xfId="1" applyNumberFormat="1" applyFont="1" applyFill="1" applyBorder="1" applyAlignment="1">
      <alignment horizontal="justify" vertical="center" wrapText="1"/>
    </xf>
    <xf numFmtId="4" fontId="6" fillId="0" borderId="0" xfId="1" applyNumberFormat="1" applyFont="1" applyFill="1" applyBorder="1" applyAlignment="1">
      <alignment vertical="center"/>
    </xf>
    <xf numFmtId="0" fontId="143" fillId="0" borderId="0" xfId="1" applyFont="1" applyFill="1" applyBorder="1" applyAlignment="1" applyProtection="1">
      <alignment horizontal="center" vertical="center" wrapText="1"/>
      <protection locked="0"/>
    </xf>
    <xf numFmtId="0" fontId="59" fillId="0" borderId="0" xfId="1" applyFont="1" applyFill="1" applyBorder="1" applyAlignment="1" applyProtection="1">
      <alignment horizontal="center" vertical="center" wrapText="1"/>
      <protection locked="0"/>
    </xf>
    <xf numFmtId="0" fontId="6" fillId="0" borderId="0" xfId="1" applyFont="1"/>
    <xf numFmtId="0" fontId="7" fillId="0" borderId="0" xfId="1" applyFont="1"/>
    <xf numFmtId="0" fontId="6" fillId="0" borderId="15" xfId="1" applyFont="1" applyBorder="1" applyAlignment="1" applyProtection="1">
      <alignment horizontal="left" vertical="center" indent="1"/>
      <protection locked="0"/>
    </xf>
    <xf numFmtId="3" fontId="6" fillId="0" borderId="40" xfId="1" applyNumberFormat="1" applyFont="1" applyBorder="1" applyAlignment="1" applyProtection="1">
      <alignment vertical="center"/>
      <protection locked="0"/>
    </xf>
    <xf numFmtId="0" fontId="6" fillId="0" borderId="30" xfId="1" applyFont="1" applyBorder="1" applyAlignment="1" applyProtection="1">
      <alignment horizontal="left" vertical="center" indent="1"/>
      <protection locked="0"/>
    </xf>
    <xf numFmtId="3" fontId="6" fillId="0" borderId="22" xfId="1" applyNumberFormat="1" applyFont="1" applyBorder="1" applyAlignment="1" applyProtection="1">
      <alignment vertical="center"/>
      <protection locked="0"/>
    </xf>
    <xf numFmtId="0" fontId="8" fillId="0" borderId="3" xfId="1" applyFont="1" applyFill="1" applyBorder="1" applyAlignment="1" applyProtection="1">
      <alignment horizontal="left" vertical="center" indent="1"/>
      <protection locked="0"/>
    </xf>
    <xf numFmtId="0" fontId="6" fillId="0" borderId="244" xfId="1" applyFont="1" applyBorder="1" applyAlignment="1" applyProtection="1">
      <alignment horizontal="left" vertical="center" indent="1"/>
      <protection locked="0"/>
    </xf>
    <xf numFmtId="3" fontId="6" fillId="0" borderId="249" xfId="1" applyNumberFormat="1" applyFont="1" applyBorder="1" applyAlignment="1" applyProtection="1">
      <alignment vertical="center"/>
      <protection locked="0"/>
    </xf>
    <xf numFmtId="0" fontId="135" fillId="0" borderId="0" xfId="1" applyFont="1" applyAlignment="1" applyProtection="1">
      <alignment vertical="center"/>
      <protection locked="0"/>
    </xf>
    <xf numFmtId="4" fontId="6" fillId="0" borderId="0" xfId="1" applyNumberFormat="1" applyFont="1" applyFill="1" applyBorder="1" applyProtection="1">
      <protection locked="0"/>
    </xf>
    <xf numFmtId="4" fontId="6" fillId="0" borderId="0" xfId="1" applyNumberFormat="1" applyFont="1" applyFill="1" applyBorder="1"/>
    <xf numFmtId="0" fontId="86" fillId="0" borderId="0" xfId="1" applyFont="1" applyFill="1" applyBorder="1"/>
    <xf numFmtId="3" fontId="29" fillId="25" borderId="50" xfId="1" applyNumberFormat="1" applyFont="1" applyFill="1" applyBorder="1" applyAlignment="1" applyProtection="1">
      <alignment horizontal="right" vertical="top" wrapText="1"/>
      <protection locked="0"/>
    </xf>
    <xf numFmtId="0" fontId="144" fillId="0" borderId="0" xfId="1" applyFont="1"/>
    <xf numFmtId="3" fontId="29" fillId="0" borderId="126" xfId="1" applyNumberFormat="1" applyFont="1" applyBorder="1" applyAlignment="1" applyProtection="1">
      <alignment horizontal="right" vertical="center"/>
      <protection locked="0"/>
    </xf>
    <xf numFmtId="3" fontId="29" fillId="0" borderId="126" xfId="1" applyNumberFormat="1" applyFont="1" applyBorder="1" applyAlignment="1">
      <alignment horizontal="right" vertical="center"/>
    </xf>
    <xf numFmtId="3" fontId="29" fillId="0" borderId="36" xfId="1" applyNumberFormat="1" applyFont="1" applyBorder="1" applyAlignment="1">
      <alignment horizontal="right" vertical="center"/>
    </xf>
    <xf numFmtId="3" fontId="29" fillId="0" borderId="0" xfId="1" applyNumberFormat="1" applyFont="1" applyAlignment="1">
      <alignment vertical="center"/>
    </xf>
    <xf numFmtId="0" fontId="6" fillId="0" borderId="30" xfId="1" quotePrefix="1" applyFont="1" applyBorder="1" applyAlignment="1" applyProtection="1">
      <alignment horizontal="left" vertical="center" indent="1"/>
      <protection locked="0"/>
    </xf>
    <xf numFmtId="3" fontId="6" fillId="25" borderId="58" xfId="1" applyNumberFormat="1" applyFont="1" applyFill="1" applyBorder="1" applyAlignment="1">
      <alignment vertical="center"/>
    </xf>
    <xf numFmtId="3" fontId="6" fillId="25" borderId="59" xfId="1" applyNumberFormat="1" applyFont="1" applyFill="1" applyBorder="1" applyAlignment="1">
      <alignment vertical="center"/>
    </xf>
    <xf numFmtId="0" fontId="6" fillId="0" borderId="0" xfId="1" applyFont="1" applyBorder="1" applyAlignment="1">
      <alignment horizontal="center" vertical="center"/>
    </xf>
    <xf numFmtId="0" fontId="8" fillId="2" borderId="0" xfId="3" applyFont="1" applyFill="1" applyBorder="1" applyAlignment="1">
      <alignment horizontal="left" vertical="center"/>
    </xf>
    <xf numFmtId="0" fontId="6" fillId="0" borderId="0" xfId="1" applyFont="1" applyBorder="1" applyAlignment="1">
      <alignment vertical="center"/>
    </xf>
    <xf numFmtId="3" fontId="6" fillId="8" borderId="0" xfId="1" applyNumberFormat="1" applyFont="1" applyFill="1" applyBorder="1" applyAlignment="1">
      <alignment vertical="center"/>
    </xf>
    <xf numFmtId="3" fontId="6" fillId="8" borderId="0" xfId="1" applyNumberFormat="1" applyFont="1" applyFill="1" applyBorder="1" applyAlignment="1">
      <alignment horizontal="right" vertical="center"/>
    </xf>
    <xf numFmtId="0" fontId="119" fillId="0" borderId="0" xfId="1" applyFont="1" applyAlignment="1">
      <alignment vertical="center"/>
    </xf>
    <xf numFmtId="3" fontId="6" fillId="0" borderId="33" xfId="1" applyNumberFormat="1" applyFont="1" applyBorder="1" applyAlignment="1" applyProtection="1">
      <alignment vertical="center" wrapText="1"/>
      <protection locked="0"/>
    </xf>
    <xf numFmtId="3" fontId="6" fillId="0" borderId="49" xfId="1" applyNumberFormat="1" applyFont="1" applyBorder="1" applyAlignment="1" applyProtection="1">
      <alignment vertical="center" wrapText="1"/>
      <protection locked="0"/>
    </xf>
    <xf numFmtId="3" fontId="29" fillId="0" borderId="33" xfId="1" applyNumberFormat="1" applyFont="1" applyBorder="1" applyAlignment="1" applyProtection="1">
      <alignment vertical="center" wrapText="1"/>
      <protection locked="0"/>
    </xf>
    <xf numFmtId="3" fontId="29" fillId="0" borderId="7" xfId="1" applyNumberFormat="1" applyFont="1" applyBorder="1" applyAlignment="1" applyProtection="1">
      <alignment vertical="center" wrapText="1"/>
      <protection locked="0"/>
    </xf>
    <xf numFmtId="3" fontId="29" fillId="0" borderId="28" xfId="1" applyNumberFormat="1" applyFont="1" applyBorder="1" applyAlignment="1" applyProtection="1">
      <alignment vertical="center" wrapText="1"/>
      <protection locked="0"/>
    </xf>
    <xf numFmtId="3" fontId="29" fillId="0" borderId="21" xfId="1" applyNumberFormat="1" applyFont="1" applyBorder="1" applyAlignment="1" applyProtection="1">
      <alignment vertical="center" wrapText="1"/>
      <protection locked="0"/>
    </xf>
    <xf numFmtId="3" fontId="6" fillId="0" borderId="30" xfId="1" applyNumberFormat="1" applyFont="1" applyBorder="1" applyAlignment="1" applyProtection="1">
      <alignment vertical="center" wrapText="1"/>
      <protection locked="0"/>
    </xf>
    <xf numFmtId="3" fontId="6" fillId="0" borderId="50" xfId="1" applyNumberFormat="1" applyFont="1" applyBorder="1" applyAlignment="1" applyProtection="1">
      <alignment vertical="center" wrapText="1"/>
      <protection locked="0"/>
    </xf>
    <xf numFmtId="3" fontId="29" fillId="0" borderId="30" xfId="1" applyNumberFormat="1" applyFont="1" applyBorder="1" applyAlignment="1" applyProtection="1">
      <alignment vertical="center" wrapText="1"/>
      <protection locked="0"/>
    </xf>
    <xf numFmtId="3" fontId="29" fillId="0" borderId="10" xfId="1" applyNumberFormat="1" applyFont="1" applyBorder="1" applyAlignment="1" applyProtection="1">
      <alignment vertical="center" wrapText="1"/>
      <protection locked="0"/>
    </xf>
    <xf numFmtId="3" fontId="29" fillId="0" borderId="27" xfId="1" applyNumberFormat="1" applyFont="1" applyBorder="1" applyAlignment="1" applyProtection="1">
      <alignment vertical="center" wrapText="1"/>
      <protection locked="0"/>
    </xf>
    <xf numFmtId="3" fontId="6" fillId="0" borderId="244" xfId="1" applyNumberFormat="1" applyFont="1" applyBorder="1" applyAlignment="1" applyProtection="1">
      <alignment vertical="center" wrapText="1"/>
      <protection locked="0"/>
    </xf>
    <xf numFmtId="3" fontId="6" fillId="0" borderId="51" xfId="1" applyNumberFormat="1" applyFont="1" applyBorder="1" applyAlignment="1" applyProtection="1">
      <alignment vertical="center" wrapText="1"/>
      <protection locked="0"/>
    </xf>
    <xf numFmtId="3" fontId="29" fillId="0" borderId="244" xfId="1" applyNumberFormat="1" applyFont="1" applyBorder="1" applyAlignment="1" applyProtection="1">
      <alignment vertical="center" wrapText="1"/>
      <protection locked="0"/>
    </xf>
    <xf numFmtId="3" fontId="29" fillId="0" borderId="245" xfId="1" applyNumberFormat="1" applyFont="1" applyBorder="1" applyAlignment="1" applyProtection="1">
      <alignment vertical="center" wrapText="1"/>
      <protection locked="0"/>
    </xf>
    <xf numFmtId="3" fontId="29" fillId="0" borderId="248" xfId="1" applyNumberFormat="1" applyFont="1" applyBorder="1" applyAlignment="1" applyProtection="1">
      <alignment vertical="center" wrapText="1"/>
      <protection locked="0"/>
    </xf>
    <xf numFmtId="3" fontId="8" fillId="0" borderId="3" xfId="1" applyNumberFormat="1" applyFont="1" applyBorder="1" applyAlignment="1" applyProtection="1">
      <alignment vertical="center" wrapText="1"/>
      <protection hidden="1"/>
    </xf>
    <xf numFmtId="3" fontId="8" fillId="0" borderId="26" xfId="1" applyNumberFormat="1" applyFont="1" applyBorder="1" applyAlignment="1" applyProtection="1">
      <alignment vertical="center" wrapText="1"/>
      <protection hidden="1"/>
    </xf>
    <xf numFmtId="3" fontId="30" fillId="0" borderId="3" xfId="1" applyNumberFormat="1" applyFont="1" applyBorder="1" applyAlignment="1" applyProtection="1">
      <alignment vertical="center" wrapText="1"/>
      <protection hidden="1"/>
    </xf>
    <xf numFmtId="3" fontId="30" fillId="0" borderId="4" xfId="1" applyNumberFormat="1" applyFont="1" applyBorder="1" applyAlignment="1" applyProtection="1">
      <alignment vertical="center" wrapText="1"/>
      <protection hidden="1"/>
    </xf>
    <xf numFmtId="3" fontId="8" fillId="0" borderId="23" xfId="1" applyNumberFormat="1" applyFont="1" applyBorder="1" applyAlignment="1" applyProtection="1">
      <alignment vertical="center" wrapText="1"/>
      <protection hidden="1"/>
    </xf>
    <xf numFmtId="0" fontId="59" fillId="0" borderId="0" xfId="1" applyFont="1" applyFill="1" applyBorder="1" applyAlignment="1" applyProtection="1">
      <alignment horizontal="left" vertical="center"/>
      <protection locked="0"/>
    </xf>
    <xf numFmtId="4" fontId="6" fillId="0" borderId="0" xfId="1" applyNumberFormat="1" applyFont="1" applyAlignment="1" applyProtection="1">
      <alignment horizontal="right" vertical="center"/>
      <protection locked="0"/>
    </xf>
    <xf numFmtId="4" fontId="8" fillId="20" borderId="19" xfId="1" applyNumberFormat="1" applyFont="1" applyFill="1" applyBorder="1" applyAlignment="1" applyProtection="1">
      <alignment vertical="center"/>
      <protection locked="0"/>
    </xf>
    <xf numFmtId="0" fontId="6" fillId="0" borderId="16" xfId="1" applyFont="1" applyBorder="1" applyAlignment="1" applyProtection="1">
      <alignment horizontal="left" vertical="center" indent="1"/>
      <protection locked="0"/>
    </xf>
    <xf numFmtId="0" fontId="8" fillId="0" borderId="4" xfId="1" applyFont="1" applyBorder="1" applyAlignment="1" applyProtection="1">
      <alignment horizontal="left" vertical="center" indent="1"/>
      <protection locked="0"/>
    </xf>
    <xf numFmtId="3" fontId="8" fillId="0" borderId="19" xfId="1" applyNumberFormat="1" applyFont="1" applyBorder="1" applyAlignment="1" applyProtection="1">
      <alignment vertical="center"/>
      <protection hidden="1"/>
    </xf>
    <xf numFmtId="0" fontId="6" fillId="0" borderId="245" xfId="1" applyFont="1" applyFill="1" applyBorder="1" applyAlignment="1" applyProtection="1">
      <alignment horizontal="left" vertical="center" indent="1"/>
      <protection locked="0"/>
    </xf>
    <xf numFmtId="3" fontId="66" fillId="0" borderId="0" xfId="2" applyNumberFormat="1" applyFont="1" applyFill="1" applyBorder="1" applyAlignment="1">
      <alignment vertical="center"/>
    </xf>
    <xf numFmtId="4" fontId="6" fillId="0" borderId="0" xfId="1" applyNumberFormat="1" applyFont="1"/>
    <xf numFmtId="0" fontId="7" fillId="0" borderId="0" xfId="1" applyFont="1" applyAlignment="1" applyProtection="1">
      <protection locked="0"/>
    </xf>
    <xf numFmtId="0" fontId="6" fillId="0" borderId="0" xfId="1" applyFont="1" applyProtection="1">
      <protection locked="0"/>
    </xf>
    <xf numFmtId="4" fontId="6" fillId="0" borderId="0" xfId="1" applyNumberFormat="1" applyFont="1" applyAlignment="1" applyProtection="1">
      <alignment horizontal="right"/>
      <protection locked="0"/>
    </xf>
    <xf numFmtId="3" fontId="8" fillId="20" borderId="23" xfId="1" applyNumberFormat="1" applyFont="1" applyFill="1" applyBorder="1" applyAlignment="1" applyProtection="1">
      <alignment vertical="center"/>
      <protection locked="0"/>
    </xf>
    <xf numFmtId="0" fontId="6" fillId="0" borderId="14" xfId="1" applyFont="1" applyBorder="1" applyAlignment="1" applyProtection="1">
      <alignment horizontal="left" vertical="center" indent="1"/>
      <protection locked="0"/>
    </xf>
    <xf numFmtId="3" fontId="6" fillId="0" borderId="52" xfId="1" applyNumberFormat="1" applyFont="1" applyBorder="1" applyAlignment="1" applyProtection="1">
      <alignment vertical="center"/>
      <protection locked="0"/>
    </xf>
    <xf numFmtId="3" fontId="6" fillId="0" borderId="50" xfId="1" applyNumberFormat="1" applyFont="1" applyBorder="1" applyAlignment="1" applyProtection="1">
      <alignment horizontal="right" vertical="center"/>
      <protection locked="0"/>
    </xf>
    <xf numFmtId="3" fontId="6" fillId="0" borderId="50" xfId="1" applyNumberFormat="1" applyFont="1" applyBorder="1" applyAlignment="1" applyProtection="1">
      <alignment horizontal="right"/>
      <protection locked="0"/>
    </xf>
    <xf numFmtId="0" fontId="8" fillId="0" borderId="8" xfId="1" applyFont="1" applyBorder="1" applyAlignment="1" applyProtection="1">
      <alignment horizontal="left" indent="1"/>
      <protection locked="0"/>
    </xf>
    <xf numFmtId="3" fontId="8" fillId="0" borderId="50" xfId="1" applyNumberFormat="1" applyFont="1" applyBorder="1" applyAlignment="1" applyProtection="1">
      <alignment horizontal="right" vertical="center"/>
      <protection locked="0"/>
    </xf>
    <xf numFmtId="0" fontId="6" fillId="0" borderId="56" xfId="1" applyFont="1" applyBorder="1" applyAlignment="1" applyProtection="1">
      <alignment horizontal="left" vertical="center" indent="1"/>
      <protection locked="0"/>
    </xf>
    <xf numFmtId="3" fontId="6" fillId="0" borderId="51" xfId="1" applyNumberFormat="1" applyFont="1" applyBorder="1" applyAlignment="1" applyProtection="1">
      <alignment horizontal="right" vertical="center"/>
      <protection locked="0"/>
    </xf>
    <xf numFmtId="0" fontId="8" fillId="20" borderId="17" xfId="1" applyFont="1" applyFill="1" applyBorder="1" applyAlignment="1" applyProtection="1">
      <alignment horizontal="left" vertical="center" indent="1"/>
      <protection locked="0"/>
    </xf>
    <xf numFmtId="3" fontId="8" fillId="20" borderId="23" xfId="1" applyNumberFormat="1" applyFont="1" applyFill="1" applyBorder="1" applyAlignment="1" applyProtection="1">
      <alignment horizontal="right" vertical="center"/>
      <protection hidden="1"/>
    </xf>
    <xf numFmtId="0" fontId="8" fillId="0" borderId="5" xfId="1" applyFont="1" applyBorder="1" applyAlignment="1" applyProtection="1">
      <alignment horizontal="left" vertical="top" wrapText="1" indent="1"/>
      <protection locked="0"/>
    </xf>
    <xf numFmtId="3" fontId="8" fillId="0" borderId="49" xfId="1" applyNumberFormat="1" applyFont="1" applyBorder="1" applyAlignment="1" applyProtection="1">
      <alignment horizontal="right" vertical="top" wrapText="1"/>
      <protection locked="0"/>
    </xf>
    <xf numFmtId="0" fontId="6" fillId="0" borderId="5" xfId="1" applyFont="1" applyBorder="1" applyAlignment="1" applyProtection="1">
      <alignment horizontal="left" vertical="top" wrapText="1" indent="1"/>
      <protection locked="0"/>
    </xf>
    <xf numFmtId="3" fontId="6" fillId="0" borderId="49" xfId="1" applyNumberFormat="1" applyFont="1" applyBorder="1" applyAlignment="1" applyProtection="1">
      <alignment horizontal="right" vertical="top" wrapText="1"/>
      <protection locked="0"/>
    </xf>
    <xf numFmtId="0" fontId="6" fillId="0" borderId="8" xfId="1" applyFont="1" applyBorder="1" applyAlignment="1" applyProtection="1">
      <alignment horizontal="left" vertical="top" wrapText="1" indent="1"/>
      <protection locked="0"/>
    </xf>
    <xf numFmtId="3" fontId="6" fillId="0" borderId="50" xfId="1" applyNumberFormat="1" applyFont="1" applyBorder="1" applyAlignment="1" applyProtection="1">
      <alignment horizontal="right" vertical="top" wrapText="1"/>
      <protection locked="0"/>
    </xf>
    <xf numFmtId="0" fontId="8" fillId="0" borderId="8" xfId="1" applyFont="1" applyBorder="1" applyAlignment="1" applyProtection="1">
      <alignment horizontal="left" vertical="top" wrapText="1" indent="1"/>
      <protection locked="0"/>
    </xf>
    <xf numFmtId="3" fontId="8" fillId="0" borderId="50" xfId="1" applyNumberFormat="1" applyFont="1" applyBorder="1" applyAlignment="1" applyProtection="1">
      <alignment horizontal="right" vertical="top" wrapText="1"/>
      <protection locked="0"/>
    </xf>
    <xf numFmtId="0" fontId="8" fillId="0" borderId="56" xfId="1" applyFont="1" applyBorder="1" applyAlignment="1" applyProtection="1">
      <alignment horizontal="left" vertical="top" wrapText="1" indent="1"/>
      <protection locked="0"/>
    </xf>
    <xf numFmtId="3" fontId="8" fillId="0" borderId="51" xfId="1" applyNumberFormat="1" applyFont="1" applyBorder="1" applyAlignment="1" applyProtection="1">
      <alignment horizontal="right" vertical="top" wrapText="1"/>
      <protection locked="0"/>
    </xf>
    <xf numFmtId="0" fontId="8" fillId="0" borderId="17" xfId="1" applyFont="1" applyBorder="1" applyAlignment="1" applyProtection="1">
      <alignment horizontal="left" vertical="center" indent="1"/>
      <protection locked="0"/>
    </xf>
    <xf numFmtId="3" fontId="8" fillId="0" borderId="23" xfId="1" applyNumberFormat="1" applyFont="1" applyBorder="1" applyAlignment="1" applyProtection="1">
      <alignment vertical="center"/>
      <protection hidden="1"/>
    </xf>
    <xf numFmtId="3" fontId="8" fillId="20" borderId="23" xfId="1" applyNumberFormat="1" applyFont="1" applyFill="1" applyBorder="1" applyAlignment="1" applyProtection="1">
      <alignment vertical="center"/>
      <protection hidden="1"/>
    </xf>
    <xf numFmtId="4" fontId="6" fillId="0" borderId="0" xfId="1" applyNumberFormat="1" applyFont="1" applyProtection="1">
      <protection locked="0"/>
    </xf>
    <xf numFmtId="0" fontId="7" fillId="0" borderId="0" xfId="1" applyFont="1" applyProtection="1">
      <protection locked="0"/>
    </xf>
    <xf numFmtId="4" fontId="12" fillId="0" borderId="0" xfId="1" applyNumberFormat="1" applyFont="1" applyBorder="1" applyAlignment="1" applyProtection="1">
      <alignment horizontal="right" vertical="top" wrapText="1"/>
      <protection locked="0"/>
    </xf>
    <xf numFmtId="0" fontId="6" fillId="0" borderId="245" xfId="1" applyFont="1" applyBorder="1" applyAlignment="1" applyProtection="1">
      <alignment horizontal="left" vertical="center" indent="1"/>
      <protection locked="0"/>
    </xf>
    <xf numFmtId="3" fontId="8" fillId="0" borderId="19" xfId="1" applyNumberFormat="1" applyFont="1" applyBorder="1" applyAlignment="1" applyProtection="1">
      <alignment vertical="center"/>
    </xf>
    <xf numFmtId="3" fontId="6" fillId="0" borderId="21" xfId="1" applyNumberFormat="1" applyFont="1" applyBorder="1" applyAlignment="1" applyProtection="1">
      <alignment vertical="center"/>
      <protection locked="0"/>
    </xf>
    <xf numFmtId="3" fontId="8" fillId="20" borderId="19" xfId="1" applyNumberFormat="1" applyFont="1" applyFill="1" applyBorder="1" applyAlignment="1" applyProtection="1">
      <alignment vertical="center"/>
    </xf>
    <xf numFmtId="0" fontId="6" fillId="0" borderId="0" xfId="1" applyFont="1" applyBorder="1" applyAlignment="1" applyProtection="1">
      <alignment vertical="center"/>
      <protection locked="0"/>
    </xf>
    <xf numFmtId="4" fontId="145" fillId="0" borderId="0" xfId="1" applyNumberFormat="1" applyFont="1" applyAlignment="1">
      <alignment vertical="center"/>
    </xf>
    <xf numFmtId="0" fontId="8" fillId="20" borderId="3" xfId="1" applyFont="1" applyFill="1" applyBorder="1" applyAlignment="1" applyProtection="1">
      <alignment horizontal="center" vertical="center"/>
      <protection locked="0"/>
    </xf>
    <xf numFmtId="0" fontId="8" fillId="20" borderId="25" xfId="1" applyFont="1" applyFill="1" applyBorder="1" applyAlignment="1" applyProtection="1">
      <alignment horizontal="center" vertical="center"/>
      <protection locked="0"/>
    </xf>
    <xf numFmtId="0" fontId="8" fillId="20" borderId="26" xfId="1" applyFont="1" applyFill="1" applyBorder="1" applyAlignment="1" applyProtection="1">
      <alignment horizontal="center" vertical="center"/>
      <protection locked="0"/>
    </xf>
    <xf numFmtId="4" fontId="8" fillId="20" borderId="4" xfId="1" applyNumberFormat="1" applyFont="1" applyFill="1" applyBorder="1" applyAlignment="1" applyProtection="1">
      <alignment horizontal="center" vertical="center"/>
      <protection locked="0"/>
    </xf>
    <xf numFmtId="4" fontId="8" fillId="20" borderId="19" xfId="1" applyNumberFormat="1" applyFont="1" applyFill="1" applyBorder="1" applyAlignment="1" applyProtection="1">
      <alignment horizontal="center" vertical="center"/>
      <protection locked="0"/>
    </xf>
    <xf numFmtId="0" fontId="6" fillId="0" borderId="7" xfId="1" applyFont="1" applyBorder="1" applyAlignment="1" applyProtection="1">
      <alignment horizontal="left" vertical="center" indent="1"/>
      <protection locked="0"/>
    </xf>
    <xf numFmtId="3" fontId="6" fillId="0" borderId="7" xfId="1" applyNumberFormat="1" applyFont="1" applyBorder="1" applyAlignment="1" applyProtection="1">
      <alignment vertical="center"/>
      <protection locked="0"/>
    </xf>
    <xf numFmtId="3" fontId="6" fillId="0" borderId="21" xfId="1" applyNumberFormat="1" applyFont="1" applyBorder="1" applyAlignment="1" applyProtection="1">
      <alignment vertical="center"/>
    </xf>
    <xf numFmtId="3" fontId="6" fillId="0" borderId="10" xfId="1" applyNumberFormat="1" applyFont="1" applyBorder="1" applyAlignment="1" applyProtection="1">
      <alignment vertical="center"/>
      <protection locked="0"/>
    </xf>
    <xf numFmtId="3" fontId="6" fillId="0" borderId="22" xfId="1" applyNumberFormat="1" applyFont="1" applyBorder="1" applyAlignment="1" applyProtection="1">
      <alignment vertical="center"/>
    </xf>
    <xf numFmtId="3" fontId="6" fillId="0" borderId="10" xfId="1" applyNumberFormat="1" applyFont="1" applyBorder="1" applyAlignment="1" applyProtection="1">
      <alignment horizontal="right" vertical="center" wrapText="1"/>
      <protection locked="0"/>
    </xf>
    <xf numFmtId="3" fontId="6" fillId="0" borderId="22" xfId="1" applyNumberFormat="1" applyFont="1" applyBorder="1" applyAlignment="1" applyProtection="1">
      <alignment horizontal="right" vertical="center" wrapText="1"/>
    </xf>
    <xf numFmtId="0" fontId="6" fillId="0" borderId="61" xfId="1" applyFont="1" applyBorder="1" applyAlignment="1" applyProtection="1">
      <alignment horizontal="left" vertical="center" indent="1"/>
      <protection locked="0"/>
    </xf>
    <xf numFmtId="3" fontId="6" fillId="0" borderId="245" xfId="1" applyNumberFormat="1" applyFont="1" applyBorder="1" applyAlignment="1" applyProtection="1">
      <alignment horizontal="right" vertical="center" wrapText="1"/>
      <protection locked="0"/>
    </xf>
    <xf numFmtId="3" fontId="6" fillId="0" borderId="245" xfId="1" applyNumberFormat="1" applyFont="1" applyBorder="1" applyAlignment="1" applyProtection="1">
      <alignment vertical="center"/>
      <protection locked="0"/>
    </xf>
    <xf numFmtId="3" fontId="6" fillId="0" borderId="249" xfId="1" applyNumberFormat="1" applyFont="1" applyBorder="1" applyAlignment="1" applyProtection="1">
      <alignment horizontal="right" vertical="center" wrapText="1"/>
    </xf>
    <xf numFmtId="0" fontId="8" fillId="20" borderId="25" xfId="1" applyFont="1" applyFill="1" applyBorder="1" applyAlignment="1" applyProtection="1">
      <alignment horizontal="left" vertical="center" indent="1"/>
      <protection locked="0"/>
    </xf>
    <xf numFmtId="3" fontId="8" fillId="20" borderId="4" xfId="1" applyNumberFormat="1" applyFont="1" applyFill="1" applyBorder="1" applyAlignment="1" applyProtection="1">
      <alignment horizontal="right" vertical="center" wrapText="1"/>
      <protection locked="0"/>
    </xf>
    <xf numFmtId="3" fontId="8" fillId="20" borderId="23" xfId="1" applyNumberFormat="1" applyFont="1" applyFill="1" applyBorder="1" applyAlignment="1" applyProtection="1">
      <alignment horizontal="right" vertical="center" wrapText="1"/>
    </xf>
    <xf numFmtId="0" fontId="6" fillId="0" borderId="132" xfId="1" applyFont="1" applyBorder="1" applyAlignment="1" applyProtection="1">
      <alignment horizontal="left" vertical="center" indent="1"/>
      <protection locked="0"/>
    </xf>
    <xf numFmtId="3" fontId="6" fillId="0" borderId="16" xfId="1" applyNumberFormat="1" applyFont="1" applyBorder="1" applyAlignment="1" applyProtection="1">
      <alignment vertical="center"/>
      <protection locked="0"/>
    </xf>
    <xf numFmtId="3" fontId="6" fillId="0" borderId="52" xfId="1" applyNumberFormat="1" applyFont="1" applyBorder="1" applyAlignment="1" applyProtection="1">
      <alignment vertical="center"/>
    </xf>
    <xf numFmtId="0" fontId="6" fillId="0" borderId="27" xfId="1" applyFont="1" applyBorder="1" applyAlignment="1" applyProtection="1">
      <alignment horizontal="left" vertical="center" indent="1"/>
      <protection locked="0"/>
    </xf>
    <xf numFmtId="3" fontId="6" fillId="0" borderId="49" xfId="1" applyNumberFormat="1" applyFont="1" applyBorder="1" applyAlignment="1" applyProtection="1">
      <alignment vertical="center"/>
    </xf>
    <xf numFmtId="3" fontId="6" fillId="0" borderId="50" xfId="1" applyNumberFormat="1" applyFont="1" applyBorder="1" applyAlignment="1" applyProtection="1">
      <alignment vertical="center"/>
    </xf>
    <xf numFmtId="0" fontId="8" fillId="0" borderId="93" xfId="1" applyFont="1" applyBorder="1" applyAlignment="1" applyProtection="1">
      <alignment horizontal="left" vertical="center" indent="1"/>
      <protection locked="0"/>
    </xf>
    <xf numFmtId="3" fontId="8" fillId="0" borderId="4" xfId="1" applyNumberFormat="1" applyFont="1" applyBorder="1" applyAlignment="1" applyProtection="1">
      <alignment vertical="center"/>
    </xf>
    <xf numFmtId="3" fontId="8" fillId="0" borderId="23" xfId="1" applyNumberFormat="1" applyFont="1" applyBorder="1" applyAlignment="1" applyProtection="1">
      <alignment vertical="center"/>
    </xf>
    <xf numFmtId="0" fontId="6" fillId="0" borderId="28" xfId="1" applyFont="1" applyBorder="1" applyAlignment="1" applyProtection="1">
      <alignment horizontal="left" vertical="center" indent="1"/>
      <protection locked="0"/>
    </xf>
    <xf numFmtId="0" fontId="8" fillId="0" borderId="25" xfId="1" applyFont="1" applyBorder="1" applyAlignment="1" applyProtection="1">
      <alignment horizontal="left" vertical="center" indent="1"/>
      <protection locked="0"/>
    </xf>
    <xf numFmtId="3" fontId="6" fillId="0" borderId="7" xfId="1" applyNumberFormat="1" applyFont="1" applyBorder="1" applyAlignment="1" applyProtection="1">
      <alignment vertical="center"/>
      <protection hidden="1"/>
    </xf>
    <xf numFmtId="0" fontId="6" fillId="0" borderId="0" xfId="1" applyFont="1" applyBorder="1" applyAlignment="1">
      <alignment horizontal="left" vertical="center" indent="1"/>
    </xf>
    <xf numFmtId="0" fontId="6" fillId="0" borderId="0" xfId="1" applyFont="1" applyBorder="1" applyAlignment="1" applyProtection="1">
      <alignment horizontal="left" vertical="center" indent="1"/>
      <protection locked="0"/>
    </xf>
    <xf numFmtId="3" fontId="6" fillId="0" borderId="0" xfId="1" applyNumberFormat="1" applyFont="1" applyBorder="1" applyAlignment="1" applyProtection="1">
      <alignment horizontal="right" vertical="center" wrapText="1"/>
      <protection locked="0"/>
    </xf>
    <xf numFmtId="3" fontId="6" fillId="0" borderId="0" xfId="1" applyNumberFormat="1" applyFont="1" applyBorder="1" applyAlignment="1" applyProtection="1">
      <alignment horizontal="right" vertical="center" wrapText="1"/>
    </xf>
    <xf numFmtId="4" fontId="130" fillId="0" borderId="0" xfId="1" applyNumberFormat="1" applyFont="1" applyAlignment="1">
      <alignment vertical="center"/>
    </xf>
    <xf numFmtId="0" fontId="6" fillId="0" borderId="0" xfId="1" applyFont="1" applyProtection="1"/>
    <xf numFmtId="4" fontId="6" fillId="0" borderId="0" xfId="1" applyNumberFormat="1" applyFont="1" applyProtection="1"/>
    <xf numFmtId="0" fontId="7" fillId="0" borderId="0" xfId="1" applyFont="1" applyProtection="1"/>
    <xf numFmtId="4" fontId="12" fillId="0" borderId="0" xfId="1" applyNumberFormat="1" applyFont="1" applyBorder="1" applyAlignment="1" applyProtection="1">
      <alignment horizontal="right" vertical="top" wrapText="1"/>
    </xf>
    <xf numFmtId="0" fontId="8" fillId="0" borderId="133" xfId="1" applyFont="1" applyBorder="1" applyAlignment="1" applyProtection="1">
      <alignment horizontal="left" vertical="center" indent="1"/>
      <protection locked="0"/>
    </xf>
    <xf numFmtId="0" fontId="8" fillId="0" borderId="15" xfId="1" applyFont="1" applyBorder="1" applyAlignment="1" applyProtection="1">
      <alignment horizontal="left" vertical="center" indent="1"/>
      <protection locked="0"/>
    </xf>
    <xf numFmtId="3" fontId="8" fillId="0" borderId="40" xfId="1" applyNumberFormat="1" applyFont="1" applyBorder="1" applyAlignment="1" applyProtection="1">
      <alignment vertical="center"/>
      <protection locked="0"/>
    </xf>
    <xf numFmtId="0" fontId="20" fillId="0" borderId="38" xfId="1" applyFont="1" applyBorder="1" applyAlignment="1" applyProtection="1">
      <alignment horizontal="left" vertical="center" indent="1"/>
      <protection locked="0"/>
    </xf>
    <xf numFmtId="0" fontId="6" fillId="0" borderId="38" xfId="1" applyFont="1" applyBorder="1" applyAlignment="1" applyProtection="1">
      <alignment horizontal="left" vertical="center" indent="1"/>
      <protection locked="0"/>
    </xf>
    <xf numFmtId="0" fontId="6" fillId="0" borderId="134" xfId="1" applyFont="1" applyBorder="1" applyAlignment="1" applyProtection="1">
      <alignment horizontal="left" indent="1"/>
      <protection locked="0"/>
    </xf>
    <xf numFmtId="0" fontId="8" fillId="0" borderId="2" xfId="1" applyFont="1" applyBorder="1" applyAlignment="1" applyProtection="1">
      <alignment horizontal="left" vertical="center" indent="1"/>
      <protection locked="0"/>
    </xf>
    <xf numFmtId="3" fontId="8" fillId="0" borderId="19" xfId="1" applyNumberFormat="1" applyFont="1" applyBorder="1" applyAlignment="1">
      <alignment vertical="center"/>
    </xf>
    <xf numFmtId="3" fontId="8" fillId="20" borderId="23" xfId="1" applyNumberFormat="1" applyFont="1" applyFill="1" applyBorder="1" applyAlignment="1">
      <alignment vertical="center"/>
    </xf>
    <xf numFmtId="0" fontId="6" fillId="0" borderId="0" xfId="1" applyFont="1" applyFill="1" applyBorder="1" applyProtection="1"/>
    <xf numFmtId="4" fontId="6" fillId="0" borderId="0" xfId="1" applyNumberFormat="1" applyFont="1" applyFill="1" applyBorder="1" applyProtection="1"/>
    <xf numFmtId="0" fontId="30" fillId="5" borderId="30" xfId="1" applyFont="1" applyFill="1" applyBorder="1" applyAlignment="1" applyProtection="1">
      <alignment horizontal="center" vertical="center" wrapText="1"/>
      <protection locked="0"/>
    </xf>
    <xf numFmtId="0" fontId="8" fillId="5" borderId="10" xfId="1" applyFont="1" applyFill="1" applyBorder="1" applyAlignment="1" applyProtection="1">
      <alignment horizontal="center" vertical="center" wrapText="1"/>
      <protection locked="0"/>
    </xf>
    <xf numFmtId="0" fontId="8" fillId="5" borderId="27" xfId="1" applyFont="1" applyFill="1" applyBorder="1" applyAlignment="1" applyProtection="1">
      <alignment horizontal="center" vertical="center" wrapText="1"/>
      <protection locked="0"/>
    </xf>
    <xf numFmtId="0" fontId="30" fillId="5" borderId="10" xfId="1" applyFont="1" applyFill="1" applyBorder="1" applyAlignment="1" applyProtection="1">
      <alignment horizontal="center" vertical="center" wrapText="1"/>
      <protection locked="0"/>
    </xf>
    <xf numFmtId="0" fontId="30" fillId="5" borderId="22" xfId="1" applyFont="1" applyFill="1" applyBorder="1" applyAlignment="1" applyProtection="1">
      <alignment horizontal="center" vertical="center" wrapText="1"/>
      <protection locked="0"/>
    </xf>
    <xf numFmtId="0" fontId="30" fillId="5" borderId="73" xfId="1" applyFont="1" applyFill="1" applyBorder="1" applyAlignment="1" applyProtection="1">
      <alignment horizontal="center" vertical="center" wrapText="1"/>
      <protection locked="0"/>
    </xf>
    <xf numFmtId="0" fontId="8" fillId="5" borderId="65" xfId="1" applyFont="1" applyFill="1" applyBorder="1" applyAlignment="1" applyProtection="1">
      <alignment horizontal="center" vertical="center" wrapText="1"/>
      <protection locked="0"/>
    </xf>
    <xf numFmtId="0" fontId="8" fillId="5" borderId="73" xfId="1" applyFont="1" applyFill="1" applyBorder="1" applyAlignment="1" applyProtection="1">
      <alignment horizontal="center" vertical="center" wrapText="1"/>
      <protection locked="0"/>
    </xf>
    <xf numFmtId="0" fontId="30" fillId="5" borderId="65" xfId="1" applyFont="1" applyFill="1" applyBorder="1" applyAlignment="1" applyProtection="1">
      <alignment horizontal="center" vertical="center" wrapText="1"/>
      <protection locked="0"/>
    </xf>
    <xf numFmtId="0" fontId="30" fillId="5" borderId="41" xfId="1" applyFont="1" applyFill="1" applyBorder="1" applyAlignment="1" applyProtection="1">
      <alignment horizontal="center" vertical="center" wrapText="1"/>
      <protection locked="0"/>
    </xf>
    <xf numFmtId="0" fontId="30" fillId="5" borderId="74" xfId="1" applyFont="1" applyFill="1" applyBorder="1" applyAlignment="1" applyProtection="1">
      <alignment horizontal="center" vertical="center" wrapText="1"/>
      <protection locked="0"/>
    </xf>
    <xf numFmtId="0" fontId="30" fillId="5" borderId="42" xfId="1" applyFont="1" applyFill="1" applyBorder="1" applyAlignment="1" applyProtection="1">
      <alignment horizontal="center" vertical="center" wrapText="1"/>
      <protection locked="0"/>
    </xf>
    <xf numFmtId="0" fontId="59" fillId="0" borderId="0" xfId="1" applyFont="1" applyAlignment="1">
      <alignment vertical="center"/>
    </xf>
    <xf numFmtId="0" fontId="121" fillId="0" borderId="0" xfId="0" applyFont="1" applyAlignment="1" applyProtection="1">
      <alignment horizontal="center" vertical="center"/>
      <protection locked="0"/>
    </xf>
    <xf numFmtId="0" fontId="101" fillId="0" borderId="0" xfId="0" applyFont="1"/>
    <xf numFmtId="0" fontId="101" fillId="0" borderId="0" xfId="0" applyFont="1" applyAlignment="1">
      <alignment horizontal="left"/>
    </xf>
    <xf numFmtId="0" fontId="132" fillId="0" borderId="0" xfId="0" quotePrefix="1" applyFont="1" applyAlignment="1">
      <alignment horizontal="left"/>
    </xf>
    <xf numFmtId="0" fontId="137" fillId="0" borderId="10" xfId="0" quotePrefix="1" applyFont="1" applyBorder="1" applyAlignment="1" applyProtection="1">
      <alignment horizontal="left" vertical="top"/>
      <protection locked="0"/>
    </xf>
    <xf numFmtId="4" fontId="74" fillId="0" borderId="10" xfId="0" applyNumberFormat="1" applyFont="1" applyBorder="1"/>
    <xf numFmtId="3" fontId="59" fillId="0" borderId="53" xfId="1" applyNumberFormat="1" applyFont="1" applyBorder="1" applyAlignment="1" applyProtection="1">
      <alignment horizontal="right" vertical="center" wrapText="1"/>
      <protection hidden="1"/>
    </xf>
    <xf numFmtId="3" fontId="146" fillId="0" borderId="247" xfId="1" applyNumberFormat="1" applyFont="1" applyBorder="1" applyAlignment="1" applyProtection="1">
      <alignment horizontal="right" vertical="center" wrapText="1"/>
      <protection locked="0"/>
    </xf>
    <xf numFmtId="3" fontId="92" fillId="21" borderId="9" xfId="1" applyNumberFormat="1" applyFont="1" applyFill="1" applyBorder="1" applyAlignment="1" applyProtection="1">
      <alignment horizontal="right" vertical="center" wrapText="1"/>
      <protection locked="0"/>
    </xf>
    <xf numFmtId="4" fontId="74" fillId="0" borderId="0" xfId="0" applyNumberFormat="1" applyFont="1"/>
    <xf numFmtId="10" fontId="74" fillId="0" borderId="0" xfId="0" applyNumberFormat="1" applyFont="1"/>
    <xf numFmtId="4" fontId="6" fillId="8" borderId="10" xfId="0" applyNumberFormat="1" applyFont="1" applyFill="1" applyBorder="1" applyAlignment="1" applyProtection="1">
      <alignment horizontal="right" vertical="top"/>
      <protection locked="0"/>
    </xf>
    <xf numFmtId="4" fontId="29" fillId="8" borderId="10" xfId="0" applyNumberFormat="1" applyFont="1" applyFill="1" applyBorder="1" applyAlignment="1" applyProtection="1">
      <alignment horizontal="right" vertical="top"/>
      <protection locked="0"/>
    </xf>
    <xf numFmtId="3" fontId="6" fillId="8" borderId="233" xfId="0" applyNumberFormat="1" applyFont="1" applyFill="1" applyBorder="1" applyAlignment="1" applyProtection="1">
      <alignment horizontal="right" vertical="center"/>
      <protection locked="0"/>
    </xf>
    <xf numFmtId="0" fontId="29" fillId="8" borderId="10" xfId="0" applyFont="1" applyFill="1" applyBorder="1" applyAlignment="1" applyProtection="1">
      <alignment horizontal="center" vertical="top"/>
      <protection locked="0"/>
    </xf>
    <xf numFmtId="0" fontId="29" fillId="8" borderId="10" xfId="0" applyFont="1" applyFill="1" applyBorder="1" applyAlignment="1" applyProtection="1">
      <alignment horizontal="left" vertical="top"/>
      <protection locked="0"/>
    </xf>
    <xf numFmtId="4" fontId="8" fillId="8" borderId="10" xfId="0" applyNumberFormat="1" applyFont="1" applyFill="1" applyBorder="1" applyAlignment="1" applyProtection="1">
      <alignment horizontal="right" vertical="top"/>
      <protection locked="0"/>
    </xf>
    <xf numFmtId="0" fontId="8" fillId="8" borderId="10" xfId="0" applyFont="1" applyFill="1" applyBorder="1" applyAlignment="1" applyProtection="1">
      <alignment horizontal="center" vertical="top"/>
      <protection locked="0"/>
    </xf>
    <xf numFmtId="4" fontId="30" fillId="8" borderId="10" xfId="0" applyNumberFormat="1" applyFont="1" applyFill="1" applyBorder="1" applyAlignment="1" applyProtection="1">
      <alignment horizontal="right" vertical="top"/>
      <protection locked="0"/>
    </xf>
    <xf numFmtId="0" fontId="6" fillId="8" borderId="10" xfId="0" quotePrefix="1" applyFont="1" applyFill="1" applyBorder="1" applyAlignment="1" applyProtection="1">
      <alignment horizontal="left" vertical="center"/>
      <protection locked="0"/>
    </xf>
    <xf numFmtId="0" fontId="41" fillId="8" borderId="0" xfId="0" applyFont="1" applyFill="1" applyAlignment="1" applyProtection="1">
      <alignment horizontal="center" vertical="top"/>
      <protection locked="0"/>
    </xf>
    <xf numFmtId="0" fontId="41" fillId="8" borderId="0" xfId="0" applyFont="1" applyFill="1" applyAlignment="1" applyProtection="1">
      <alignment horizontal="left" vertical="top"/>
      <protection locked="0"/>
    </xf>
    <xf numFmtId="0" fontId="41" fillId="8" borderId="10" xfId="0" applyFont="1" applyFill="1" applyBorder="1" applyAlignment="1" applyProtection="1">
      <alignment horizontal="left" vertical="top"/>
      <protection locked="0"/>
    </xf>
    <xf numFmtId="4" fontId="8" fillId="8" borderId="10" xfId="0" applyNumberFormat="1" applyFont="1" applyFill="1" applyBorder="1" applyAlignment="1">
      <alignment vertical="center"/>
    </xf>
    <xf numFmtId="0" fontId="6" fillId="8" borderId="10" xfId="0" applyFont="1" applyFill="1" applyBorder="1" applyAlignment="1" applyProtection="1">
      <alignment horizontal="center" vertical="top"/>
      <protection locked="0"/>
    </xf>
    <xf numFmtId="4" fontId="8" fillId="8" borderId="245" xfId="0" applyNumberFormat="1" applyFont="1" applyFill="1" applyBorder="1" applyAlignment="1">
      <alignment vertical="center"/>
    </xf>
    <xf numFmtId="0" fontId="8" fillId="8" borderId="232" xfId="0" applyFont="1" applyFill="1" applyBorder="1" applyAlignment="1" applyProtection="1">
      <alignment horizontal="center" vertical="center"/>
      <protection locked="0"/>
    </xf>
    <xf numFmtId="3" fontId="14" fillId="8" borderId="10" xfId="0" applyNumberFormat="1" applyFont="1" applyFill="1" applyBorder="1" applyAlignment="1" applyProtection="1">
      <alignment horizontal="right" vertical="center"/>
      <protection locked="0"/>
    </xf>
    <xf numFmtId="4" fontId="14" fillId="8" borderId="10" xfId="0" applyNumberFormat="1" applyFont="1" applyFill="1" applyBorder="1" applyAlignment="1" applyProtection="1">
      <alignment horizontal="right" vertical="top"/>
      <protection locked="0"/>
    </xf>
    <xf numFmtId="4" fontId="14" fillId="8" borderId="10" xfId="0" applyNumberFormat="1" applyFont="1" applyFill="1" applyBorder="1" applyAlignment="1">
      <alignment vertical="center"/>
    </xf>
    <xf numFmtId="3" fontId="14" fillId="8" borderId="233" xfId="0" applyNumberFormat="1" applyFont="1" applyFill="1" applyBorder="1" applyAlignment="1" applyProtection="1">
      <alignment horizontal="right" vertical="center"/>
      <protection locked="0"/>
    </xf>
    <xf numFmtId="4" fontId="97" fillId="8" borderId="10" xfId="0" applyNumberFormat="1" applyFont="1" applyFill="1" applyBorder="1" applyAlignment="1" applyProtection="1">
      <alignment horizontal="right" vertical="top"/>
      <protection locked="0"/>
    </xf>
    <xf numFmtId="0" fontId="8" fillId="8" borderId="261" xfId="0" applyFont="1" applyFill="1" applyBorder="1" applyAlignment="1" applyProtection="1">
      <alignment horizontal="center" vertical="center"/>
      <protection locked="0"/>
    </xf>
    <xf numFmtId="3" fontId="8" fillId="8" borderId="260" xfId="0" applyNumberFormat="1" applyFont="1" applyFill="1" applyBorder="1" applyAlignment="1" applyProtection="1">
      <alignment horizontal="right" vertical="center"/>
      <protection locked="0"/>
    </xf>
    <xf numFmtId="0" fontId="8" fillId="20" borderId="10" xfId="0" applyFont="1" applyFill="1" applyBorder="1" applyAlignment="1" applyProtection="1">
      <alignment horizontal="center" vertical="center" wrapText="1"/>
      <protection locked="0"/>
    </xf>
    <xf numFmtId="0" fontId="8" fillId="20" borderId="10" xfId="0" applyFont="1" applyFill="1" applyBorder="1" applyAlignment="1">
      <alignment horizontal="center" vertical="center" wrapText="1"/>
    </xf>
    <xf numFmtId="10" fontId="8" fillId="20" borderId="10" xfId="0" applyNumberFormat="1" applyFont="1" applyFill="1" applyBorder="1" applyAlignment="1" applyProtection="1">
      <alignment horizontal="center" vertical="center" wrapText="1"/>
      <protection locked="0"/>
    </xf>
    <xf numFmtId="10" fontId="8" fillId="20" borderId="10" xfId="0" applyNumberFormat="1" applyFont="1" applyFill="1" applyBorder="1" applyAlignment="1">
      <alignment horizontal="center" vertical="center" wrapText="1"/>
    </xf>
    <xf numFmtId="10" fontId="26" fillId="25" borderId="10" xfId="0" applyNumberFormat="1" applyFont="1" applyFill="1" applyBorder="1"/>
    <xf numFmtId="10" fontId="0" fillId="25" borderId="10" xfId="0" applyNumberFormat="1" applyFill="1" applyBorder="1"/>
    <xf numFmtId="3" fontId="6" fillId="0" borderId="61" xfId="0" applyNumberFormat="1" applyFont="1" applyFill="1" applyBorder="1" applyAlignment="1" applyProtection="1">
      <alignment horizontal="right" vertical="center"/>
      <protection locked="0"/>
    </xf>
    <xf numFmtId="10" fontId="0" fillId="0" borderId="61" xfId="0" applyNumberFormat="1" applyFill="1" applyBorder="1"/>
    <xf numFmtId="0" fontId="6" fillId="0" borderId="131" xfId="0" quotePrefix="1" applyFont="1" applyFill="1" applyBorder="1" applyAlignment="1" applyProtection="1">
      <alignment horizontal="left" vertical="center"/>
      <protection locked="0"/>
    </xf>
    <xf numFmtId="0" fontId="96" fillId="0" borderId="0" xfId="0" quotePrefix="1" applyFont="1" applyAlignment="1">
      <alignment horizontal="left"/>
    </xf>
    <xf numFmtId="0" fontId="6" fillId="25" borderId="232" xfId="0" applyFont="1" applyFill="1" applyBorder="1" applyAlignment="1" applyProtection="1">
      <alignment horizontal="center" vertical="center"/>
      <protection locked="0"/>
    </xf>
    <xf numFmtId="3" fontId="6" fillId="25" borderId="233" xfId="0" applyNumberFormat="1" applyFont="1" applyFill="1" applyBorder="1" applyAlignment="1" applyProtection="1">
      <alignment horizontal="right" vertical="center"/>
      <protection locked="0"/>
    </xf>
    <xf numFmtId="0" fontId="0" fillId="25" borderId="0" xfId="0" applyFill="1"/>
    <xf numFmtId="0" fontId="0" fillId="25" borderId="0" xfId="0" applyFill="1" applyAlignment="1" applyProtection="1">
      <alignment horizontal="left" vertical="top"/>
      <protection locked="0"/>
    </xf>
    <xf numFmtId="4" fontId="26" fillId="25" borderId="0" xfId="0" applyNumberFormat="1" applyFont="1" applyFill="1" applyAlignment="1" applyProtection="1">
      <alignment horizontal="right" vertical="top"/>
      <protection locked="0"/>
    </xf>
    <xf numFmtId="4" fontId="0" fillId="25" borderId="0" xfId="0" applyNumberFormat="1" applyFill="1" applyAlignment="1" applyProtection="1">
      <alignment horizontal="right" vertical="top"/>
      <protection locked="0"/>
    </xf>
    <xf numFmtId="0" fontId="8" fillId="8" borderId="258" xfId="0" applyFont="1" applyFill="1" applyBorder="1" applyAlignment="1" applyProtection="1">
      <alignment horizontal="center" vertical="top"/>
      <protection locked="0"/>
    </xf>
    <xf numFmtId="0" fontId="8" fillId="8" borderId="7" xfId="0" applyFont="1" applyFill="1" applyBorder="1" applyAlignment="1" applyProtection="1">
      <alignment horizontal="center" vertical="center"/>
      <protection locked="0"/>
    </xf>
    <xf numFmtId="0" fontId="8" fillId="8" borderId="7" xfId="0" applyFont="1" applyFill="1" applyBorder="1" applyAlignment="1">
      <alignment horizontal="center" vertical="center"/>
    </xf>
    <xf numFmtId="0" fontId="8" fillId="8" borderId="259" xfId="0" applyFont="1" applyFill="1" applyBorder="1" applyAlignment="1">
      <alignment horizontal="center" vertical="center"/>
    </xf>
    <xf numFmtId="0" fontId="6" fillId="8" borderId="232" xfId="0" applyNumberFormat="1" applyFont="1" applyFill="1" applyBorder="1" applyAlignment="1" applyProtection="1">
      <alignment horizontal="center" vertical="center"/>
      <protection locked="0"/>
    </xf>
    <xf numFmtId="4" fontId="8" fillId="8" borderId="10" xfId="0" applyNumberFormat="1" applyFont="1" applyFill="1" applyBorder="1" applyAlignment="1" applyProtection="1">
      <alignment horizontal="right" vertical="center"/>
      <protection locked="0"/>
    </xf>
    <xf numFmtId="49" fontId="6" fillId="8" borderId="10" xfId="0" applyNumberFormat="1" applyFont="1" applyFill="1" applyBorder="1" applyAlignment="1" applyProtection="1">
      <alignment horizontal="left" vertical="center"/>
      <protection locked="0"/>
    </xf>
    <xf numFmtId="0" fontId="41" fillId="8" borderId="10" xfId="0" applyFont="1" applyFill="1" applyBorder="1" applyAlignment="1" applyProtection="1">
      <alignment horizontal="center" vertical="top"/>
      <protection locked="0"/>
    </xf>
    <xf numFmtId="0" fontId="6" fillId="5" borderId="202" xfId="0" applyFont="1" applyFill="1" applyBorder="1" applyAlignment="1" applyProtection="1">
      <alignment horizontal="center" vertical="center"/>
      <protection locked="0"/>
    </xf>
    <xf numFmtId="0" fontId="8" fillId="5" borderId="202" xfId="0" applyFont="1" applyFill="1" applyBorder="1" applyAlignment="1" applyProtection="1">
      <alignment horizontal="center" vertical="center"/>
      <protection locked="0"/>
    </xf>
    <xf numFmtId="4" fontId="0" fillId="11" borderId="27" xfId="0" applyNumberFormat="1" applyFill="1" applyBorder="1" applyAlignment="1" applyProtection="1">
      <alignment horizontal="right" vertical="top"/>
      <protection locked="0"/>
    </xf>
    <xf numFmtId="4" fontId="0" fillId="0" borderId="27" xfId="0" applyNumberFormat="1" applyBorder="1" applyAlignment="1" applyProtection="1">
      <alignment horizontal="right" vertical="top"/>
      <protection locked="0"/>
    </xf>
    <xf numFmtId="0" fontId="27" fillId="25" borderId="0" xfId="0" applyFont="1" applyFill="1" applyAlignment="1" applyProtection="1">
      <alignment horizontal="left" vertical="top"/>
      <protection locked="0"/>
    </xf>
    <xf numFmtId="0" fontId="0" fillId="25" borderId="0" xfId="0" applyFill="1" applyAlignment="1" applyProtection="1">
      <alignment horizontal="right" vertical="top"/>
      <protection locked="0"/>
    </xf>
    <xf numFmtId="10" fontId="0" fillId="0" borderId="10" xfId="0" applyNumberFormat="1" applyBorder="1" applyAlignment="1" applyProtection="1">
      <alignment horizontal="right" vertical="top"/>
      <protection locked="0"/>
    </xf>
    <xf numFmtId="0" fontId="6" fillId="0" borderId="207" xfId="0" applyFont="1" applyBorder="1" applyAlignment="1" applyProtection="1">
      <alignment horizontal="center" vertical="center"/>
      <protection locked="0"/>
    </xf>
    <xf numFmtId="0" fontId="6" fillId="20" borderId="204" xfId="0" applyFont="1" applyFill="1" applyBorder="1" applyAlignment="1" applyProtection="1">
      <alignment horizontal="center" vertical="center"/>
      <protection locked="0"/>
    </xf>
    <xf numFmtId="0" fontId="6" fillId="20" borderId="204" xfId="0" applyFont="1" applyFill="1" applyBorder="1" applyAlignment="1" applyProtection="1">
      <alignment horizontal="left" vertical="center"/>
      <protection locked="0"/>
    </xf>
    <xf numFmtId="0" fontId="8" fillId="20" borderId="204" xfId="0" applyFont="1" applyFill="1" applyBorder="1" applyAlignment="1" applyProtection="1">
      <alignment horizontal="left" vertical="center"/>
      <protection locked="0"/>
    </xf>
    <xf numFmtId="3" fontId="8" fillId="5" borderId="204" xfId="0" applyNumberFormat="1" applyFont="1" applyFill="1" applyBorder="1" applyAlignment="1" applyProtection="1">
      <alignment horizontal="right" vertical="top"/>
      <protection locked="0"/>
    </xf>
    <xf numFmtId="3" fontId="8" fillId="5" borderId="206" xfId="0" applyNumberFormat="1" applyFont="1" applyFill="1" applyBorder="1" applyAlignment="1" applyProtection="1">
      <alignment horizontal="right" vertical="top"/>
      <protection locked="0"/>
    </xf>
    <xf numFmtId="3" fontId="8" fillId="26" borderId="204" xfId="0" applyNumberFormat="1" applyFont="1" applyFill="1" applyBorder="1" applyAlignment="1" applyProtection="1">
      <alignment horizontal="right" vertical="top"/>
      <protection locked="0"/>
    </xf>
    <xf numFmtId="10" fontId="0" fillId="0" borderId="245" xfId="0" applyNumberFormat="1" applyBorder="1"/>
    <xf numFmtId="0" fontId="26" fillId="25" borderId="202" xfId="0" applyFont="1" applyFill="1" applyBorder="1" applyAlignment="1" applyProtection="1">
      <alignment horizontal="left" vertical="top"/>
      <protection locked="0"/>
    </xf>
    <xf numFmtId="0" fontId="26" fillId="25" borderId="197" xfId="0" applyFont="1" applyFill="1" applyBorder="1" applyAlignment="1" applyProtection="1">
      <alignment horizontal="left" vertical="center"/>
      <protection locked="0"/>
    </xf>
    <xf numFmtId="3" fontId="26" fillId="25" borderId="197" xfId="0" applyNumberFormat="1" applyFont="1" applyFill="1" applyBorder="1" applyAlignment="1" applyProtection="1">
      <alignment horizontal="right" vertical="center"/>
      <protection locked="0"/>
    </xf>
    <xf numFmtId="0" fontId="26" fillId="25" borderId="197" xfId="0" applyFont="1" applyFill="1" applyBorder="1" applyAlignment="1">
      <alignment vertical="center"/>
    </xf>
    <xf numFmtId="3" fontId="26" fillId="25" borderId="197" xfId="0" applyNumberFormat="1" applyFont="1" applyFill="1" applyBorder="1" applyAlignment="1">
      <alignment vertical="center"/>
    </xf>
    <xf numFmtId="0" fontId="26" fillId="25" borderId="197" xfId="0" applyFont="1" applyFill="1" applyBorder="1"/>
    <xf numFmtId="0" fontId="26" fillId="25" borderId="197" xfId="0" applyFont="1" applyFill="1" applyBorder="1" applyAlignment="1" applyProtection="1">
      <alignment horizontal="left" vertical="top"/>
      <protection locked="0"/>
    </xf>
    <xf numFmtId="4" fontId="26" fillId="25" borderId="197" xfId="0" applyNumberFormat="1" applyFont="1" applyFill="1" applyBorder="1" applyAlignment="1" applyProtection="1">
      <alignment horizontal="left" vertical="top"/>
      <protection locked="0"/>
    </xf>
    <xf numFmtId="4" fontId="104" fillId="25" borderId="197" xfId="0" applyNumberFormat="1" applyFont="1" applyFill="1" applyBorder="1" applyAlignment="1" applyProtection="1">
      <alignment horizontal="right" vertical="top"/>
      <protection locked="0"/>
    </xf>
    <xf numFmtId="0" fontId="26" fillId="25" borderId="198" xfId="0" applyFont="1" applyFill="1" applyBorder="1"/>
    <xf numFmtId="4" fontId="8" fillId="25" borderId="10" xfId="0" applyNumberFormat="1" applyFont="1" applyFill="1" applyBorder="1" applyAlignment="1" applyProtection="1">
      <alignment horizontal="right" vertical="center"/>
      <protection locked="0"/>
    </xf>
    <xf numFmtId="3" fontId="8" fillId="25" borderId="0" xfId="0" applyNumberFormat="1" applyFont="1" applyFill="1" applyBorder="1" applyAlignment="1" applyProtection="1">
      <alignment horizontal="right" vertical="center"/>
      <protection locked="0"/>
    </xf>
    <xf numFmtId="0" fontId="0" fillId="25" borderId="10" xfId="0" applyFill="1" applyBorder="1" applyAlignment="1" applyProtection="1">
      <alignment horizontal="left" vertical="top"/>
      <protection locked="0"/>
    </xf>
    <xf numFmtId="4" fontId="0" fillId="25" borderId="10" xfId="0" applyNumberFormat="1" applyFill="1" applyBorder="1" applyAlignment="1" applyProtection="1">
      <alignment horizontal="right" vertical="top"/>
      <protection locked="0"/>
    </xf>
    <xf numFmtId="4" fontId="0" fillId="25" borderId="27" xfId="0" applyNumberFormat="1" applyFill="1" applyBorder="1" applyAlignment="1" applyProtection="1">
      <alignment horizontal="right" vertical="top"/>
      <protection locked="0"/>
    </xf>
    <xf numFmtId="10" fontId="0" fillId="25" borderId="10" xfId="0" applyNumberFormat="1" applyFill="1" applyBorder="1" applyAlignment="1" applyProtection="1">
      <alignment horizontal="right" vertical="top"/>
      <protection locked="0"/>
    </xf>
    <xf numFmtId="3" fontId="6" fillId="8" borderId="0" xfId="0" applyNumberFormat="1" applyFont="1" applyFill="1" applyBorder="1" applyAlignment="1" applyProtection="1">
      <alignment horizontal="right" vertical="center"/>
      <protection locked="0"/>
    </xf>
    <xf numFmtId="4" fontId="6" fillId="11" borderId="0" xfId="0" applyNumberFormat="1" applyFont="1" applyFill="1" applyBorder="1" applyAlignment="1" applyProtection="1">
      <alignment horizontal="right" vertical="center"/>
      <protection locked="0"/>
    </xf>
    <xf numFmtId="0" fontId="0" fillId="0" borderId="0" xfId="0" applyBorder="1" applyAlignment="1" applyProtection="1">
      <alignment horizontal="left" vertical="top"/>
      <protection locked="0"/>
    </xf>
    <xf numFmtId="4" fontId="0" fillId="24" borderId="0" xfId="0" applyNumberFormat="1" applyFill="1" applyBorder="1" applyAlignment="1" applyProtection="1">
      <alignment horizontal="right" vertical="top"/>
      <protection locked="0"/>
    </xf>
    <xf numFmtId="10" fontId="26" fillId="25" borderId="10" xfId="0" applyNumberFormat="1" applyFont="1" applyFill="1" applyBorder="1" applyAlignment="1" applyProtection="1">
      <alignment horizontal="right" vertical="top"/>
      <protection locked="0"/>
    </xf>
    <xf numFmtId="0" fontId="8" fillId="8" borderId="10" xfId="0" applyFont="1" applyFill="1" applyBorder="1" applyAlignment="1" applyProtection="1">
      <alignment horizontal="left" vertical="top"/>
      <protection locked="0"/>
    </xf>
    <xf numFmtId="0" fontId="96" fillId="25" borderId="0" xfId="0" applyFont="1" applyFill="1" applyAlignment="1" applyProtection="1">
      <alignment horizontal="left" vertical="top"/>
      <protection locked="0"/>
    </xf>
    <xf numFmtId="0" fontId="96" fillId="25" borderId="0" xfId="0" applyFont="1" applyFill="1" applyAlignment="1" applyProtection="1">
      <alignment horizontal="right" vertical="top"/>
      <protection locked="0"/>
    </xf>
    <xf numFmtId="4" fontId="96" fillId="25" borderId="0" xfId="0" applyNumberFormat="1" applyFont="1" applyFill="1" applyAlignment="1" applyProtection="1">
      <alignment horizontal="right" vertical="top"/>
      <protection locked="0"/>
    </xf>
    <xf numFmtId="0" fontId="6" fillId="25" borderId="0" xfId="0" applyFont="1" applyFill="1" applyBorder="1" applyAlignment="1" applyProtection="1">
      <alignment horizontal="center" vertical="center"/>
      <protection locked="0"/>
    </xf>
    <xf numFmtId="4" fontId="6" fillId="25" borderId="0" xfId="0" applyNumberFormat="1" applyFont="1" applyFill="1" applyBorder="1" applyAlignment="1" applyProtection="1">
      <alignment horizontal="right" vertical="center"/>
      <protection locked="0"/>
    </xf>
    <xf numFmtId="0" fontId="147" fillId="2" borderId="117" xfId="1" applyFont="1" applyFill="1" applyBorder="1" applyAlignment="1">
      <alignment horizontal="center" vertical="center"/>
    </xf>
    <xf numFmtId="0" fontId="88" fillId="2" borderId="116" xfId="1" applyFont="1" applyFill="1" applyBorder="1" applyAlignment="1">
      <alignment horizontal="center" vertical="center"/>
    </xf>
    <xf numFmtId="0" fontId="147" fillId="2" borderId="20" xfId="1" applyFont="1" applyFill="1" applyBorder="1" applyAlignment="1">
      <alignment horizontal="center" vertical="center"/>
    </xf>
    <xf numFmtId="0" fontId="147" fillId="2" borderId="137" xfId="1" applyFont="1" applyFill="1" applyBorder="1" applyAlignment="1">
      <alignment horizontal="center" vertical="center" wrapText="1"/>
    </xf>
    <xf numFmtId="0" fontId="147" fillId="0" borderId="61" xfId="1" applyFont="1" applyFill="1" applyBorder="1" applyAlignment="1">
      <alignment horizontal="center" vertical="center"/>
    </xf>
    <xf numFmtId="0" fontId="147" fillId="0" borderId="61" xfId="1" applyFont="1" applyFill="1" applyBorder="1" applyAlignment="1">
      <alignment horizontal="center" vertical="center" wrapText="1"/>
    </xf>
    <xf numFmtId="0" fontId="147" fillId="2" borderId="53" xfId="1" applyFont="1" applyFill="1" applyBorder="1" applyAlignment="1">
      <alignment horizontal="center" vertical="center"/>
    </xf>
    <xf numFmtId="0" fontId="147" fillId="2" borderId="126" xfId="1" applyFont="1" applyFill="1" applyBorder="1" applyAlignment="1">
      <alignment horizontal="center" vertical="center" wrapText="1"/>
    </xf>
    <xf numFmtId="0" fontId="147" fillId="0" borderId="18" xfId="1" applyFont="1" applyFill="1" applyBorder="1" applyAlignment="1">
      <alignment horizontal="center" vertical="center" wrapText="1"/>
    </xf>
    <xf numFmtId="0" fontId="147" fillId="0" borderId="13" xfId="1" applyFont="1" applyFill="1" applyBorder="1" applyAlignment="1">
      <alignment horizontal="center" vertical="center"/>
    </xf>
    <xf numFmtId="0" fontId="147" fillId="0" borderId="1" xfId="1" applyFont="1" applyFill="1" applyBorder="1" applyAlignment="1">
      <alignment horizontal="center" vertical="center"/>
    </xf>
    <xf numFmtId="0" fontId="147" fillId="0" borderId="11" xfId="1" applyFont="1" applyFill="1" applyBorder="1" applyAlignment="1">
      <alignment horizontal="center" vertical="center" wrapText="1"/>
    </xf>
    <xf numFmtId="0" fontId="87" fillId="20" borderId="37" xfId="1" applyFont="1" applyFill="1" applyBorder="1" applyAlignment="1">
      <alignment horizontal="center" vertical="center"/>
    </xf>
    <xf numFmtId="0" fontId="87" fillId="20" borderId="28" xfId="3" applyFont="1" applyFill="1" applyBorder="1" applyAlignment="1">
      <alignment horizontal="left" vertical="center"/>
    </xf>
    <xf numFmtId="0" fontId="87" fillId="20" borderId="89" xfId="1" applyFont="1" applyFill="1" applyBorder="1" applyAlignment="1">
      <alignment vertical="center"/>
    </xf>
    <xf numFmtId="4" fontId="147" fillId="20" borderId="33" xfId="1" applyNumberFormat="1" applyFont="1" applyFill="1" applyBorder="1" applyAlignment="1">
      <alignment vertical="center"/>
    </xf>
    <xf numFmtId="4" fontId="88" fillId="20" borderId="7" xfId="1" applyNumberFormat="1" applyFont="1" applyFill="1" applyBorder="1" applyAlignment="1">
      <alignment vertical="center"/>
    </xf>
    <xf numFmtId="4" fontId="149" fillId="20" borderId="21" xfId="1" applyNumberFormat="1" applyFont="1" applyFill="1" applyBorder="1" applyAlignment="1">
      <alignment vertical="center"/>
    </xf>
    <xf numFmtId="4" fontId="150" fillId="20" borderId="5" xfId="1" applyNumberFormat="1" applyFont="1" applyFill="1" applyBorder="1" applyAlignment="1">
      <alignment vertical="center"/>
    </xf>
    <xf numFmtId="0" fontId="87" fillId="0" borderId="38" xfId="1" applyFont="1" applyBorder="1" applyAlignment="1">
      <alignment horizontal="center" vertical="center"/>
    </xf>
    <xf numFmtId="0" fontId="87" fillId="2" borderId="27" xfId="3" applyFont="1" applyFill="1" applyBorder="1" applyAlignment="1">
      <alignment horizontal="left" vertical="center"/>
    </xf>
    <xf numFmtId="0" fontId="87" fillId="0" borderId="45" xfId="1" applyFont="1" applyBorder="1" applyAlignment="1">
      <alignment vertical="center"/>
    </xf>
    <xf numFmtId="0" fontId="87" fillId="2" borderId="45" xfId="1" applyFont="1" applyFill="1" applyBorder="1" applyAlignment="1">
      <alignment vertical="center"/>
    </xf>
    <xf numFmtId="4" fontId="147" fillId="0" borderId="30" xfId="1" applyNumberFormat="1" applyFont="1" applyFill="1" applyBorder="1" applyAlignment="1">
      <alignment vertical="center"/>
    </xf>
    <xf numFmtId="4" fontId="147" fillId="0" borderId="10" xfId="1" applyNumberFormat="1" applyFont="1" applyFill="1" applyBorder="1" applyAlignment="1">
      <alignment vertical="center"/>
    </xf>
    <xf numFmtId="4" fontId="147" fillId="0" borderId="22" xfId="1" applyNumberFormat="1" applyFont="1" applyFill="1" applyBorder="1" applyAlignment="1">
      <alignment vertical="center"/>
    </xf>
    <xf numFmtId="4" fontId="150" fillId="20" borderId="8" xfId="1" applyNumberFormat="1" applyFont="1" applyFill="1" applyBorder="1" applyAlignment="1">
      <alignment vertical="center"/>
    </xf>
    <xf numFmtId="4" fontId="149" fillId="0" borderId="22" xfId="1" applyNumberFormat="1" applyFont="1" applyFill="1" applyBorder="1" applyAlignment="1">
      <alignment vertical="center"/>
    </xf>
    <xf numFmtId="0" fontId="87" fillId="0" borderId="149" xfId="1" applyFont="1" applyBorder="1" applyAlignment="1">
      <alignment horizontal="center" vertical="center"/>
    </xf>
    <xf numFmtId="0" fontId="87" fillId="2" borderId="83" xfId="3" applyFont="1" applyFill="1" applyBorder="1" applyAlignment="1">
      <alignment horizontal="left" vertical="center"/>
    </xf>
    <xf numFmtId="0" fontId="87" fillId="0" borderId="90" xfId="1" applyFont="1" applyBorder="1" applyAlignment="1">
      <alignment vertical="center"/>
    </xf>
    <xf numFmtId="0" fontId="87" fillId="2" borderId="90" xfId="1" applyFont="1" applyFill="1" applyBorder="1" applyAlignment="1">
      <alignment vertical="center"/>
    </xf>
    <xf numFmtId="4" fontId="147" fillId="0" borderId="18" xfId="1" applyNumberFormat="1" applyFont="1" applyFill="1" applyBorder="1" applyAlignment="1">
      <alignment vertical="center"/>
    </xf>
    <xf numFmtId="4" fontId="147" fillId="0" borderId="13" xfId="1" applyNumberFormat="1" applyFont="1" applyFill="1" applyBorder="1" applyAlignment="1">
      <alignment vertical="center"/>
    </xf>
    <xf numFmtId="4" fontId="149" fillId="0" borderId="1" xfId="1" applyNumberFormat="1" applyFont="1" applyFill="1" applyBorder="1" applyAlignment="1">
      <alignment vertical="center"/>
    </xf>
    <xf numFmtId="4" fontId="150" fillId="20" borderId="11" xfId="1" applyNumberFormat="1" applyFont="1" applyFill="1" applyBorder="1" applyAlignment="1">
      <alignment vertical="center"/>
    </xf>
    <xf numFmtId="0" fontId="60" fillId="0" borderId="0" xfId="0" quotePrefix="1" applyFont="1" applyAlignment="1"/>
    <xf numFmtId="4" fontId="145" fillId="20" borderId="8" xfId="1" applyNumberFormat="1" applyFont="1" applyFill="1" applyBorder="1" applyAlignment="1">
      <alignment vertical="center"/>
    </xf>
    <xf numFmtId="4" fontId="151" fillId="0" borderId="10" xfId="1" applyNumberFormat="1" applyFont="1" applyFill="1" applyBorder="1" applyAlignment="1">
      <alignment vertical="center"/>
    </xf>
    <xf numFmtId="4" fontId="149" fillId="0" borderId="10" xfId="1" applyNumberFormat="1" applyFont="1" applyFill="1" applyBorder="1" applyAlignment="1">
      <alignment vertical="center"/>
    </xf>
    <xf numFmtId="0" fontId="1" fillId="2" borderId="137" xfId="1" applyFont="1" applyFill="1" applyBorder="1" applyAlignment="1">
      <alignment horizontal="center" vertical="center" wrapText="1"/>
    </xf>
    <xf numFmtId="0" fontId="1" fillId="0" borderId="61" xfId="1" applyFont="1" applyFill="1" applyBorder="1" applyAlignment="1">
      <alignment horizontal="center" vertical="center"/>
    </xf>
    <xf numFmtId="0" fontId="1" fillId="0" borderId="61" xfId="1" applyFont="1" applyFill="1" applyBorder="1" applyAlignment="1">
      <alignment horizontal="center" vertical="center" wrapText="1"/>
    </xf>
    <xf numFmtId="0" fontId="1" fillId="2" borderId="53" xfId="1" applyFont="1" applyFill="1" applyBorder="1" applyAlignment="1">
      <alignment horizontal="center" vertical="center"/>
    </xf>
    <xf numFmtId="0" fontId="1" fillId="2" borderId="126" xfId="1" applyFont="1" applyFill="1" applyBorder="1" applyAlignment="1">
      <alignment horizontal="center" vertical="center" wrapText="1"/>
    </xf>
    <xf numFmtId="0" fontId="1" fillId="0" borderId="18" xfId="1" applyFont="1" applyFill="1" applyBorder="1" applyAlignment="1">
      <alignment horizontal="center" vertical="center" wrapText="1"/>
    </xf>
    <xf numFmtId="0" fontId="1" fillId="0" borderId="13" xfId="1" applyFont="1" applyFill="1" applyBorder="1" applyAlignment="1">
      <alignment horizontal="center" vertical="center"/>
    </xf>
    <xf numFmtId="0" fontId="1" fillId="0" borderId="1" xfId="1" applyFont="1" applyFill="1" applyBorder="1" applyAlignment="1">
      <alignment horizontal="center" vertical="center"/>
    </xf>
    <xf numFmtId="0" fontId="1" fillId="0" borderId="11" xfId="1" applyFont="1" applyFill="1" applyBorder="1" applyAlignment="1">
      <alignment horizontal="center" vertical="center" wrapText="1"/>
    </xf>
    <xf numFmtId="0" fontId="1" fillId="20" borderId="37" xfId="1" applyFont="1" applyFill="1" applyBorder="1" applyAlignment="1">
      <alignment horizontal="center" vertical="center"/>
    </xf>
    <xf numFmtId="0" fontId="1" fillId="20" borderId="28" xfId="3" applyFont="1" applyFill="1" applyBorder="1" applyAlignment="1">
      <alignment horizontal="left" vertical="center"/>
    </xf>
    <xf numFmtId="0" fontId="1" fillId="20" borderId="89" xfId="1" applyFont="1" applyFill="1" applyBorder="1" applyAlignment="1">
      <alignment vertical="center"/>
    </xf>
    <xf numFmtId="4" fontId="1" fillId="20" borderId="33" xfId="1" applyNumberFormat="1" applyFont="1" applyFill="1" applyBorder="1" applyAlignment="1">
      <alignment vertical="center"/>
    </xf>
    <xf numFmtId="4" fontId="78" fillId="20" borderId="7" xfId="1" applyNumberFormat="1" applyFont="1" applyFill="1" applyBorder="1" applyAlignment="1">
      <alignment vertical="center"/>
    </xf>
    <xf numFmtId="4" fontId="135" fillId="20" borderId="21" xfId="1" applyNumberFormat="1" applyFont="1" applyFill="1" applyBorder="1" applyAlignment="1">
      <alignment vertical="center"/>
    </xf>
    <xf numFmtId="4" fontId="21" fillId="20" borderId="5" xfId="1" applyNumberFormat="1" applyFont="1" applyFill="1" applyBorder="1" applyAlignment="1">
      <alignment vertical="center"/>
    </xf>
    <xf numFmtId="0" fontId="1" fillId="0" borderId="38" xfId="1" applyFont="1" applyBorder="1" applyAlignment="1">
      <alignment horizontal="center" vertical="center"/>
    </xf>
    <xf numFmtId="0" fontId="1" fillId="2" borderId="27" xfId="3" applyFont="1" applyFill="1" applyBorder="1" applyAlignment="1">
      <alignment horizontal="left" vertical="center"/>
    </xf>
    <xf numFmtId="0" fontId="1" fillId="0" borderId="45" xfId="1" applyFont="1" applyBorder="1" applyAlignment="1">
      <alignment vertical="center"/>
    </xf>
    <xf numFmtId="0" fontId="1" fillId="2" borderId="45" xfId="1" applyFont="1" applyFill="1" applyBorder="1" applyAlignment="1">
      <alignment vertical="center"/>
    </xf>
    <xf numFmtId="4" fontId="1" fillId="0" borderId="30" xfId="1" applyNumberFormat="1" applyFont="1" applyFill="1" applyBorder="1" applyAlignment="1">
      <alignment vertical="center"/>
    </xf>
    <xf numFmtId="4" fontId="1" fillId="0" borderId="10" xfId="1" applyNumberFormat="1" applyFont="1" applyFill="1" applyBorder="1" applyAlignment="1">
      <alignment vertical="center"/>
    </xf>
    <xf numFmtId="4" fontId="1" fillId="0" borderId="22" xfId="1" applyNumberFormat="1" applyFont="1" applyFill="1" applyBorder="1" applyAlignment="1">
      <alignment vertical="center"/>
    </xf>
    <xf numFmtId="4" fontId="21" fillId="20" borderId="8" xfId="1" applyNumberFormat="1" applyFont="1" applyFill="1" applyBorder="1" applyAlignment="1">
      <alignment vertical="center"/>
    </xf>
    <xf numFmtId="4" fontId="135" fillId="0" borderId="22" xfId="1" applyNumberFormat="1" applyFont="1" applyFill="1" applyBorder="1" applyAlignment="1">
      <alignment vertical="center"/>
    </xf>
    <xf numFmtId="4" fontId="146" fillId="0" borderId="10" xfId="1" applyNumberFormat="1" applyFont="1" applyFill="1" applyBorder="1" applyAlignment="1">
      <alignment vertical="center"/>
    </xf>
    <xf numFmtId="4" fontId="59" fillId="20" borderId="8" xfId="1" applyNumberFormat="1" applyFont="1" applyFill="1" applyBorder="1" applyAlignment="1">
      <alignment vertical="center"/>
    </xf>
    <xf numFmtId="4" fontId="135" fillId="0" borderId="10" xfId="1" applyNumberFormat="1" applyFont="1" applyFill="1" applyBorder="1" applyAlignment="1">
      <alignment vertical="center"/>
    </xf>
    <xf numFmtId="0" fontId="1" fillId="0" borderId="149" xfId="1" applyFont="1" applyBorder="1" applyAlignment="1">
      <alignment horizontal="center" vertical="center"/>
    </xf>
    <xf numFmtId="0" fontId="1" fillId="2" borderId="83" xfId="3" applyFont="1" applyFill="1" applyBorder="1" applyAlignment="1">
      <alignment horizontal="left" vertical="center"/>
    </xf>
    <xf numFmtId="0" fontId="1" fillId="0" borderId="90" xfId="1" applyFont="1" applyBorder="1" applyAlignment="1">
      <alignment vertical="center"/>
    </xf>
    <xf numFmtId="0" fontId="1" fillId="2" borderId="90" xfId="1" applyFont="1" applyFill="1" applyBorder="1" applyAlignment="1">
      <alignment vertical="center"/>
    </xf>
    <xf numFmtId="4" fontId="1" fillId="0" borderId="18" xfId="1" applyNumberFormat="1" applyFont="1" applyFill="1" applyBorder="1" applyAlignment="1">
      <alignment vertical="center"/>
    </xf>
    <xf numFmtId="4" fontId="1" fillId="0" borderId="13" xfId="1" applyNumberFormat="1" applyFont="1" applyFill="1" applyBorder="1" applyAlignment="1">
      <alignment vertical="center"/>
    </xf>
    <xf numFmtId="4" fontId="135" fillId="0" borderId="1" xfId="1" applyNumberFormat="1" applyFont="1" applyFill="1" applyBorder="1" applyAlignment="1">
      <alignment vertical="center"/>
    </xf>
    <xf numFmtId="4" fontId="21" fillId="20" borderId="11" xfId="1" applyNumberFormat="1" applyFont="1" applyFill="1" applyBorder="1" applyAlignment="1">
      <alignment vertical="center"/>
    </xf>
    <xf numFmtId="0" fontId="134" fillId="0" borderId="0" xfId="1" applyFont="1" applyBorder="1" applyAlignment="1">
      <alignment horizontal="left" vertical="center"/>
    </xf>
    <xf numFmtId="0" fontId="22" fillId="2" borderId="0" xfId="3" applyFont="1" applyFill="1" applyBorder="1" applyAlignment="1">
      <alignment horizontal="left" vertical="center"/>
    </xf>
    <xf numFmtId="0" fontId="14" fillId="0" borderId="0" xfId="1" applyFont="1" applyBorder="1" applyAlignment="1">
      <alignment vertical="center"/>
    </xf>
    <xf numFmtId="0" fontId="14" fillId="2" borderId="0" xfId="1" applyFont="1" applyFill="1" applyBorder="1" applyAlignment="1">
      <alignment vertical="center"/>
    </xf>
    <xf numFmtId="3" fontId="14" fillId="8" borderId="0" xfId="1" applyNumberFormat="1" applyFont="1" applyFill="1" applyBorder="1" applyAlignment="1">
      <alignment vertical="center"/>
    </xf>
    <xf numFmtId="3" fontId="14" fillId="8" borderId="0" xfId="1" applyNumberFormat="1" applyFont="1" applyFill="1" applyBorder="1" applyAlignment="1">
      <alignment horizontal="right" vertical="center"/>
    </xf>
    <xf numFmtId="3" fontId="6" fillId="0" borderId="53" xfId="1" applyNumberFormat="1" applyFont="1" applyBorder="1" applyAlignment="1" applyProtection="1">
      <alignment horizontal="right" vertical="center" wrapText="1"/>
      <protection locked="0"/>
    </xf>
    <xf numFmtId="3" fontId="8" fillId="8" borderId="19" xfId="1" applyNumberFormat="1" applyFont="1" applyFill="1" applyBorder="1" applyAlignment="1" applyProtection="1">
      <alignment vertical="center"/>
      <protection hidden="1"/>
    </xf>
    <xf numFmtId="3" fontId="6" fillId="8" borderId="40" xfId="1" applyNumberFormat="1" applyFont="1" applyFill="1" applyBorder="1" applyAlignment="1" applyProtection="1">
      <alignment vertical="center"/>
      <protection locked="0"/>
    </xf>
    <xf numFmtId="3" fontId="6" fillId="8" borderId="22" xfId="1" applyNumberFormat="1" applyFont="1" applyFill="1" applyBorder="1" applyAlignment="1" applyProtection="1">
      <alignment vertical="center"/>
      <protection locked="0"/>
    </xf>
    <xf numFmtId="3" fontId="6" fillId="8" borderId="249" xfId="1" applyNumberFormat="1" applyFont="1" applyFill="1" applyBorder="1" applyAlignment="1" applyProtection="1">
      <alignment vertical="center"/>
      <protection locked="0"/>
    </xf>
    <xf numFmtId="3" fontId="8" fillId="5" borderId="19" xfId="1" applyNumberFormat="1" applyFont="1" applyFill="1" applyBorder="1" applyAlignment="1" applyProtection="1">
      <alignment vertical="center"/>
      <protection hidden="1"/>
    </xf>
    <xf numFmtId="0" fontId="0" fillId="0" borderId="0" xfId="0" applyAlignment="1"/>
    <xf numFmtId="0" fontId="30" fillId="5" borderId="2" xfId="2" applyFont="1" applyFill="1" applyBorder="1" applyAlignment="1">
      <alignment vertical="center"/>
    </xf>
    <xf numFmtId="49" fontId="32" fillId="5" borderId="3" xfId="2" applyNumberFormat="1" applyFont="1" applyFill="1" applyBorder="1" applyAlignment="1">
      <alignment horizontal="center" vertical="center" wrapText="1"/>
    </xf>
    <xf numFmtId="49" fontId="32" fillId="5" borderId="4" xfId="2" applyNumberFormat="1" applyFont="1" applyFill="1" applyBorder="1" applyAlignment="1">
      <alignment horizontal="center" vertical="center" wrapText="1"/>
    </xf>
    <xf numFmtId="0" fontId="30" fillId="5" borderId="30" xfId="1" applyFont="1" applyFill="1" applyBorder="1" applyAlignment="1">
      <alignment horizontal="center" vertical="center"/>
    </xf>
    <xf numFmtId="0" fontId="30" fillId="5" borderId="10" xfId="1" applyFont="1" applyFill="1" applyBorder="1" applyAlignment="1">
      <alignment horizontal="center" vertical="center"/>
    </xf>
    <xf numFmtId="0" fontId="30" fillId="5" borderId="22" xfId="1" applyFont="1" applyFill="1" applyBorder="1" applyAlignment="1">
      <alignment horizontal="center" vertical="center"/>
    </xf>
    <xf numFmtId="0" fontId="152" fillId="5" borderId="18" xfId="1" applyFont="1" applyFill="1" applyBorder="1" applyAlignment="1">
      <alignment horizontal="center" vertical="center"/>
    </xf>
    <xf numFmtId="0" fontId="152" fillId="5" borderId="13" xfId="1" applyFont="1" applyFill="1" applyBorder="1" applyAlignment="1">
      <alignment horizontal="center" vertical="center"/>
    </xf>
    <xf numFmtId="0" fontId="152" fillId="5" borderId="1" xfId="1" applyFont="1" applyFill="1" applyBorder="1" applyAlignment="1">
      <alignment horizontal="center" vertical="center"/>
    </xf>
    <xf numFmtId="0" fontId="29" fillId="8" borderId="79" xfId="1" applyFont="1" applyFill="1" applyBorder="1" applyAlignment="1">
      <alignment vertical="center"/>
    </xf>
    <xf numFmtId="0" fontId="29" fillId="8" borderId="76" xfId="3" applyFont="1" applyFill="1" applyBorder="1" applyAlignment="1">
      <alignment horizontal="right" vertical="center"/>
    </xf>
    <xf numFmtId="3" fontId="29" fillId="8" borderId="78" xfId="1" applyNumberFormat="1" applyFont="1" applyFill="1" applyBorder="1" applyAlignment="1">
      <alignment horizontal="right" vertical="center"/>
    </xf>
    <xf numFmtId="3" fontId="29" fillId="8" borderId="112" xfId="1" applyNumberFormat="1" applyFont="1" applyFill="1" applyBorder="1" applyAlignment="1">
      <alignment horizontal="right" vertical="center"/>
    </xf>
    <xf numFmtId="3" fontId="29" fillId="8" borderId="113" xfId="1" applyNumberFormat="1" applyFont="1" applyFill="1" applyBorder="1" applyAlignment="1">
      <alignment horizontal="right" vertical="center"/>
    </xf>
    <xf numFmtId="0" fontId="29" fillId="8" borderId="76" xfId="1" applyFont="1" applyFill="1" applyBorder="1" applyAlignment="1">
      <alignment horizontal="right" vertical="center"/>
    </xf>
    <xf numFmtId="0" fontId="29" fillId="8" borderId="81" xfId="1" applyFont="1" applyFill="1" applyBorder="1" applyAlignment="1">
      <alignment vertical="center"/>
    </xf>
    <xf numFmtId="3" fontId="29" fillId="8" borderId="82" xfId="1" applyNumberFormat="1" applyFont="1" applyFill="1" applyBorder="1" applyAlignment="1">
      <alignment horizontal="right" vertical="center"/>
    </xf>
    <xf numFmtId="3" fontId="29" fillId="8" borderId="114" xfId="1" applyNumberFormat="1" applyFont="1" applyFill="1" applyBorder="1" applyAlignment="1">
      <alignment horizontal="right" vertical="center"/>
    </xf>
    <xf numFmtId="3" fontId="29" fillId="8" borderId="115" xfId="1" applyNumberFormat="1" applyFont="1" applyFill="1" applyBorder="1" applyAlignment="1">
      <alignment horizontal="right" vertical="center"/>
    </xf>
    <xf numFmtId="0" fontId="30" fillId="5" borderId="78" xfId="1" applyFont="1" applyFill="1" applyBorder="1" applyAlignment="1">
      <alignment horizontal="center" vertical="center"/>
    </xf>
    <xf numFmtId="3" fontId="30" fillId="5" borderId="78" xfId="1" applyNumberFormat="1" applyFont="1" applyFill="1" applyBorder="1" applyAlignment="1">
      <alignment horizontal="right" vertical="center"/>
    </xf>
    <xf numFmtId="3" fontId="30" fillId="5" borderId="112" xfId="1" applyNumberFormat="1" applyFont="1" applyFill="1" applyBorder="1" applyAlignment="1">
      <alignment horizontal="right" vertical="center"/>
    </xf>
    <xf numFmtId="3" fontId="30" fillId="5" borderId="113" xfId="1" applyNumberFormat="1" applyFont="1" applyFill="1" applyBorder="1" applyAlignment="1">
      <alignment horizontal="right" vertical="center"/>
    </xf>
    <xf numFmtId="0" fontId="30" fillId="5" borderId="75" xfId="1" applyFont="1" applyFill="1" applyBorder="1" applyAlignment="1">
      <alignment vertical="center"/>
    </xf>
    <xf numFmtId="0" fontId="30" fillId="5" borderId="92" xfId="1" applyFont="1" applyFill="1" applyBorder="1" applyAlignment="1">
      <alignment horizontal="center" vertical="center"/>
    </xf>
    <xf numFmtId="3" fontId="30" fillId="5" borderId="92" xfId="1" applyNumberFormat="1" applyFont="1" applyFill="1" applyBorder="1" applyAlignment="1">
      <alignment horizontal="right" vertical="center"/>
    </xf>
    <xf numFmtId="3" fontId="30" fillId="5" borderId="110" xfId="1" applyNumberFormat="1" applyFont="1" applyFill="1" applyBorder="1" applyAlignment="1">
      <alignment horizontal="right" vertical="center"/>
    </xf>
    <xf numFmtId="3" fontId="30" fillId="5" borderId="111" xfId="1" applyNumberFormat="1" applyFont="1" applyFill="1" applyBorder="1" applyAlignment="1">
      <alignment horizontal="right" vertical="center"/>
    </xf>
    <xf numFmtId="0" fontId="30" fillId="5" borderId="91" xfId="1" applyFont="1" applyFill="1" applyBorder="1" applyAlignment="1">
      <alignment horizontal="center" vertical="center"/>
    </xf>
    <xf numFmtId="0" fontId="42" fillId="0" borderId="0" xfId="0" applyFont="1" applyAlignment="1">
      <alignment horizontal="right" vertical="center"/>
    </xf>
    <xf numFmtId="0" fontId="57" fillId="2" borderId="0" xfId="1" quotePrefix="1" applyFont="1" applyFill="1" applyAlignment="1">
      <alignment horizontal="left" vertical="center"/>
    </xf>
    <xf numFmtId="0" fontId="153" fillId="0" borderId="0" xfId="0" applyFont="1"/>
    <xf numFmtId="0" fontId="154" fillId="0" borderId="0" xfId="0" applyFont="1"/>
    <xf numFmtId="3" fontId="6" fillId="8" borderId="30" xfId="1" applyNumberFormat="1" applyFont="1" applyFill="1" applyBorder="1" applyAlignment="1" applyProtection="1">
      <alignment horizontal="center" vertical="center"/>
      <protection locked="0"/>
    </xf>
    <xf numFmtId="3" fontId="6" fillId="8" borderId="45" xfId="1" applyNumberFormat="1" applyFont="1" applyFill="1" applyBorder="1" applyAlignment="1" applyProtection="1">
      <alignment horizontal="left" vertical="center" wrapText="1" indent="1"/>
      <protection locked="0"/>
    </xf>
    <xf numFmtId="3" fontId="8" fillId="8" borderId="10" xfId="1" applyNumberFormat="1" applyFont="1" applyFill="1" applyBorder="1" applyAlignment="1">
      <alignment horizontal="center" vertical="center"/>
    </xf>
    <xf numFmtId="3" fontId="6" fillId="8" borderId="10" xfId="1" applyNumberFormat="1" applyFont="1" applyFill="1" applyBorder="1" applyAlignment="1" applyProtection="1">
      <alignment vertical="center"/>
      <protection locked="0"/>
    </xf>
    <xf numFmtId="3" fontId="6" fillId="8" borderId="49" xfId="1" applyNumberFormat="1" applyFont="1" applyFill="1" applyBorder="1" applyAlignment="1" applyProtection="1">
      <alignment horizontal="right" vertical="center"/>
      <protection locked="0"/>
    </xf>
    <xf numFmtId="3" fontId="6" fillId="8" borderId="45" xfId="1" applyNumberFormat="1" applyFont="1" applyFill="1" applyBorder="1" applyAlignment="1" applyProtection="1">
      <alignment horizontal="left" vertical="center" indent="1"/>
      <protection locked="0"/>
    </xf>
    <xf numFmtId="3" fontId="29" fillId="8" borderId="10" xfId="1" applyNumberFormat="1" applyFont="1" applyFill="1" applyBorder="1" applyAlignment="1" applyProtection="1">
      <alignment vertical="center"/>
      <protection locked="0"/>
    </xf>
    <xf numFmtId="3" fontId="6" fillId="8" borderId="10" xfId="1" applyNumberFormat="1" applyFont="1" applyFill="1" applyBorder="1" applyAlignment="1">
      <alignment horizontal="center" vertical="center"/>
    </xf>
    <xf numFmtId="3" fontId="6" fillId="8" borderId="84" xfId="1" applyNumberFormat="1" applyFont="1" applyFill="1" applyBorder="1" applyAlignment="1" applyProtection="1">
      <alignment horizontal="right" vertical="center"/>
      <protection locked="0"/>
    </xf>
    <xf numFmtId="3" fontId="6" fillId="8" borderId="27" xfId="1" applyNumberFormat="1" applyFont="1" applyFill="1" applyBorder="1" applyAlignment="1" applyProtection="1">
      <alignment vertical="center" wrapText="1"/>
      <protection locked="0"/>
    </xf>
    <xf numFmtId="3" fontId="9" fillId="8" borderId="10" xfId="1" applyNumberFormat="1" applyFont="1" applyFill="1" applyBorder="1" applyAlignment="1">
      <alignment horizontal="center" vertical="center"/>
    </xf>
    <xf numFmtId="3" fontId="6" fillId="8" borderId="10" xfId="1" applyNumberFormat="1" applyFont="1" applyFill="1" applyBorder="1" applyAlignment="1" applyProtection="1">
      <alignment horizontal="right" vertical="center"/>
      <protection hidden="1"/>
    </xf>
    <xf numFmtId="3" fontId="6" fillId="8" borderId="10" xfId="1" applyNumberFormat="1" applyFont="1" applyFill="1" applyBorder="1" applyAlignment="1" applyProtection="1">
      <alignment horizontal="right" vertical="center"/>
      <protection locked="0"/>
    </xf>
    <xf numFmtId="3" fontId="6" fillId="8" borderId="10" xfId="1" applyNumberFormat="1" applyFont="1" applyFill="1" applyBorder="1" applyAlignment="1" applyProtection="1">
      <alignment vertical="center" wrapText="1"/>
      <protection locked="0"/>
    </xf>
    <xf numFmtId="3" fontId="8" fillId="8" borderId="244" xfId="1" applyNumberFormat="1" applyFont="1" applyFill="1" applyBorder="1" applyAlignment="1" applyProtection="1">
      <alignment horizontal="center" vertical="center"/>
      <protection locked="0"/>
    </xf>
    <xf numFmtId="0" fontId="8" fillId="8" borderId="45" xfId="1" applyFont="1" applyFill="1" applyBorder="1" applyAlignment="1" applyProtection="1">
      <alignment vertical="center" wrapText="1"/>
      <protection locked="0"/>
    </xf>
    <xf numFmtId="3" fontId="8" fillId="8" borderId="245" xfId="1" applyNumberFormat="1" applyFont="1" applyFill="1" applyBorder="1" applyAlignment="1" applyProtection="1">
      <alignment horizontal="right" vertical="center"/>
      <protection hidden="1"/>
    </xf>
    <xf numFmtId="3" fontId="6" fillId="8" borderId="244" xfId="1" applyNumberFormat="1" applyFont="1" applyFill="1" applyBorder="1" applyAlignment="1" applyProtection="1">
      <alignment horizontal="center" vertical="center"/>
      <protection locked="0"/>
    </xf>
    <xf numFmtId="0" fontId="9" fillId="8" borderId="45" xfId="1" applyFont="1" applyFill="1" applyBorder="1" applyAlignment="1">
      <alignment vertical="center" wrapText="1"/>
    </xf>
    <xf numFmtId="3" fontId="9" fillId="8" borderId="245" xfId="1" applyNumberFormat="1" applyFont="1" applyFill="1" applyBorder="1" applyAlignment="1" applyProtection="1">
      <alignment horizontal="right" vertical="center"/>
      <protection hidden="1"/>
    </xf>
    <xf numFmtId="3" fontId="9" fillId="8" borderId="245" xfId="1" applyNumberFormat="1" applyFont="1" applyFill="1" applyBorder="1" applyAlignment="1" applyProtection="1">
      <alignment horizontal="right" vertical="center"/>
      <protection locked="0"/>
    </xf>
    <xf numFmtId="3" fontId="6" fillId="8" borderId="244" xfId="1" applyNumberFormat="1" applyFont="1" applyFill="1" applyBorder="1" applyAlignment="1" applyProtection="1">
      <alignment vertical="center"/>
      <protection locked="0"/>
    </xf>
    <xf numFmtId="0" fontId="9" fillId="8" borderId="241" xfId="1" applyFont="1" applyFill="1" applyBorder="1" applyAlignment="1">
      <alignment vertical="center" wrapText="1"/>
    </xf>
    <xf numFmtId="3" fontId="6" fillId="0" borderId="0" xfId="1" applyNumberFormat="1" applyFont="1" applyFill="1" applyBorder="1" applyAlignment="1" applyProtection="1">
      <alignment horizontal="right" vertical="center"/>
      <protection hidden="1"/>
    </xf>
    <xf numFmtId="3" fontId="0" fillId="0" borderId="0" xfId="0" applyNumberFormat="1" applyFill="1" applyBorder="1"/>
    <xf numFmtId="3" fontId="29" fillId="0" borderId="0" xfId="1" applyNumberFormat="1" applyFont="1" applyFill="1" applyBorder="1" applyAlignment="1">
      <alignment vertical="center"/>
    </xf>
    <xf numFmtId="0" fontId="0" fillId="0" borderId="0" xfId="0" applyFill="1" applyBorder="1"/>
    <xf numFmtId="3" fontId="9" fillId="0" borderId="0" xfId="1" applyNumberFormat="1" applyFont="1" applyFill="1" applyBorder="1" applyAlignment="1" applyProtection="1">
      <alignment horizontal="right" vertical="center"/>
      <protection hidden="1"/>
    </xf>
    <xf numFmtId="0" fontId="115" fillId="0" borderId="0" xfId="1" applyFont="1" applyFill="1" applyBorder="1" applyAlignment="1" applyProtection="1">
      <alignment horizontal="center" vertical="center" wrapText="1"/>
      <protection locked="0"/>
    </xf>
    <xf numFmtId="0" fontId="145" fillId="0" borderId="0" xfId="1" applyFont="1" applyAlignment="1">
      <alignment vertical="center"/>
    </xf>
    <xf numFmtId="0" fontId="101" fillId="0" borderId="0" xfId="1" applyFont="1" applyAlignment="1" applyProtection="1">
      <alignment vertical="center"/>
      <protection locked="0"/>
    </xf>
    <xf numFmtId="0" fontId="29" fillId="0" borderId="27" xfId="1" applyFont="1" applyFill="1" applyBorder="1" applyAlignment="1" applyProtection="1">
      <alignment horizontal="left" vertical="center"/>
      <protection locked="0"/>
    </xf>
    <xf numFmtId="0" fontId="29" fillId="0" borderId="0" xfId="1" applyFont="1" applyBorder="1" applyAlignment="1" applyProtection="1">
      <alignment horizontal="center" vertical="center"/>
      <protection locked="0"/>
    </xf>
    <xf numFmtId="0" fontId="29" fillId="0" borderId="5" xfId="1" applyFont="1" applyBorder="1" applyAlignment="1" applyProtection="1">
      <alignment horizontal="center" vertical="center" wrapText="1"/>
      <protection locked="0"/>
    </xf>
    <xf numFmtId="0" fontId="74" fillId="0" borderId="10" xfId="0" applyFont="1" applyBorder="1" applyAlignment="1">
      <alignment vertical="center"/>
    </xf>
    <xf numFmtId="0" fontId="0" fillId="0" borderId="10" xfId="0" applyBorder="1" applyAlignment="1">
      <alignment vertical="center"/>
    </xf>
    <xf numFmtId="0" fontId="26" fillId="0" borderId="10" xfId="0" applyFont="1" applyBorder="1" applyAlignment="1">
      <alignment vertical="center"/>
    </xf>
    <xf numFmtId="4" fontId="0" fillId="0" borderId="10" xfId="0" applyNumberFormat="1" applyBorder="1" applyAlignment="1">
      <alignment vertical="center"/>
    </xf>
    <xf numFmtId="4" fontId="42" fillId="0" borderId="10" xfId="0" applyNumberFormat="1" applyFont="1" applyBorder="1" applyAlignment="1">
      <alignment vertical="center"/>
    </xf>
    <xf numFmtId="4" fontId="97" fillId="0" borderId="10" xfId="0" quotePrefix="1" applyNumberFormat="1" applyFont="1" applyBorder="1" applyAlignment="1">
      <alignment horizontal="left" vertical="center"/>
    </xf>
    <xf numFmtId="4" fontId="27" fillId="0" borderId="10" xfId="0" applyNumberFormat="1" applyFont="1" applyBorder="1" applyAlignment="1">
      <alignment vertical="center"/>
    </xf>
    <xf numFmtId="4" fontId="96" fillId="0" borderId="10" xfId="0" applyNumberFormat="1" applyFont="1" applyBorder="1" applyAlignment="1">
      <alignment vertical="center"/>
    </xf>
    <xf numFmtId="4" fontId="0" fillId="0" borderId="10" xfId="0" quotePrefix="1" applyNumberFormat="1" applyBorder="1" applyAlignment="1">
      <alignment horizontal="left" vertical="center"/>
    </xf>
    <xf numFmtId="4" fontId="26" fillId="0" borderId="10" xfId="0" applyNumberFormat="1" applyFont="1" applyBorder="1" applyAlignment="1">
      <alignment vertical="center"/>
    </xf>
    <xf numFmtId="4" fontId="0" fillId="23" borderId="0" xfId="0" applyNumberFormat="1" applyFill="1"/>
    <xf numFmtId="4" fontId="0" fillId="8" borderId="0" xfId="0" applyNumberFormat="1" applyFill="1"/>
    <xf numFmtId="3" fontId="6" fillId="23" borderId="233" xfId="0" applyNumberFormat="1" applyFont="1" applyFill="1" applyBorder="1" applyAlignment="1" applyProtection="1">
      <alignment horizontal="right" vertical="center"/>
      <protection locked="0"/>
    </xf>
    <xf numFmtId="0" fontId="105" fillId="23" borderId="175" xfId="0" applyFont="1" applyFill="1" applyBorder="1" applyAlignment="1" applyProtection="1">
      <alignment horizontal="left" vertical="center"/>
      <protection locked="0"/>
    </xf>
    <xf numFmtId="4" fontId="105" fillId="23" borderId="175" xfId="0" quotePrefix="1" applyNumberFormat="1" applyFont="1" applyFill="1" applyBorder="1" applyAlignment="1" applyProtection="1">
      <alignment horizontal="left" vertical="center"/>
      <protection locked="0"/>
    </xf>
    <xf numFmtId="4" fontId="105" fillId="23" borderId="175" xfId="0" applyNumberFormat="1" applyFont="1" applyFill="1" applyBorder="1" applyAlignment="1" applyProtection="1">
      <alignment horizontal="right" vertical="center"/>
      <protection locked="0"/>
    </xf>
    <xf numFmtId="0" fontId="27" fillId="0" borderId="175" xfId="0" applyFont="1" applyBorder="1" applyAlignment="1" applyProtection="1">
      <alignment vertical="center"/>
      <protection locked="0"/>
    </xf>
    <xf numFmtId="0" fontId="6" fillId="8" borderId="10" xfId="1" applyFont="1" applyFill="1" applyBorder="1" applyAlignment="1" applyProtection="1">
      <alignment vertical="center" wrapText="1"/>
      <protection locked="0"/>
    </xf>
    <xf numFmtId="3" fontId="8" fillId="5" borderId="10" xfId="1" applyNumberFormat="1" applyFont="1" applyFill="1" applyBorder="1" applyAlignment="1" applyProtection="1">
      <alignment vertical="center" wrapText="1"/>
      <protection locked="0"/>
    </xf>
    <xf numFmtId="0" fontId="96" fillId="8" borderId="0" xfId="0" applyFont="1" applyFill="1"/>
    <xf numFmtId="0" fontId="0" fillId="8" borderId="175" xfId="0" applyNumberFormat="1" applyFill="1" applyBorder="1" applyAlignment="1" applyProtection="1">
      <alignment horizontal="left" vertical="center"/>
      <protection locked="0"/>
    </xf>
    <xf numFmtId="0" fontId="108" fillId="8" borderId="175" xfId="0" applyNumberFormat="1" applyFont="1" applyFill="1" applyBorder="1" applyAlignment="1" applyProtection="1">
      <alignment horizontal="left" vertical="center"/>
      <protection locked="0"/>
    </xf>
    <xf numFmtId="0" fontId="105" fillId="8" borderId="175" xfId="0" applyFont="1" applyFill="1" applyBorder="1" applyAlignment="1" applyProtection="1">
      <alignment horizontal="left" vertical="center"/>
      <protection locked="0"/>
    </xf>
    <xf numFmtId="4" fontId="0" fillId="8" borderId="175" xfId="0" quotePrefix="1" applyNumberFormat="1" applyFill="1" applyBorder="1" applyAlignment="1" applyProtection="1">
      <alignment horizontal="left" vertical="center"/>
      <protection locked="0"/>
    </xf>
    <xf numFmtId="4" fontId="105" fillId="8" borderId="175" xfId="0" quotePrefix="1" applyNumberFormat="1" applyFont="1" applyFill="1" applyBorder="1" applyAlignment="1" applyProtection="1">
      <alignment horizontal="left" vertical="center"/>
      <protection locked="0"/>
    </xf>
    <xf numFmtId="4" fontId="105" fillId="8" borderId="175" xfId="0" applyNumberFormat="1" applyFont="1" applyFill="1" applyBorder="1" applyAlignment="1" applyProtection="1">
      <alignment horizontal="right" vertical="center"/>
      <protection locked="0"/>
    </xf>
    <xf numFmtId="0" fontId="96" fillId="8" borderId="10" xfId="0" applyFont="1" applyFill="1" applyBorder="1"/>
    <xf numFmtId="3" fontId="10" fillId="8" borderId="10" xfId="1" applyNumberFormat="1" applyFont="1" applyFill="1" applyBorder="1" applyAlignment="1" applyProtection="1">
      <alignment vertical="center" wrapText="1"/>
      <protection locked="0"/>
    </xf>
    <xf numFmtId="3" fontId="11" fillId="8" borderId="197" xfId="1" applyNumberFormat="1" applyFont="1" applyFill="1" applyBorder="1" applyAlignment="1" applyProtection="1">
      <alignment vertical="center"/>
      <protection locked="0"/>
    </xf>
    <xf numFmtId="164" fontId="6" fillId="8" borderId="58" xfId="1" applyNumberFormat="1" applyFont="1" applyFill="1" applyBorder="1" applyAlignment="1">
      <alignment horizontal="center" vertical="center"/>
    </xf>
    <xf numFmtId="3" fontId="6" fillId="8" borderId="57" xfId="1" applyNumberFormat="1" applyFont="1" applyFill="1" applyBorder="1" applyAlignment="1">
      <alignment vertical="center"/>
    </xf>
    <xf numFmtId="3" fontId="6" fillId="8" borderId="60" xfId="1" applyNumberFormat="1" applyFont="1" applyFill="1" applyBorder="1" applyAlignment="1">
      <alignment vertical="center"/>
    </xf>
    <xf numFmtId="164" fontId="6" fillId="8" borderId="60" xfId="1" applyNumberFormat="1" applyFont="1" applyFill="1" applyBorder="1" applyAlignment="1">
      <alignment horizontal="center" vertical="center"/>
    </xf>
    <xf numFmtId="3" fontId="6" fillId="8" borderId="59" xfId="1" applyNumberFormat="1" applyFont="1" applyFill="1" applyBorder="1" applyAlignment="1">
      <alignment vertical="center"/>
    </xf>
    <xf numFmtId="3" fontId="13" fillId="8" borderId="19" xfId="1" applyNumberFormat="1" applyFont="1" applyFill="1" applyBorder="1" applyAlignment="1" applyProtection="1">
      <alignment horizontal="right" vertical="center" wrapText="1"/>
      <protection hidden="1"/>
    </xf>
    <xf numFmtId="3" fontId="13" fillId="8" borderId="40" xfId="1" applyNumberFormat="1" applyFont="1" applyFill="1" applyBorder="1" applyAlignment="1" applyProtection="1">
      <alignment horizontal="right" vertical="center" wrapText="1"/>
      <protection locked="0"/>
    </xf>
    <xf numFmtId="0" fontId="33" fillId="0" borderId="2" xfId="2" applyFont="1" applyBorder="1" applyAlignment="1">
      <alignment vertical="center" wrapText="1"/>
    </xf>
    <xf numFmtId="0" fontId="33" fillId="0" borderId="93" xfId="2" applyFont="1" applyBorder="1" applyAlignment="1">
      <alignment vertical="center" wrapText="1"/>
    </xf>
    <xf numFmtId="0" fontId="33" fillId="0" borderId="23" xfId="2" applyFont="1" applyBorder="1" applyAlignment="1">
      <alignment vertical="center" wrapText="1"/>
    </xf>
    <xf numFmtId="0" fontId="28" fillId="0" borderId="2" xfId="2" applyFont="1" applyFill="1" applyBorder="1" applyAlignment="1">
      <alignment horizontal="center" vertical="center" wrapText="1"/>
    </xf>
    <xf numFmtId="0" fontId="28" fillId="0" borderId="93" xfId="2" applyFont="1" applyFill="1" applyBorder="1" applyAlignment="1">
      <alignment horizontal="center" vertical="center" wrapText="1"/>
    </xf>
    <xf numFmtId="0" fontId="28" fillId="0" borderId="23" xfId="2" applyFont="1" applyFill="1" applyBorder="1" applyAlignment="1">
      <alignment horizontal="center" vertical="center" wrapText="1"/>
    </xf>
    <xf numFmtId="49" fontId="29" fillId="0" borderId="2" xfId="2" applyNumberFormat="1" applyFont="1" applyBorder="1" applyAlignment="1">
      <alignment horizontal="center" vertical="center" wrapText="1"/>
    </xf>
    <xf numFmtId="49" fontId="29" fillId="0" borderId="26" xfId="2" applyNumberFormat="1" applyFont="1" applyBorder="1" applyAlignment="1">
      <alignment horizontal="center" vertical="center" wrapText="1"/>
    </xf>
    <xf numFmtId="49" fontId="29" fillId="0" borderId="133" xfId="2" applyNumberFormat="1" applyFont="1" applyBorder="1" applyAlignment="1">
      <alignment horizontal="center" vertical="center" wrapText="1"/>
    </xf>
    <xf numFmtId="49" fontId="29" fillId="0" borderId="104" xfId="2" applyNumberFormat="1" applyFont="1" applyBorder="1" applyAlignment="1">
      <alignment horizontal="center" vertical="center" wrapText="1"/>
    </xf>
    <xf numFmtId="0" fontId="28" fillId="0" borderId="0" xfId="1" applyFont="1" applyAlignment="1" applyProtection="1">
      <alignment horizontal="left" vertical="center"/>
      <protection locked="0"/>
    </xf>
    <xf numFmtId="0" fontId="29" fillId="0" borderId="86" xfId="2" applyFont="1" applyBorder="1" applyAlignment="1">
      <alignment horizontal="center" vertical="center"/>
    </xf>
    <xf numFmtId="0" fontId="101" fillId="8" borderId="0" xfId="2" quotePrefix="1" applyFont="1" applyFill="1" applyBorder="1" applyAlignment="1">
      <alignment horizontal="left" vertical="center" wrapText="1"/>
    </xf>
    <xf numFmtId="0" fontId="0" fillId="0" borderId="0" xfId="0" applyAlignment="1">
      <alignment vertical="center" wrapText="1"/>
    </xf>
    <xf numFmtId="0" fontId="28" fillId="5" borderId="2" xfId="2" applyFont="1" applyFill="1" applyBorder="1" applyAlignment="1">
      <alignment horizontal="center" vertical="center" wrapText="1"/>
    </xf>
    <xf numFmtId="0" fontId="28" fillId="5" borderId="93" xfId="2" applyFont="1" applyFill="1" applyBorder="1" applyAlignment="1">
      <alignment horizontal="center" vertical="center" wrapText="1"/>
    </xf>
    <xf numFmtId="0" fontId="28" fillId="5" borderId="23" xfId="2" applyFont="1" applyFill="1" applyBorder="1" applyAlignment="1">
      <alignment horizontal="center" vertical="center" wrapText="1"/>
    </xf>
    <xf numFmtId="0" fontId="33" fillId="5" borderId="2" xfId="2" applyFont="1" applyFill="1" applyBorder="1" applyAlignment="1">
      <alignment vertical="center" wrapText="1"/>
    </xf>
    <xf numFmtId="0" fontId="33" fillId="5" borderId="93" xfId="2" applyFont="1" applyFill="1" applyBorder="1" applyAlignment="1">
      <alignment vertical="center" wrapText="1"/>
    </xf>
    <xf numFmtId="0" fontId="33" fillId="5" borderId="23" xfId="2" applyFont="1" applyFill="1" applyBorder="1" applyAlignment="1">
      <alignment vertical="center" wrapText="1"/>
    </xf>
    <xf numFmtId="0" fontId="28" fillId="0" borderId="0" xfId="2" applyFont="1" applyBorder="1" applyAlignment="1">
      <alignment horizontal="left" vertical="center" wrapText="1"/>
    </xf>
    <xf numFmtId="0" fontId="29" fillId="0" borderId="86" xfId="2" applyFont="1" applyBorder="1" applyAlignment="1">
      <alignment horizontal="center" vertical="center" wrapText="1"/>
    </xf>
    <xf numFmtId="0" fontId="30" fillId="0" borderId="133" xfId="2" applyFont="1" applyBorder="1" applyAlignment="1">
      <alignment horizontal="center" vertical="center" wrapText="1"/>
    </xf>
    <xf numFmtId="0" fontId="30" fillId="0" borderId="138" xfId="2" applyFont="1" applyBorder="1" applyAlignment="1">
      <alignment horizontal="center" vertical="center" wrapText="1"/>
    </xf>
    <xf numFmtId="3" fontId="29" fillId="0" borderId="28" xfId="2" applyNumberFormat="1" applyFont="1" applyBorder="1" applyAlignment="1">
      <alignment horizontal="center" vertical="center"/>
    </xf>
    <xf numFmtId="3" fontId="29" fillId="0" borderId="49" xfId="2" applyNumberFormat="1" applyFont="1" applyBorder="1" applyAlignment="1">
      <alignment horizontal="center" vertical="center"/>
    </xf>
    <xf numFmtId="3" fontId="29" fillId="0" borderId="83" xfId="2" applyNumberFormat="1" applyFont="1" applyBorder="1" applyAlignment="1">
      <alignment horizontal="center" vertical="center"/>
    </xf>
    <xf numFmtId="3" fontId="29" fillId="0" borderId="87" xfId="2" applyNumberFormat="1" applyFont="1" applyBorder="1" applyAlignment="1">
      <alignment horizontal="center" vertical="center"/>
    </xf>
    <xf numFmtId="0" fontId="28" fillId="0" borderId="2" xfId="2" applyFont="1" applyBorder="1" applyAlignment="1">
      <alignment horizontal="center" vertical="center" wrapText="1"/>
    </xf>
    <xf numFmtId="0" fontId="28" fillId="0" borderId="93" xfId="2" applyFont="1" applyBorder="1" applyAlignment="1">
      <alignment horizontal="center" vertical="center" wrapText="1"/>
    </xf>
    <xf numFmtId="0" fontId="28" fillId="0" borderId="23" xfId="2" applyFont="1" applyBorder="1" applyAlignment="1">
      <alignment horizontal="center" vertical="center" wrapText="1"/>
    </xf>
    <xf numFmtId="0" fontId="30" fillId="0" borderId="2" xfId="2" applyFont="1" applyBorder="1" applyAlignment="1">
      <alignment horizontal="left" vertical="center" wrapText="1"/>
    </xf>
    <xf numFmtId="0" fontId="30" fillId="0" borderId="93" xfId="2" applyFont="1" applyBorder="1" applyAlignment="1">
      <alignment horizontal="left" vertical="center" wrapText="1"/>
    </xf>
    <xf numFmtId="0" fontId="30" fillId="0" borderId="23" xfId="2" applyFont="1" applyBorder="1" applyAlignment="1">
      <alignment horizontal="left" vertical="center" wrapText="1"/>
    </xf>
    <xf numFmtId="3" fontId="30" fillId="0" borderId="27" xfId="2" applyNumberFormat="1" applyFont="1" applyBorder="1" applyAlignment="1">
      <alignment horizontal="center" vertical="center" wrapText="1"/>
    </xf>
    <xf numFmtId="3" fontId="30" fillId="0" borderId="50" xfId="2" applyNumberFormat="1" applyFont="1" applyBorder="1" applyAlignment="1">
      <alignment horizontal="center" vertical="center" wrapText="1"/>
    </xf>
    <xf numFmtId="0" fontId="29" fillId="0" borderId="38" xfId="2" applyFont="1" applyBorder="1" applyAlignment="1">
      <alignment horizontal="center" vertical="center" wrapText="1"/>
    </xf>
    <xf numFmtId="0" fontId="29" fillId="0" borderId="45" xfId="2" applyFont="1" applyBorder="1" applyAlignment="1">
      <alignment horizontal="center" vertical="center" wrapText="1"/>
    </xf>
    <xf numFmtId="0" fontId="29" fillId="0" borderId="9" xfId="2" applyFont="1" applyBorder="1" applyAlignment="1">
      <alignment horizontal="center" vertical="center" wrapText="1"/>
    </xf>
    <xf numFmtId="4" fontId="29" fillId="0" borderId="28" xfId="2" applyNumberFormat="1" applyFont="1" applyBorder="1" applyAlignment="1">
      <alignment horizontal="center" vertical="center"/>
    </xf>
    <xf numFmtId="4" fontId="29" fillId="0" borderId="49" xfId="2" applyNumberFormat="1" applyFont="1" applyBorder="1" applyAlignment="1">
      <alignment horizontal="center" vertical="center"/>
    </xf>
    <xf numFmtId="4" fontId="29" fillId="5" borderId="83" xfId="2" applyNumberFormat="1" applyFont="1" applyFill="1" applyBorder="1" applyAlignment="1">
      <alignment horizontal="center" vertical="center"/>
    </xf>
    <xf numFmtId="4" fontId="29" fillId="5" borderId="87" xfId="2" applyNumberFormat="1" applyFont="1" applyFill="1" applyBorder="1" applyAlignment="1">
      <alignment horizontal="center" vertical="center"/>
    </xf>
    <xf numFmtId="0" fontId="7" fillId="0" borderId="0" xfId="2" applyFont="1" applyBorder="1" applyAlignment="1">
      <alignment horizontal="left" vertical="center" wrapText="1"/>
    </xf>
    <xf numFmtId="0" fontId="6" fillId="0" borderId="86" xfId="2" applyFont="1" applyBorder="1" applyAlignment="1">
      <alignment horizontal="center" vertical="center" wrapText="1"/>
    </xf>
    <xf numFmtId="0" fontId="7" fillId="20" borderId="2" xfId="2" applyFont="1" applyFill="1" applyBorder="1" applyAlignment="1">
      <alignment horizontal="center" vertical="center" wrapText="1"/>
    </xf>
    <xf numFmtId="0" fontId="7" fillId="20" borderId="93" xfId="2" applyFont="1" applyFill="1" applyBorder="1" applyAlignment="1">
      <alignment horizontal="center" vertical="center" wrapText="1"/>
    </xf>
    <xf numFmtId="0" fontId="7" fillId="20" borderId="23" xfId="2" applyFont="1" applyFill="1" applyBorder="1" applyAlignment="1">
      <alignment horizontal="center" vertical="center" wrapText="1"/>
    </xf>
    <xf numFmtId="0" fontId="8" fillId="0" borderId="133" xfId="2" applyFont="1" applyBorder="1" applyAlignment="1">
      <alignment horizontal="center" vertical="center" wrapText="1"/>
    </xf>
    <xf numFmtId="0" fontId="8" fillId="0" borderId="138" xfId="2" applyFont="1" applyBorder="1" applyAlignment="1">
      <alignment horizontal="center" vertical="center" wrapText="1"/>
    </xf>
    <xf numFmtId="0" fontId="6" fillId="0" borderId="38" xfId="2" applyFont="1" applyBorder="1" applyAlignment="1">
      <alignment horizontal="center" vertical="center" wrapText="1"/>
    </xf>
    <xf numFmtId="0" fontId="6" fillId="0" borderId="45" xfId="2" applyFont="1" applyBorder="1" applyAlignment="1">
      <alignment horizontal="center" vertical="center" wrapText="1"/>
    </xf>
    <xf numFmtId="0" fontId="6" fillId="0" borderId="9" xfId="2" applyFont="1" applyBorder="1" applyAlignment="1">
      <alignment horizontal="center" vertical="center" wrapText="1"/>
    </xf>
    <xf numFmtId="3" fontId="8" fillId="0" borderId="27" xfId="2" applyNumberFormat="1" applyFont="1" applyBorder="1" applyAlignment="1">
      <alignment horizontal="center" vertical="center" wrapText="1"/>
    </xf>
    <xf numFmtId="3" fontId="8" fillId="0" borderId="50" xfId="2" applyNumberFormat="1" applyFont="1" applyBorder="1" applyAlignment="1">
      <alignment horizontal="center" vertical="center" wrapText="1"/>
    </xf>
    <xf numFmtId="4" fontId="8" fillId="0" borderId="28" xfId="2" applyNumberFormat="1" applyFont="1" applyBorder="1" applyAlignment="1">
      <alignment horizontal="center" vertical="center"/>
    </xf>
    <xf numFmtId="4" fontId="8" fillId="0" borderId="49" xfId="2" applyNumberFormat="1" applyFont="1" applyBorder="1" applyAlignment="1">
      <alignment horizontal="center" vertical="center"/>
    </xf>
    <xf numFmtId="4" fontId="8" fillId="5" borderId="83" xfId="2" applyNumberFormat="1" applyFont="1" applyFill="1" applyBorder="1" applyAlignment="1">
      <alignment horizontal="center" vertical="center"/>
    </xf>
    <xf numFmtId="4" fontId="8" fillId="5" borderId="87" xfId="2" applyNumberFormat="1" applyFont="1" applyFill="1" applyBorder="1" applyAlignment="1">
      <alignment horizontal="center" vertical="center"/>
    </xf>
    <xf numFmtId="0" fontId="29" fillId="0" borderId="0" xfId="1" applyFont="1" applyAlignment="1" applyProtection="1">
      <alignment vertical="center" wrapText="1"/>
      <protection locked="0"/>
    </xf>
    <xf numFmtId="0" fontId="121" fillId="0" borderId="0" xfId="0" applyFont="1" applyAlignment="1" applyProtection="1">
      <alignment horizontal="center" vertical="center"/>
      <protection locked="0"/>
    </xf>
    <xf numFmtId="0" fontId="52" fillId="0" borderId="133" xfId="0" applyFont="1" applyBorder="1" applyAlignment="1">
      <alignment horizontal="center" vertical="center"/>
    </xf>
    <xf numFmtId="0" fontId="52" fillId="0" borderId="138" xfId="0" applyFont="1" applyBorder="1" applyAlignment="1">
      <alignment horizontal="center" vertical="center"/>
    </xf>
    <xf numFmtId="0" fontId="52" fillId="0" borderId="52" xfId="0" applyFont="1" applyBorder="1" applyAlignment="1">
      <alignment horizontal="center" vertical="center"/>
    </xf>
    <xf numFmtId="0" fontId="52" fillId="0" borderId="133" xfId="0" applyFont="1" applyFill="1" applyBorder="1" applyAlignment="1">
      <alignment horizontal="center" vertical="center"/>
    </xf>
    <xf numFmtId="0" fontId="52" fillId="0" borderId="138" xfId="0" applyFont="1" applyFill="1" applyBorder="1" applyAlignment="1">
      <alignment horizontal="center" vertical="center"/>
    </xf>
    <xf numFmtId="0" fontId="52" fillId="0" borderId="52" xfId="0" applyFont="1" applyFill="1" applyBorder="1" applyAlignment="1">
      <alignment horizontal="center" vertical="center"/>
    </xf>
    <xf numFmtId="0" fontId="19" fillId="2" borderId="0" xfId="1" applyFont="1" applyFill="1" applyAlignment="1">
      <alignment horizontal="left" vertical="center" wrapText="1"/>
    </xf>
    <xf numFmtId="0" fontId="19" fillId="2" borderId="0" xfId="1" applyFont="1" applyFill="1" applyAlignment="1">
      <alignment horizontal="left" vertical="center"/>
    </xf>
    <xf numFmtId="0" fontId="8" fillId="0" borderId="20" xfId="1" applyFont="1" applyFill="1" applyBorder="1" applyAlignment="1">
      <alignment horizontal="center" vertical="center"/>
    </xf>
    <xf numFmtId="0" fontId="8" fillId="0" borderId="126" xfId="1" applyFont="1" applyFill="1" applyBorder="1" applyAlignment="1">
      <alignment horizontal="center" vertical="center"/>
    </xf>
    <xf numFmtId="0" fontId="8" fillId="0" borderId="36" xfId="1" applyFont="1" applyFill="1" applyBorder="1" applyAlignment="1">
      <alignment horizontal="center" vertical="center"/>
    </xf>
    <xf numFmtId="0" fontId="6" fillId="0" borderId="14"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8" fillId="15" borderId="133" xfId="1" applyFont="1" applyFill="1" applyBorder="1" applyAlignment="1">
      <alignment horizontal="center" vertical="center"/>
    </xf>
    <xf numFmtId="0" fontId="8" fillId="15" borderId="52" xfId="1" applyFont="1" applyFill="1" applyBorder="1" applyAlignment="1">
      <alignment horizontal="center" vertical="center"/>
    </xf>
    <xf numFmtId="0" fontId="30" fillId="5" borderId="76" xfId="3" applyFont="1" applyFill="1" applyBorder="1" applyAlignment="1">
      <alignment horizontal="left" vertical="center"/>
    </xf>
    <xf numFmtId="0" fontId="30" fillId="5" borderId="77" xfId="3" applyFont="1" applyFill="1" applyBorder="1" applyAlignment="1">
      <alignment horizontal="left" vertical="center"/>
    </xf>
    <xf numFmtId="0" fontId="30" fillId="5" borderId="15" xfId="1" applyFont="1" applyFill="1" applyBorder="1" applyAlignment="1">
      <alignment horizontal="center" vertical="center"/>
    </xf>
    <xf numFmtId="0" fontId="30" fillId="5" borderId="40" xfId="1" applyFont="1" applyFill="1" applyBorder="1" applyAlignment="1">
      <alignment horizontal="center" vertical="center"/>
    </xf>
    <xf numFmtId="0" fontId="30" fillId="5" borderId="145" xfId="3" applyFont="1" applyFill="1" applyBorder="1" applyAlignment="1">
      <alignment horizontal="left" vertical="center"/>
    </xf>
    <xf numFmtId="0" fontId="30" fillId="5" borderId="146" xfId="3" applyFont="1" applyFill="1" applyBorder="1" applyAlignment="1">
      <alignment horizontal="left" vertical="center"/>
    </xf>
    <xf numFmtId="0" fontId="30" fillId="5" borderId="147" xfId="3" applyFont="1" applyFill="1" applyBorder="1" applyAlignment="1">
      <alignment horizontal="left" vertical="center"/>
    </xf>
    <xf numFmtId="0" fontId="30" fillId="5" borderId="135" xfId="1" applyFont="1" applyFill="1" applyBorder="1" applyAlignment="1">
      <alignment horizontal="center" vertical="center"/>
    </xf>
    <xf numFmtId="0" fontId="30" fillId="5" borderId="24" xfId="1" applyFont="1" applyFill="1" applyBorder="1" applyAlignment="1">
      <alignment horizontal="center" vertical="center"/>
    </xf>
    <xf numFmtId="0" fontId="30" fillId="5" borderId="148" xfId="1" applyFont="1" applyFill="1" applyBorder="1" applyAlignment="1">
      <alignment horizontal="center" vertical="center"/>
    </xf>
    <xf numFmtId="0" fontId="30" fillId="5" borderId="127" xfId="1" applyFont="1" applyFill="1" applyBorder="1" applyAlignment="1">
      <alignment horizontal="center" vertical="center"/>
    </xf>
    <xf numFmtId="0" fontId="30" fillId="5" borderId="0" xfId="1" applyFont="1" applyFill="1" applyBorder="1" applyAlignment="1">
      <alignment horizontal="center" vertical="center"/>
    </xf>
    <xf numFmtId="0" fontId="30" fillId="5" borderId="84" xfId="1" applyFont="1" applyFill="1" applyBorder="1" applyAlignment="1">
      <alignment horizontal="center" vertical="center"/>
    </xf>
    <xf numFmtId="0" fontId="30" fillId="5" borderId="134" xfId="1" applyFont="1" applyFill="1" applyBorder="1" applyAlignment="1">
      <alignment horizontal="center" vertical="center"/>
    </xf>
    <xf numFmtId="0" fontId="30" fillId="5" borderId="86" xfId="1" applyFont="1" applyFill="1" applyBorder="1" applyAlignment="1">
      <alignment horizontal="center" vertical="center"/>
    </xf>
    <xf numFmtId="0" fontId="30" fillId="5" borderId="73" xfId="1" applyFont="1" applyFill="1" applyBorder="1" applyAlignment="1">
      <alignment horizontal="center" vertical="center"/>
    </xf>
    <xf numFmtId="0" fontId="30" fillId="5" borderId="133" xfId="1" applyFont="1" applyFill="1" applyBorder="1" applyAlignment="1">
      <alignment horizontal="center" vertical="center" wrapText="1"/>
    </xf>
    <xf numFmtId="0" fontId="30" fillId="5" borderId="38" xfId="1" applyFont="1" applyFill="1" applyBorder="1" applyAlignment="1">
      <alignment horizontal="center" vertical="center" wrapText="1"/>
    </xf>
    <xf numFmtId="0" fontId="30" fillId="5" borderId="149" xfId="1" applyFont="1" applyFill="1" applyBorder="1" applyAlignment="1">
      <alignment horizontal="center" vertical="center" wrapText="1"/>
    </xf>
    <xf numFmtId="0" fontId="30" fillId="5" borderId="16" xfId="1" applyFont="1" applyFill="1" applyBorder="1" applyAlignment="1">
      <alignment horizontal="center" vertical="center"/>
    </xf>
    <xf numFmtId="0" fontId="6" fillId="8" borderId="0" xfId="1" applyFont="1" applyFill="1" applyAlignment="1">
      <alignment horizontal="left" vertical="center" wrapText="1"/>
    </xf>
    <xf numFmtId="0" fontId="30" fillId="5" borderId="142" xfId="3" applyFont="1" applyFill="1" applyBorder="1" applyAlignment="1">
      <alignment horizontal="left" vertical="center"/>
    </xf>
    <xf numFmtId="0" fontId="30" fillId="5" borderId="143" xfId="3" applyFont="1" applyFill="1" applyBorder="1" applyAlignment="1">
      <alignment horizontal="left" vertical="center"/>
    </xf>
    <xf numFmtId="0" fontId="30" fillId="5" borderId="144" xfId="3" applyFont="1" applyFill="1" applyBorder="1" applyAlignment="1">
      <alignment horizontal="left" vertical="center"/>
    </xf>
    <xf numFmtId="0" fontId="12" fillId="0" borderId="0" xfId="0" applyFont="1" applyAlignment="1">
      <alignment horizontal="left" vertical="center" wrapText="1"/>
    </xf>
    <xf numFmtId="0" fontId="13" fillId="4" borderId="27" xfId="0" applyFont="1" applyFill="1" applyBorder="1" applyAlignment="1">
      <alignment horizontal="left" vertical="center"/>
    </xf>
    <xf numFmtId="0" fontId="13" fillId="4" borderId="50" xfId="0" applyFont="1" applyFill="1" applyBorder="1" applyAlignment="1">
      <alignment horizontal="left" vertical="center"/>
    </xf>
    <xf numFmtId="0" fontId="41" fillId="0" borderId="117" xfId="0" applyFont="1" applyBorder="1" applyAlignment="1">
      <alignment horizontal="center" vertical="center" wrapText="1"/>
    </xf>
    <xf numFmtId="0" fontId="41" fillId="0" borderId="137" xfId="0" applyFont="1" applyBorder="1" applyAlignment="1">
      <alignment horizontal="center" vertical="center" wrapText="1"/>
    </xf>
    <xf numFmtId="0" fontId="41" fillId="0" borderId="65" xfId="0" applyFont="1" applyBorder="1" applyAlignment="1">
      <alignment horizontal="center" vertical="center" wrapText="1"/>
    </xf>
    <xf numFmtId="0" fontId="13" fillId="4" borderId="10" xfId="0" applyFont="1" applyFill="1" applyBorder="1" applyAlignment="1">
      <alignment horizontal="left" vertical="center"/>
    </xf>
    <xf numFmtId="0" fontId="13" fillId="4" borderId="22" xfId="0" applyFont="1" applyFill="1" applyBorder="1" applyAlignment="1">
      <alignment horizontal="left" vertical="center"/>
    </xf>
    <xf numFmtId="0" fontId="13" fillId="9" borderId="45" xfId="0" applyFont="1" applyFill="1" applyBorder="1" applyAlignment="1">
      <alignment horizontal="left" vertical="center"/>
    </xf>
    <xf numFmtId="0" fontId="13" fillId="9" borderId="50" xfId="0" applyFont="1" applyFill="1" applyBorder="1" applyAlignment="1">
      <alignment horizontal="left" vertical="center"/>
    </xf>
    <xf numFmtId="0" fontId="12" fillId="0" borderId="16" xfId="0" applyFont="1" applyBorder="1" applyAlignment="1">
      <alignment horizontal="center" vertical="center" wrapText="1" shrinkToFit="1"/>
    </xf>
    <xf numFmtId="0" fontId="13" fillId="4" borderId="45" xfId="0" applyFont="1" applyFill="1" applyBorder="1" applyAlignment="1">
      <alignment horizontal="left" vertical="center"/>
    </xf>
    <xf numFmtId="0" fontId="12" fillId="0" borderId="139"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12" fillId="0" borderId="64" xfId="0" applyFont="1" applyBorder="1" applyAlignment="1">
      <alignment horizontal="center" vertical="center" wrapText="1" shrinkToFit="1"/>
    </xf>
    <xf numFmtId="0" fontId="13" fillId="0" borderId="116" xfId="0" applyFont="1" applyBorder="1" applyAlignment="1">
      <alignment horizontal="center" vertical="center" wrapText="1" shrinkToFit="1"/>
    </xf>
    <xf numFmtId="0" fontId="13" fillId="0" borderId="21" xfId="0" applyFont="1" applyBorder="1" applyAlignment="1">
      <alignment horizontal="center" vertical="center" wrapText="1" shrinkToFit="1"/>
    </xf>
    <xf numFmtId="0" fontId="12" fillId="0" borderId="117" xfId="0" applyFont="1" applyFill="1" applyBorder="1" applyAlignment="1">
      <alignment horizontal="center" vertical="center" wrapText="1" shrinkToFit="1"/>
    </xf>
    <xf numFmtId="0" fontId="12" fillId="0" borderId="33" xfId="0" applyFont="1" applyFill="1" applyBorder="1" applyAlignment="1">
      <alignment horizontal="center" vertical="center" wrapText="1" shrinkToFit="1"/>
    </xf>
    <xf numFmtId="0" fontId="12" fillId="0" borderId="116" xfId="0" applyFont="1" applyBorder="1" applyAlignment="1">
      <alignment horizontal="center" vertical="center" wrapText="1" shrinkToFit="1"/>
    </xf>
    <xf numFmtId="0" fontId="12" fillId="0" borderId="21" xfId="0" applyFont="1" applyBorder="1" applyAlignment="1">
      <alignment horizontal="center" vertical="center" wrapText="1" shrinkToFit="1"/>
    </xf>
    <xf numFmtId="0" fontId="41" fillId="0" borderId="24" xfId="0" applyFont="1" applyBorder="1" applyAlignment="1">
      <alignment horizontal="center" vertical="center"/>
    </xf>
    <xf numFmtId="0" fontId="41" fillId="0" borderId="148" xfId="0" applyFont="1" applyBorder="1" applyAlignment="1">
      <alignment horizontal="center" vertical="center"/>
    </xf>
    <xf numFmtId="0" fontId="41" fillId="0" borderId="0" xfId="0" applyFont="1" applyBorder="1" applyAlignment="1">
      <alignment horizontal="center" vertical="center"/>
    </xf>
    <xf numFmtId="0" fontId="41" fillId="0" borderId="84" xfId="0" applyFont="1" applyBorder="1" applyAlignment="1">
      <alignment horizontal="center" vertical="center"/>
    </xf>
    <xf numFmtId="0" fontId="41" fillId="0" borderId="86" xfId="0" applyFont="1" applyBorder="1" applyAlignment="1">
      <alignment horizontal="center" vertical="center"/>
    </xf>
    <xf numFmtId="0" fontId="41" fillId="0" borderId="73" xfId="0" applyFont="1" applyBorder="1" applyAlignment="1">
      <alignment horizontal="center" vertical="center"/>
    </xf>
    <xf numFmtId="0" fontId="12" fillId="0" borderId="15" xfId="0" applyFont="1" applyBorder="1" applyAlignment="1">
      <alignment horizontal="center" vertical="center" wrapText="1" shrinkToFit="1"/>
    </xf>
    <xf numFmtId="0" fontId="8" fillId="20" borderId="117" xfId="0" applyFont="1" applyFill="1" applyBorder="1" applyAlignment="1">
      <alignment horizontal="center" vertical="center" wrapText="1"/>
    </xf>
    <xf numFmtId="0" fontId="8" fillId="20" borderId="137" xfId="0" applyFont="1" applyFill="1" applyBorder="1" applyAlignment="1">
      <alignment horizontal="center" vertical="center" wrapText="1"/>
    </xf>
    <xf numFmtId="0" fontId="8" fillId="20" borderId="65" xfId="0" applyFont="1" applyFill="1" applyBorder="1" applyAlignment="1">
      <alignment horizontal="center" vertical="center" wrapText="1"/>
    </xf>
    <xf numFmtId="0" fontId="8" fillId="20" borderId="24" xfId="0" applyFont="1" applyFill="1" applyBorder="1" applyAlignment="1">
      <alignment horizontal="center" vertical="center"/>
    </xf>
    <xf numFmtId="0" fontId="8" fillId="20" borderId="148" xfId="0" applyFont="1" applyFill="1" applyBorder="1" applyAlignment="1">
      <alignment horizontal="center" vertical="center"/>
    </xf>
    <xf numFmtId="0" fontId="8" fillId="20" borderId="0" xfId="0" applyFont="1" applyFill="1" applyBorder="1" applyAlignment="1">
      <alignment horizontal="center" vertical="center"/>
    </xf>
    <xf numFmtId="0" fontId="8" fillId="20" borderId="84" xfId="0" applyFont="1" applyFill="1" applyBorder="1" applyAlignment="1">
      <alignment horizontal="center" vertical="center"/>
    </xf>
    <xf numFmtId="0" fontId="8" fillId="20" borderId="86" xfId="0" applyFont="1" applyFill="1" applyBorder="1" applyAlignment="1">
      <alignment horizontal="center" vertical="center"/>
    </xf>
    <xf numFmtId="0" fontId="8" fillId="20" borderId="73" xfId="0" applyFont="1" applyFill="1" applyBorder="1" applyAlignment="1">
      <alignment horizontal="center" vertical="center"/>
    </xf>
    <xf numFmtId="0" fontId="8" fillId="20" borderId="15" xfId="0" applyFont="1" applyFill="1" applyBorder="1" applyAlignment="1">
      <alignment horizontal="center" vertical="center" wrapText="1" shrinkToFit="1"/>
    </xf>
    <xf numFmtId="0" fontId="8" fillId="20" borderId="16" xfId="0" applyFont="1" applyFill="1" applyBorder="1" applyAlignment="1">
      <alignment horizontal="center" vertical="center" wrapText="1" shrinkToFit="1"/>
    </xf>
    <xf numFmtId="0" fontId="8" fillId="20" borderId="63" xfId="0" applyFont="1" applyFill="1" applyBorder="1" applyAlignment="1">
      <alignment horizontal="center" vertical="center" wrapText="1" shrinkToFit="1"/>
    </xf>
    <xf numFmtId="0" fontId="8" fillId="20" borderId="7" xfId="0" applyFont="1" applyFill="1" applyBorder="1" applyAlignment="1">
      <alignment horizontal="center" vertical="center" wrapText="1" shrinkToFit="1"/>
    </xf>
    <xf numFmtId="0" fontId="8" fillId="20" borderId="116" xfId="0" applyFont="1" applyFill="1" applyBorder="1" applyAlignment="1">
      <alignment horizontal="center" vertical="center" wrapText="1" shrinkToFit="1"/>
    </xf>
    <xf numFmtId="0" fontId="8" fillId="20" borderId="21" xfId="0" applyFont="1" applyFill="1" applyBorder="1" applyAlignment="1">
      <alignment horizontal="center" vertical="center" wrapText="1" shrinkToFit="1"/>
    </xf>
    <xf numFmtId="0" fontId="8" fillId="20" borderId="10" xfId="0" applyFont="1" applyFill="1" applyBorder="1" applyAlignment="1">
      <alignment horizontal="left" vertical="center"/>
    </xf>
    <xf numFmtId="0" fontId="8" fillId="20" borderId="22" xfId="0" applyFont="1" applyFill="1" applyBorder="1" applyAlignment="1">
      <alignment horizontal="left" vertical="center"/>
    </xf>
    <xf numFmtId="0" fontId="8" fillId="20" borderId="45" xfId="0" applyFont="1" applyFill="1" applyBorder="1" applyAlignment="1">
      <alignment horizontal="left" vertical="center"/>
    </xf>
    <xf numFmtId="0" fontId="8" fillId="20" borderId="50" xfId="0" applyFont="1" applyFill="1" applyBorder="1" applyAlignment="1">
      <alignment horizontal="left" vertical="center"/>
    </xf>
    <xf numFmtId="0" fontId="8" fillId="20" borderId="138" xfId="0" applyFont="1" applyFill="1" applyBorder="1" applyAlignment="1">
      <alignment horizontal="left" vertical="center"/>
    </xf>
    <xf numFmtId="0" fontId="8" fillId="20" borderId="52" xfId="0" applyFont="1" applyFill="1" applyBorder="1" applyAlignment="1">
      <alignment horizontal="left" vertical="center"/>
    </xf>
    <xf numFmtId="0" fontId="8" fillId="20" borderId="27" xfId="0" applyFont="1" applyFill="1" applyBorder="1" applyAlignment="1">
      <alignment horizontal="left" vertical="center" indent="1"/>
    </xf>
    <xf numFmtId="0" fontId="8" fillId="20" borderId="50" xfId="0" applyFont="1" applyFill="1" applyBorder="1" applyAlignment="1">
      <alignment horizontal="left" vertical="center" indent="1"/>
    </xf>
    <xf numFmtId="0" fontId="37" fillId="0" borderId="64" xfId="0" applyFont="1" applyBorder="1" applyAlignment="1">
      <alignment horizontal="left" wrapText="1" shrinkToFit="1"/>
    </xf>
    <xf numFmtId="0" fontId="37" fillId="0" borderId="6" xfId="0" applyFont="1" applyBorder="1" applyAlignment="1">
      <alignment horizontal="left" wrapText="1" shrinkToFit="1"/>
    </xf>
    <xf numFmtId="0" fontId="37" fillId="0" borderId="132" xfId="0" applyFont="1" applyBorder="1" applyAlignment="1">
      <alignment horizontal="center" vertical="center" wrapText="1" shrinkToFit="1"/>
    </xf>
    <xf numFmtId="0" fontId="37" fillId="0" borderId="151" xfId="0" applyFont="1" applyBorder="1" applyAlignment="1">
      <alignment horizontal="center" vertical="center" wrapText="1" shrinkToFit="1"/>
    </xf>
    <xf numFmtId="0" fontId="37" fillId="0" borderId="119" xfId="0" applyFont="1" applyFill="1" applyBorder="1" applyAlignment="1">
      <alignment horizontal="left" wrapText="1"/>
    </xf>
    <xf numFmtId="0" fontId="37" fillId="0" borderId="150" xfId="0" applyFont="1" applyFill="1" applyBorder="1" applyAlignment="1">
      <alignment horizontal="left" wrapText="1"/>
    </xf>
    <xf numFmtId="0" fontId="54" fillId="0" borderId="116" xfId="0" applyFont="1" applyBorder="1" applyAlignment="1">
      <alignment horizontal="center" vertical="center" wrapText="1" shrinkToFit="1"/>
    </xf>
    <xf numFmtId="0" fontId="54" fillId="0" borderId="21" xfId="0" applyFont="1" applyBorder="1" applyAlignment="1">
      <alignment horizontal="center" vertical="center" wrapText="1" shrinkToFit="1"/>
    </xf>
    <xf numFmtId="0" fontId="41" fillId="0" borderId="0" xfId="0" applyFont="1" applyAlignment="1">
      <alignment horizontal="left" vertical="center" wrapText="1"/>
    </xf>
    <xf numFmtId="0" fontId="41" fillId="0" borderId="15"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40" xfId="0" applyFont="1" applyBorder="1" applyAlignment="1">
      <alignment horizontal="center" vertical="center"/>
    </xf>
    <xf numFmtId="0" fontId="41" fillId="0" borderId="22" xfId="0" applyFont="1" applyBorder="1" applyAlignment="1">
      <alignment horizontal="center" vertical="center"/>
    </xf>
    <xf numFmtId="0" fontId="41" fillId="0" borderId="1" xfId="0" applyFont="1" applyBorder="1" applyAlignment="1">
      <alignment horizontal="center" vertical="center"/>
    </xf>
    <xf numFmtId="0" fontId="37" fillId="0" borderId="104" xfId="0" applyFont="1" applyBorder="1" applyAlignment="1">
      <alignment horizontal="center" vertical="center" wrapText="1" shrinkToFit="1"/>
    </xf>
    <xf numFmtId="0" fontId="37" fillId="0" borderId="16" xfId="0" applyFont="1" applyBorder="1" applyAlignment="1">
      <alignment horizontal="center" vertical="center" wrapText="1" shrinkToFit="1"/>
    </xf>
    <xf numFmtId="0" fontId="37" fillId="0" borderId="116" xfId="0" applyFont="1" applyBorder="1" applyAlignment="1">
      <alignment horizontal="center" vertical="center" wrapText="1" shrinkToFit="1"/>
    </xf>
    <xf numFmtId="0" fontId="37" fillId="0" borderId="21" xfId="0" applyFont="1" applyBorder="1" applyAlignment="1">
      <alignment horizontal="center" vertical="center" wrapText="1" shrinkToFit="1"/>
    </xf>
    <xf numFmtId="0" fontId="37" fillId="0" borderId="117" xfId="0" applyFont="1" applyBorder="1" applyAlignment="1">
      <alignment horizontal="center" vertical="center" wrapText="1" shrinkToFit="1"/>
    </xf>
    <xf numFmtId="0" fontId="37" fillId="0" borderId="33" xfId="0" applyFont="1" applyBorder="1" applyAlignment="1">
      <alignment horizontal="center" vertical="center" wrapText="1" shrinkToFit="1"/>
    </xf>
    <xf numFmtId="0" fontId="8" fillId="20" borderId="119" xfId="0" applyFont="1" applyFill="1" applyBorder="1" applyAlignment="1">
      <alignment horizontal="center" vertical="center" wrapText="1"/>
    </xf>
    <xf numFmtId="0" fontId="8" fillId="20" borderId="150" xfId="0" applyFont="1" applyFill="1" applyBorder="1" applyAlignment="1">
      <alignment horizontal="center" vertical="center" wrapText="1"/>
    </xf>
    <xf numFmtId="0" fontId="8" fillId="20" borderId="64" xfId="0" applyFont="1" applyFill="1" applyBorder="1" applyAlignment="1">
      <alignment horizontal="center" vertical="center" wrapText="1" shrinkToFit="1"/>
    </xf>
    <xf numFmtId="0" fontId="8" fillId="20" borderId="6" xfId="0" applyFont="1" applyFill="1" applyBorder="1" applyAlignment="1">
      <alignment horizontal="center" vertical="center" wrapText="1" shrinkToFit="1"/>
    </xf>
    <xf numFmtId="0" fontId="8" fillId="20" borderId="117" xfId="0" applyFont="1" applyFill="1" applyBorder="1" applyAlignment="1">
      <alignment horizontal="center" vertical="center" wrapText="1" shrinkToFit="1"/>
    </xf>
    <xf numFmtId="0" fontId="8" fillId="20" borderId="33" xfId="0" applyFont="1" applyFill="1" applyBorder="1" applyAlignment="1">
      <alignment horizontal="center" vertical="center" wrapText="1" shrinkToFit="1"/>
    </xf>
    <xf numFmtId="0" fontId="8" fillId="20" borderId="15" xfId="0" applyFont="1" applyFill="1" applyBorder="1" applyAlignment="1">
      <alignment horizontal="center" vertical="center" wrapText="1"/>
    </xf>
    <xf numFmtId="0" fontId="8" fillId="20" borderId="30" xfId="0" applyFont="1" applyFill="1" applyBorder="1" applyAlignment="1">
      <alignment horizontal="center" vertical="center" wrapText="1"/>
    </xf>
    <xf numFmtId="0" fontId="8" fillId="20" borderId="18" xfId="0" applyFont="1" applyFill="1" applyBorder="1" applyAlignment="1">
      <alignment horizontal="center" vertical="center" wrapText="1"/>
    </xf>
    <xf numFmtId="0" fontId="8" fillId="20" borderId="40" xfId="0" applyFont="1" applyFill="1" applyBorder="1" applyAlignment="1">
      <alignment horizontal="center" vertical="center"/>
    </xf>
    <xf numFmtId="0" fontId="8" fillId="20" borderId="22" xfId="0" applyFont="1" applyFill="1" applyBorder="1" applyAlignment="1">
      <alignment horizontal="center" vertical="center"/>
    </xf>
    <xf numFmtId="0" fontId="8" fillId="20" borderId="1" xfId="0" applyFont="1" applyFill="1" applyBorder="1" applyAlignment="1">
      <alignment horizontal="center" vertical="center"/>
    </xf>
    <xf numFmtId="0" fontId="8" fillId="20" borderId="104" xfId="0" applyFont="1" applyFill="1" applyBorder="1" applyAlignment="1">
      <alignment horizontal="center" vertical="center" wrapText="1" shrinkToFit="1"/>
    </xf>
    <xf numFmtId="0" fontId="8" fillId="20" borderId="132" xfId="0" applyFont="1" applyFill="1" applyBorder="1" applyAlignment="1">
      <alignment horizontal="center" vertical="center" wrapText="1" shrinkToFit="1"/>
    </xf>
    <xf numFmtId="0" fontId="8" fillId="20" borderId="151" xfId="0" applyFont="1" applyFill="1" applyBorder="1" applyAlignment="1">
      <alignment horizontal="center" vertical="center" wrapText="1" shrinkToFit="1"/>
    </xf>
    <xf numFmtId="0" fontId="60" fillId="0" borderId="0" xfId="0" quotePrefix="1" applyFont="1" applyFill="1" applyBorder="1" applyAlignment="1">
      <alignment horizontal="left" vertical="center" wrapText="1"/>
    </xf>
    <xf numFmtId="0" fontId="78" fillId="0" borderId="0" xfId="0" applyFont="1" applyAlignment="1">
      <alignment horizontal="left" vertical="center" wrapText="1"/>
    </xf>
    <xf numFmtId="0" fontId="6" fillId="0" borderId="0" xfId="4" applyFont="1" applyFill="1" applyAlignment="1" applyProtection="1">
      <alignment horizontal="left" vertical="center" wrapText="1"/>
      <protection locked="0"/>
    </xf>
    <xf numFmtId="0" fontId="78" fillId="0" borderId="0" xfId="4" quotePrefix="1" applyFont="1" applyFill="1" applyBorder="1" applyAlignment="1">
      <alignment horizontal="left" vertical="center" wrapText="1"/>
    </xf>
    <xf numFmtId="0" fontId="78" fillId="0" borderId="0" xfId="0" applyFont="1" applyAlignment="1">
      <alignment vertical="center" wrapText="1"/>
    </xf>
    <xf numFmtId="0" fontId="13" fillId="20" borderId="16" xfId="0" applyFont="1" applyFill="1" applyBorder="1" applyAlignment="1">
      <alignment horizontal="center" vertical="center" wrapText="1" shrinkToFit="1"/>
    </xf>
    <xf numFmtId="0" fontId="13" fillId="20" borderId="116" xfId="0" quotePrefix="1" applyFont="1" applyFill="1" applyBorder="1" applyAlignment="1">
      <alignment horizontal="center" vertical="center" wrapText="1" shrinkToFit="1"/>
    </xf>
    <xf numFmtId="0" fontId="13" fillId="20" borderId="21" xfId="0" applyFont="1" applyFill="1" applyBorder="1" applyAlignment="1">
      <alignment horizontal="center" vertical="center" wrapText="1" shrinkToFit="1"/>
    </xf>
    <xf numFmtId="0" fontId="13" fillId="20" borderId="117" xfId="0" applyFont="1" applyFill="1" applyBorder="1" applyAlignment="1">
      <alignment horizontal="center" vertical="center" wrapText="1" shrinkToFit="1"/>
    </xf>
    <xf numFmtId="0" fontId="13" fillId="20" borderId="33" xfId="0" applyFont="1" applyFill="1" applyBorder="1" applyAlignment="1">
      <alignment horizontal="center" vertical="center" wrapText="1" shrinkToFit="1"/>
    </xf>
    <xf numFmtId="0" fontId="13" fillId="20" borderId="63" xfId="0" applyFont="1" applyFill="1" applyBorder="1" applyAlignment="1">
      <alignment horizontal="center" vertical="center" wrapText="1" shrinkToFit="1"/>
    </xf>
    <xf numFmtId="0" fontId="13" fillId="20" borderId="7" xfId="0" applyFont="1" applyFill="1" applyBorder="1" applyAlignment="1">
      <alignment horizontal="center" vertical="center" wrapText="1" shrinkToFit="1"/>
    </xf>
    <xf numFmtId="0" fontId="13" fillId="20" borderId="116" xfId="0" applyFont="1" applyFill="1" applyBorder="1" applyAlignment="1">
      <alignment horizontal="center" vertical="center" wrapText="1" shrinkToFit="1"/>
    </xf>
    <xf numFmtId="0" fontId="8" fillId="20" borderId="15" xfId="4" applyFont="1" applyFill="1" applyBorder="1" applyAlignment="1">
      <alignment horizontal="center" vertical="center" wrapText="1"/>
    </xf>
    <xf numFmtId="0" fontId="8" fillId="20" borderId="30" xfId="4" applyFont="1" applyFill="1" applyBorder="1" applyAlignment="1">
      <alignment horizontal="center" vertical="center" wrapText="1"/>
    </xf>
    <xf numFmtId="0" fontId="8" fillId="20" borderId="18" xfId="4" applyFont="1" applyFill="1" applyBorder="1" applyAlignment="1">
      <alignment horizontal="center" vertical="center" wrapText="1"/>
    </xf>
    <xf numFmtId="0" fontId="8" fillId="20" borderId="64" xfId="4" applyFont="1" applyFill="1" applyBorder="1" applyAlignment="1" applyProtection="1">
      <alignment horizontal="center" vertical="center" wrapText="1" shrinkToFit="1"/>
      <protection locked="0"/>
    </xf>
    <xf numFmtId="0" fontId="8" fillId="20" borderId="131" xfId="4" applyFont="1" applyFill="1" applyBorder="1" applyAlignment="1" applyProtection="1">
      <alignment horizontal="center" vertical="center" wrapText="1" shrinkToFit="1"/>
      <protection locked="0"/>
    </xf>
    <xf numFmtId="0" fontId="8" fillId="20" borderId="103" xfId="4" applyFont="1" applyFill="1" applyBorder="1" applyAlignment="1" applyProtection="1">
      <alignment horizontal="center" vertical="center" wrapText="1" shrinkToFit="1"/>
      <protection locked="0"/>
    </xf>
    <xf numFmtId="0" fontId="8" fillId="20" borderId="116" xfId="1" applyFont="1" applyFill="1" applyBorder="1" applyAlignment="1" applyProtection="1">
      <alignment horizontal="center" vertical="center"/>
      <protection locked="0"/>
    </xf>
    <xf numFmtId="0" fontId="8" fillId="20" borderId="53" xfId="1" applyFont="1" applyFill="1" applyBorder="1" applyAlignment="1" applyProtection="1">
      <alignment horizontal="center" vertical="center"/>
      <protection locked="0"/>
    </xf>
    <xf numFmtId="0" fontId="8" fillId="20" borderId="42" xfId="1" applyFont="1" applyFill="1" applyBorder="1" applyAlignment="1" applyProtection="1">
      <alignment horizontal="center" vertical="center"/>
      <protection locked="0"/>
    </xf>
    <xf numFmtId="0" fontId="13" fillId="20" borderId="104" xfId="0" applyFont="1" applyFill="1" applyBorder="1" applyAlignment="1">
      <alignment horizontal="center" vertical="center" wrapText="1" shrinkToFit="1"/>
    </xf>
    <xf numFmtId="0" fontId="12" fillId="0" borderId="6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54" fillId="0" borderId="116" xfId="0" applyFont="1" applyFill="1" applyBorder="1" applyAlignment="1">
      <alignment horizontal="center" vertical="center" wrapText="1" shrinkToFit="1"/>
    </xf>
    <xf numFmtId="0" fontId="54" fillId="0" borderId="21" xfId="0" applyFont="1" applyFill="1" applyBorder="1" applyAlignment="1">
      <alignment horizontal="center" vertical="center" wrapText="1" shrinkToFit="1"/>
    </xf>
    <xf numFmtId="0" fontId="6" fillId="0" borderId="15" xfId="4" applyFont="1" applyBorder="1" applyAlignment="1">
      <alignment horizontal="center" vertical="center" wrapText="1"/>
    </xf>
    <xf numFmtId="0" fontId="6" fillId="0" borderId="30" xfId="4" applyFont="1" applyBorder="1" applyAlignment="1">
      <alignment horizontal="center" vertical="center" wrapText="1"/>
    </xf>
    <xf numFmtId="0" fontId="6" fillId="0" borderId="18" xfId="4" applyFont="1" applyBorder="1" applyAlignment="1">
      <alignment horizontal="center" vertical="center" wrapText="1"/>
    </xf>
    <xf numFmtId="0" fontId="6" fillId="0" borderId="64" xfId="4" applyFont="1" applyFill="1" applyBorder="1" applyAlignment="1" applyProtection="1">
      <alignment horizontal="center" vertical="center" wrapText="1" shrinkToFit="1"/>
      <protection locked="0"/>
    </xf>
    <xf numFmtId="0" fontId="6" fillId="0" borderId="131" xfId="4" applyFont="1" applyFill="1" applyBorder="1" applyAlignment="1" applyProtection="1">
      <alignment horizontal="center" vertical="center" wrapText="1" shrinkToFit="1"/>
      <protection locked="0"/>
    </xf>
    <xf numFmtId="0" fontId="6" fillId="0" borderId="103" xfId="4" applyFont="1" applyFill="1" applyBorder="1" applyAlignment="1" applyProtection="1">
      <alignment horizontal="center" vertical="center" wrapText="1" shrinkToFit="1"/>
      <protection locked="0"/>
    </xf>
    <xf numFmtId="0" fontId="6" fillId="0" borderId="116" xfId="1" applyFont="1" applyFill="1" applyBorder="1" applyAlignment="1" applyProtection="1">
      <alignment horizontal="center" vertical="center"/>
      <protection locked="0"/>
    </xf>
    <xf numFmtId="0" fontId="6" fillId="0" borderId="53" xfId="1" applyFont="1" applyFill="1" applyBorder="1" applyAlignment="1" applyProtection="1">
      <alignment horizontal="center" vertical="center"/>
      <protection locked="0"/>
    </xf>
    <xf numFmtId="0" fontId="6" fillId="0" borderId="42" xfId="1" applyFont="1" applyFill="1" applyBorder="1" applyAlignment="1" applyProtection="1">
      <alignment horizontal="center" vertical="center"/>
      <protection locked="0"/>
    </xf>
    <xf numFmtId="0" fontId="12" fillId="0" borderId="104" xfId="0" applyFont="1" applyBorder="1" applyAlignment="1">
      <alignment horizontal="center" vertical="center" wrapText="1" shrinkToFit="1"/>
    </xf>
    <xf numFmtId="0" fontId="12" fillId="0" borderId="117" xfId="0" applyFont="1" applyBorder="1" applyAlignment="1">
      <alignment horizontal="center" vertical="center" wrapText="1" shrinkToFit="1"/>
    </xf>
    <xf numFmtId="0" fontId="12" fillId="0" borderId="33" xfId="0" applyFont="1" applyBorder="1" applyAlignment="1">
      <alignment horizontal="center" vertical="center" wrapText="1" shrinkToFit="1"/>
    </xf>
    <xf numFmtId="0" fontId="6" fillId="0" borderId="0" xfId="0" applyFont="1" applyAlignment="1">
      <alignment horizontal="left" vertical="center" wrapText="1"/>
    </xf>
    <xf numFmtId="0" fontId="10" fillId="0" borderId="45" xfId="0" applyFont="1" applyFill="1" applyBorder="1" applyAlignment="1">
      <alignment horizontal="left" vertical="center" wrapText="1"/>
    </xf>
    <xf numFmtId="0" fontId="10" fillId="0" borderId="120" xfId="0" applyFont="1" applyFill="1" applyBorder="1" applyAlignment="1">
      <alignment horizontal="left" vertical="center" wrapText="1"/>
    </xf>
    <xf numFmtId="0" fontId="78" fillId="0" borderId="24" xfId="0" quotePrefix="1" applyFont="1" applyFill="1" applyBorder="1" applyAlignment="1">
      <alignment horizontal="left" vertical="center" wrapText="1"/>
    </xf>
    <xf numFmtId="0" fontId="78" fillId="0" borderId="24" xfId="0" applyFont="1" applyBorder="1" applyAlignment="1">
      <alignment vertical="center" wrapText="1"/>
    </xf>
    <xf numFmtId="0" fontId="0" fillId="0" borderId="24" xfId="0" applyBorder="1" applyAlignment="1">
      <alignment vertical="center" wrapText="1"/>
    </xf>
    <xf numFmtId="0" fontId="13" fillId="20" borderId="27" xfId="0" applyFont="1" applyFill="1" applyBorder="1" applyAlignment="1">
      <alignment horizontal="left" vertical="center"/>
    </xf>
    <xf numFmtId="0" fontId="13" fillId="20" borderId="45" xfId="0" applyFont="1" applyFill="1" applyBorder="1" applyAlignment="1">
      <alignment horizontal="left" vertical="center"/>
    </xf>
    <xf numFmtId="0" fontId="13" fillId="20" borderId="120" xfId="0" applyFont="1" applyFill="1" applyBorder="1" applyAlignment="1">
      <alignment horizontal="left" vertical="center"/>
    </xf>
    <xf numFmtId="0" fontId="24" fillId="0" borderId="45" xfId="0" applyFont="1" applyBorder="1" applyAlignment="1">
      <alignment horizontal="right" vertical="center"/>
    </xf>
    <xf numFmtId="0" fontId="10" fillId="0" borderId="241" xfId="0" applyFont="1" applyFill="1" applyBorder="1" applyAlignment="1">
      <alignment horizontal="left" vertical="center" wrapText="1"/>
    </xf>
    <xf numFmtId="0" fontId="10" fillId="0" borderId="242" xfId="0" applyFont="1" applyFill="1" applyBorder="1" applyAlignment="1">
      <alignment horizontal="left" vertical="center" wrapText="1"/>
    </xf>
    <xf numFmtId="0" fontId="12" fillId="0" borderId="45" xfId="0" applyFont="1" applyBorder="1" applyAlignment="1">
      <alignment horizontal="left" vertical="center"/>
    </xf>
    <xf numFmtId="0" fontId="12" fillId="0" borderId="89" xfId="0" applyFont="1" applyBorder="1" applyAlignment="1">
      <alignment horizontal="left" vertical="center"/>
    </xf>
    <xf numFmtId="0" fontId="13" fillId="20" borderId="138" xfId="0" applyFont="1" applyFill="1" applyBorder="1" applyAlignment="1">
      <alignment horizontal="left" vertical="center"/>
    </xf>
    <xf numFmtId="0" fontId="13" fillId="20" borderId="0" xfId="0" applyFont="1" applyFill="1" applyBorder="1" applyAlignment="1">
      <alignment horizontal="left" vertical="center"/>
    </xf>
    <xf numFmtId="49" fontId="12" fillId="0" borderId="9" xfId="0" applyNumberFormat="1" applyFont="1" applyBorder="1" applyAlignment="1">
      <alignment horizontal="left" vertical="center" wrapText="1"/>
    </xf>
    <xf numFmtId="49" fontId="12" fillId="0" borderId="10" xfId="0" applyNumberFormat="1" applyFont="1" applyBorder="1" applyAlignment="1">
      <alignment horizontal="left" vertical="center"/>
    </xf>
    <xf numFmtId="49" fontId="12" fillId="0" borderId="27" xfId="0" applyNumberFormat="1" applyFont="1" applyBorder="1" applyAlignment="1">
      <alignment horizontal="left" vertical="center"/>
    </xf>
    <xf numFmtId="0" fontId="13" fillId="20" borderId="156" xfId="0" applyFont="1" applyFill="1" applyBorder="1" applyAlignment="1">
      <alignment horizontal="center" vertical="center" wrapText="1" shrinkToFit="1"/>
    </xf>
    <xf numFmtId="0" fontId="13" fillId="20" borderId="152" xfId="0" applyFont="1" applyFill="1" applyBorder="1" applyAlignment="1">
      <alignment horizontal="center" vertical="center" wrapText="1"/>
    </xf>
    <xf numFmtId="0" fontId="13" fillId="20" borderId="153" xfId="0" applyFont="1" applyFill="1" applyBorder="1" applyAlignment="1">
      <alignment horizontal="center" vertical="center" wrapText="1"/>
    </xf>
    <xf numFmtId="0" fontId="13" fillId="20" borderId="119" xfId="0" applyFont="1" applyFill="1" applyBorder="1" applyAlignment="1">
      <alignment horizontal="center" vertical="center" wrapText="1"/>
    </xf>
    <xf numFmtId="0" fontId="13" fillId="20" borderId="150" xfId="0" applyFont="1" applyFill="1" applyBorder="1" applyAlignment="1">
      <alignment horizontal="center" vertical="center" wrapText="1"/>
    </xf>
    <xf numFmtId="0" fontId="13" fillId="20" borderId="117" xfId="0" applyFont="1" applyFill="1" applyBorder="1" applyAlignment="1">
      <alignment horizontal="center" vertical="center" wrapText="1"/>
    </xf>
    <xf numFmtId="0" fontId="13" fillId="20" borderId="137" xfId="0" applyFont="1" applyFill="1" applyBorder="1" applyAlignment="1">
      <alignment horizontal="center" vertical="center" wrapText="1"/>
    </xf>
    <xf numFmtId="0" fontId="13" fillId="20" borderId="65" xfId="0" applyFont="1" applyFill="1" applyBorder="1" applyAlignment="1">
      <alignment horizontal="center" vertical="center" wrapText="1"/>
    </xf>
    <xf numFmtId="0" fontId="13" fillId="20" borderId="24" xfId="0" applyFont="1" applyFill="1" applyBorder="1" applyAlignment="1">
      <alignment horizontal="center" vertical="center"/>
    </xf>
    <xf numFmtId="0" fontId="13" fillId="20" borderId="0" xfId="0" applyFont="1" applyFill="1" applyBorder="1" applyAlignment="1">
      <alignment horizontal="center" vertical="center"/>
    </xf>
    <xf numFmtId="0" fontId="13" fillId="20" borderId="86" xfId="0" applyFont="1" applyFill="1" applyBorder="1" applyAlignment="1">
      <alignment horizontal="center" vertical="center"/>
    </xf>
    <xf numFmtId="0" fontId="13" fillId="20" borderId="154" xfId="0" applyFont="1" applyFill="1" applyBorder="1" applyAlignment="1">
      <alignment horizontal="center" vertical="center" wrapText="1"/>
    </xf>
    <xf numFmtId="0" fontId="13" fillId="20" borderId="96" xfId="0" applyFont="1" applyFill="1" applyBorder="1" applyAlignment="1">
      <alignment horizontal="center" vertical="center" wrapText="1"/>
    </xf>
    <xf numFmtId="0" fontId="13" fillId="20" borderId="155" xfId="0" applyFont="1" applyFill="1" applyBorder="1" applyAlignment="1">
      <alignment horizontal="center" vertical="center" wrapText="1"/>
    </xf>
    <xf numFmtId="0" fontId="49" fillId="0" borderId="45" xfId="0" applyFont="1" applyBorder="1" applyAlignment="1">
      <alignment horizontal="right" vertical="center"/>
    </xf>
    <xf numFmtId="0" fontId="13" fillId="4" borderId="120" xfId="0" applyFont="1" applyFill="1" applyBorder="1" applyAlignment="1">
      <alignment horizontal="left" vertical="center"/>
    </xf>
    <xf numFmtId="0" fontId="44" fillId="9" borderId="138" xfId="0" applyFont="1" applyFill="1" applyBorder="1" applyAlignment="1">
      <alignment horizontal="left" vertical="center"/>
    </xf>
    <xf numFmtId="0" fontId="13" fillId="9" borderId="27" xfId="0" applyFont="1" applyFill="1" applyBorder="1" applyAlignment="1">
      <alignment horizontal="left" vertical="center"/>
    </xf>
    <xf numFmtId="0" fontId="13" fillId="9" borderId="120" xfId="0" applyFont="1" applyFill="1" applyBorder="1" applyAlignment="1">
      <alignment horizontal="left" vertical="center"/>
    </xf>
    <xf numFmtId="49" fontId="41" fillId="0" borderId="9" xfId="0" applyNumberFormat="1" applyFont="1" applyBorder="1" applyAlignment="1">
      <alignment horizontal="left" vertical="center" wrapText="1"/>
    </xf>
    <xf numFmtId="49" fontId="41" fillId="0" borderId="10" xfId="0" applyNumberFormat="1" applyFont="1" applyBorder="1" applyAlignment="1">
      <alignment horizontal="left" vertical="center"/>
    </xf>
    <xf numFmtId="49" fontId="41" fillId="0" borderId="27" xfId="0" applyNumberFormat="1" applyFont="1" applyBorder="1" applyAlignment="1">
      <alignment horizontal="left" vertical="center"/>
    </xf>
    <xf numFmtId="0" fontId="41" fillId="0" borderId="45" xfId="0" applyFont="1" applyBorder="1" applyAlignment="1">
      <alignment horizontal="left" vertical="center"/>
    </xf>
    <xf numFmtId="0" fontId="41" fillId="0" borderId="89" xfId="0" applyFont="1" applyBorder="1" applyAlignment="1">
      <alignment horizontal="left" vertical="center"/>
    </xf>
    <xf numFmtId="0" fontId="44" fillId="4" borderId="45" xfId="0" applyFont="1" applyFill="1" applyBorder="1" applyAlignment="1">
      <alignment horizontal="left" vertical="center"/>
    </xf>
    <xf numFmtId="0" fontId="29" fillId="0" borderId="0" xfId="0" applyFont="1" applyAlignment="1">
      <alignment horizontal="left" vertical="center" wrapText="1"/>
    </xf>
    <xf numFmtId="0" fontId="12" fillId="0" borderId="156" xfId="0" applyFont="1" applyBorder="1" applyAlignment="1">
      <alignment horizontal="center" vertical="center" wrapText="1" shrinkToFit="1"/>
    </xf>
    <xf numFmtId="0" fontId="13" fillId="4" borderId="116" xfId="0" applyFont="1" applyFill="1" applyBorder="1" applyAlignment="1">
      <alignment horizontal="center" vertical="center" wrapText="1" shrinkToFit="1"/>
    </xf>
    <xf numFmtId="0" fontId="13" fillId="4" borderId="21" xfId="0" applyFont="1" applyFill="1" applyBorder="1" applyAlignment="1">
      <alignment horizontal="center" vertical="center" wrapText="1" shrinkToFit="1"/>
    </xf>
    <xf numFmtId="0" fontId="44" fillId="4" borderId="0" xfId="0" applyFont="1" applyFill="1" applyBorder="1" applyAlignment="1">
      <alignment horizontal="left" vertical="center"/>
    </xf>
    <xf numFmtId="0" fontId="37" fillId="0" borderId="152" xfId="0" applyFont="1" applyFill="1" applyBorder="1" applyAlignment="1">
      <alignment horizontal="left" wrapText="1"/>
    </xf>
    <xf numFmtId="0" fontId="37" fillId="0" borderId="153" xfId="0" applyFont="1" applyFill="1" applyBorder="1" applyAlignment="1">
      <alignment horizontal="left" wrapText="1"/>
    </xf>
    <xf numFmtId="0" fontId="41" fillId="0" borderId="154" xfId="0" applyFont="1" applyFill="1" applyBorder="1" applyAlignment="1">
      <alignment horizontal="center" vertical="center" wrapText="1"/>
    </xf>
    <xf numFmtId="0" fontId="41" fillId="0" borderId="96" xfId="0" applyFont="1" applyFill="1" applyBorder="1" applyAlignment="1">
      <alignment horizontal="center" vertical="center" wrapText="1"/>
    </xf>
    <xf numFmtId="0" fontId="41" fillId="0" borderId="155" xfId="0" applyFont="1" applyFill="1" applyBorder="1" applyAlignment="1">
      <alignment horizontal="center" vertical="center" wrapText="1"/>
    </xf>
    <xf numFmtId="0" fontId="12" fillId="0" borderId="0" xfId="0" applyFont="1" applyFill="1" applyAlignment="1">
      <alignment horizontal="left" vertical="center" wrapText="1"/>
    </xf>
    <xf numFmtId="0" fontId="55" fillId="0" borderId="0" xfId="0" applyFont="1" applyFill="1" applyAlignment="1">
      <alignment horizontal="left" vertical="center" wrapText="1"/>
    </xf>
    <xf numFmtId="0" fontId="29" fillId="9" borderId="27" xfId="1" applyFont="1" applyFill="1" applyBorder="1" applyAlignment="1" applyProtection="1">
      <alignment horizontal="left" vertical="center" indent="1"/>
      <protection locked="0"/>
    </xf>
    <xf numFmtId="0" fontId="29" fillId="9" borderId="9" xfId="1" applyFont="1" applyFill="1" applyBorder="1" applyAlignment="1" applyProtection="1">
      <alignment horizontal="left" vertical="center" indent="1"/>
      <protection locked="0"/>
    </xf>
    <xf numFmtId="0" fontId="29" fillId="0" borderId="29"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29" fillId="9" borderId="83" xfId="1" applyFont="1" applyFill="1" applyBorder="1" applyAlignment="1" applyProtection="1">
      <alignment horizontal="left" vertical="center" indent="1"/>
      <protection locked="0"/>
    </xf>
    <xf numFmtId="0" fontId="29" fillId="9" borderId="12" xfId="1" applyFont="1" applyFill="1" applyBorder="1" applyAlignment="1" applyProtection="1">
      <alignment horizontal="left" vertical="center" indent="1"/>
      <protection locked="0"/>
    </xf>
    <xf numFmtId="0" fontId="6" fillId="0" borderId="0" xfId="1" applyFont="1" applyBorder="1" applyAlignment="1" applyProtection="1">
      <alignment horizontal="left" wrapText="1"/>
      <protection locked="0"/>
    </xf>
    <xf numFmtId="0" fontId="29" fillId="0" borderId="0" xfId="1" applyFont="1" applyBorder="1" applyAlignment="1" applyProtection="1">
      <alignment horizontal="left" wrapText="1"/>
      <protection locked="0"/>
    </xf>
    <xf numFmtId="0" fontId="55" fillId="0" borderId="0" xfId="0" applyFont="1" applyAlignment="1">
      <alignment horizontal="left" vertical="center" wrapText="1"/>
    </xf>
    <xf numFmtId="0" fontId="29" fillId="0" borderId="15" xfId="1" applyFont="1" applyBorder="1" applyAlignment="1" applyProtection="1">
      <alignment horizontal="center" vertical="center"/>
      <protection locked="0"/>
    </xf>
    <xf numFmtId="0" fontId="29" fillId="0" borderId="18" xfId="1" applyFont="1" applyBorder="1" applyAlignment="1" applyProtection="1">
      <alignment horizontal="center" vertical="center"/>
      <protection locked="0"/>
    </xf>
    <xf numFmtId="0" fontId="29" fillId="0" borderId="16" xfId="1" applyFont="1" applyBorder="1" applyAlignment="1" applyProtection="1">
      <alignment horizontal="center" vertical="center" wrapText="1"/>
      <protection locked="0"/>
    </xf>
    <xf numFmtId="0" fontId="29" fillId="0" borderId="13" xfId="1" applyFont="1" applyBorder="1" applyAlignment="1" applyProtection="1">
      <alignment horizontal="center" vertical="center" wrapText="1"/>
      <protection locked="0"/>
    </xf>
    <xf numFmtId="0" fontId="29" fillId="0" borderId="16" xfId="1" applyFont="1" applyBorder="1" applyAlignment="1" applyProtection="1">
      <alignment horizontal="center" vertical="center"/>
      <protection locked="0"/>
    </xf>
    <xf numFmtId="0" fontId="29" fillId="0" borderId="40" xfId="1" applyFont="1" applyBorder="1" applyAlignment="1" applyProtection="1">
      <alignment horizontal="center" vertical="center"/>
      <protection locked="0"/>
    </xf>
    <xf numFmtId="0" fontId="29" fillId="9" borderId="7" xfId="1" applyFont="1" applyFill="1" applyBorder="1" applyAlignment="1" applyProtection="1">
      <alignment horizontal="left" vertical="center" wrapText="1"/>
      <protection locked="0"/>
    </xf>
    <xf numFmtId="0" fontId="6" fillId="0" borderId="15" xfId="1" applyFont="1" applyBorder="1" applyAlignment="1" applyProtection="1">
      <alignment horizontal="center" vertical="center"/>
      <protection locked="0"/>
    </xf>
    <xf numFmtId="0" fontId="6" fillId="0" borderId="18" xfId="1" applyFont="1" applyBorder="1" applyAlignment="1" applyProtection="1">
      <alignment horizontal="center" vertical="center"/>
      <protection locked="0"/>
    </xf>
    <xf numFmtId="0" fontId="6" fillId="0" borderId="16" xfId="1" applyFont="1" applyBorder="1" applyAlignment="1" applyProtection="1">
      <alignment horizontal="center" vertical="center" wrapText="1"/>
      <protection locked="0"/>
    </xf>
    <xf numFmtId="0" fontId="6" fillId="0" borderId="13" xfId="1" applyFont="1" applyBorder="1" applyAlignment="1" applyProtection="1">
      <alignment horizontal="center" vertical="center" wrapText="1"/>
      <protection locked="0"/>
    </xf>
    <xf numFmtId="0" fontId="6" fillId="0" borderId="16" xfId="1" applyFont="1" applyBorder="1" applyAlignment="1" applyProtection="1">
      <alignment horizontal="center" vertical="center"/>
      <protection locked="0"/>
    </xf>
    <xf numFmtId="0" fontId="6" fillId="0" borderId="40" xfId="1" applyFont="1" applyBorder="1" applyAlignment="1" applyProtection="1">
      <alignment horizontal="center" vertical="center"/>
      <protection locked="0"/>
    </xf>
    <xf numFmtId="0" fontId="8" fillId="20" borderId="7" xfId="1" applyFont="1" applyFill="1" applyBorder="1" applyAlignment="1" applyProtection="1">
      <alignment horizontal="left" vertical="center" wrapText="1"/>
      <protection locked="0"/>
    </xf>
    <xf numFmtId="0" fontId="6" fillId="0" borderId="245" xfId="1" applyFont="1" applyBorder="1" applyAlignment="1" applyProtection="1">
      <alignment horizontal="left" vertical="center" indent="1"/>
      <protection locked="0"/>
    </xf>
    <xf numFmtId="0" fontId="6" fillId="0" borderId="61" xfId="1" applyFont="1" applyBorder="1" applyAlignment="1" applyProtection="1">
      <alignment horizontal="left" vertical="center" indent="1"/>
      <protection locked="0"/>
    </xf>
    <xf numFmtId="0" fontId="6" fillId="0" borderId="7" xfId="1" applyFont="1" applyBorder="1" applyAlignment="1" applyProtection="1">
      <alignment horizontal="left" vertical="center" indent="1"/>
      <protection locked="0"/>
    </xf>
    <xf numFmtId="0" fontId="8" fillId="20" borderId="27" xfId="1" applyFont="1" applyFill="1" applyBorder="1" applyAlignment="1" applyProtection="1">
      <alignment horizontal="left" vertical="center" indent="1"/>
      <protection locked="0"/>
    </xf>
    <xf numFmtId="0" fontId="8" fillId="20" borderId="9" xfId="1" applyFont="1" applyFill="1" applyBorder="1" applyAlignment="1" applyProtection="1">
      <alignment horizontal="left" vertical="center" indent="1"/>
      <protection locked="0"/>
    </xf>
    <xf numFmtId="0" fontId="8" fillId="20" borderId="83" xfId="1" applyFont="1" applyFill="1" applyBorder="1" applyAlignment="1" applyProtection="1">
      <alignment horizontal="left" vertical="center" indent="1"/>
      <protection locked="0"/>
    </xf>
    <xf numFmtId="0" fontId="8" fillId="20" borderId="12" xfId="1" applyFont="1" applyFill="1" applyBorder="1" applyAlignment="1" applyProtection="1">
      <alignment horizontal="left" vertical="center" indent="1"/>
      <protection locked="0"/>
    </xf>
    <xf numFmtId="0" fontId="141" fillId="0" borderId="0" xfId="1" quotePrefix="1" applyFont="1" applyFill="1" applyBorder="1" applyAlignment="1" applyProtection="1">
      <alignment horizontal="left" vertical="center" wrapText="1"/>
      <protection locked="0"/>
    </xf>
    <xf numFmtId="0" fontId="141" fillId="0" borderId="0" xfId="0" applyFont="1" applyAlignment="1">
      <alignment vertical="center" wrapText="1"/>
    </xf>
    <xf numFmtId="0" fontId="8" fillId="0" borderId="117" xfId="1" applyFont="1" applyBorder="1" applyAlignment="1" applyProtection="1">
      <alignment horizontal="center" vertical="center" wrapText="1"/>
      <protection locked="0"/>
    </xf>
    <xf numFmtId="0" fontId="8" fillId="0" borderId="65" xfId="1" applyFont="1" applyBorder="1" applyAlignment="1" applyProtection="1">
      <alignment horizontal="center" vertical="center" wrapText="1"/>
      <protection locked="0"/>
    </xf>
    <xf numFmtId="0" fontId="8" fillId="0" borderId="63" xfId="1" applyFont="1" applyBorder="1" applyAlignment="1" applyProtection="1">
      <alignment horizontal="center" vertical="center" wrapText="1"/>
      <protection locked="0"/>
    </xf>
    <xf numFmtId="0" fontId="8" fillId="0" borderId="41" xfId="1" applyFont="1" applyBorder="1" applyAlignment="1" applyProtection="1">
      <alignment horizontal="center" vertical="center" wrapText="1"/>
      <protection locked="0"/>
    </xf>
    <xf numFmtId="0" fontId="6" fillId="0" borderId="0" xfId="1" applyFont="1" applyAlignment="1" applyProtection="1">
      <alignment horizontal="left" vertical="center" wrapText="1"/>
      <protection locked="0"/>
    </xf>
    <xf numFmtId="0" fontId="29" fillId="0" borderId="117" xfId="1" applyFont="1" applyBorder="1" applyAlignment="1" applyProtection="1">
      <alignment horizontal="center" vertical="center" wrapText="1"/>
      <protection locked="0"/>
    </xf>
    <xf numFmtId="0" fontId="29" fillId="0" borderId="65" xfId="1" applyFont="1" applyBorder="1" applyAlignment="1" applyProtection="1">
      <alignment horizontal="center" vertical="center" wrapText="1"/>
      <protection locked="0"/>
    </xf>
    <xf numFmtId="0" fontId="29" fillId="0" borderId="63"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29" fillId="0" borderId="135" xfId="1" applyFont="1" applyBorder="1" applyAlignment="1" applyProtection="1">
      <alignment horizontal="center" vertical="center"/>
      <protection locked="0"/>
    </xf>
    <xf numFmtId="0" fontId="29" fillId="0" borderId="24" xfId="1" applyFont="1" applyBorder="1" applyAlignment="1" applyProtection="1">
      <alignment horizontal="center" vertical="center"/>
      <protection locked="0"/>
    </xf>
    <xf numFmtId="0" fontId="29" fillId="0" borderId="148" xfId="1" applyFont="1" applyBorder="1" applyAlignment="1" applyProtection="1">
      <alignment horizontal="center" vertical="center"/>
      <protection locked="0"/>
    </xf>
    <xf numFmtId="0" fontId="29" fillId="0" borderId="127" xfId="1" applyFont="1" applyBorder="1" applyAlignment="1" applyProtection="1">
      <alignment horizontal="center" vertical="center"/>
      <protection locked="0"/>
    </xf>
    <xf numFmtId="0" fontId="29" fillId="0" borderId="0" xfId="1" applyFont="1" applyBorder="1" applyAlignment="1" applyProtection="1">
      <alignment horizontal="center" vertical="center"/>
      <protection locked="0"/>
    </xf>
    <xf numFmtId="0" fontId="29" fillId="0" borderId="84" xfId="1" applyFont="1" applyBorder="1" applyAlignment="1" applyProtection="1">
      <alignment horizontal="center" vertical="center"/>
      <protection locked="0"/>
    </xf>
    <xf numFmtId="0" fontId="29" fillId="0" borderId="134" xfId="1" applyFont="1" applyBorder="1" applyAlignment="1" applyProtection="1">
      <alignment horizontal="center" vertical="center"/>
      <protection locked="0"/>
    </xf>
    <xf numFmtId="0" fontId="29" fillId="0" borderId="86" xfId="1" applyFont="1" applyBorder="1" applyAlignment="1" applyProtection="1">
      <alignment horizontal="center" vertical="center"/>
      <protection locked="0"/>
    </xf>
    <xf numFmtId="0" fontId="29" fillId="0" borderId="73" xfId="1" applyFont="1" applyBorder="1" applyAlignment="1" applyProtection="1">
      <alignment horizontal="center" vertical="center"/>
      <protection locked="0"/>
    </xf>
    <xf numFmtId="0" fontId="29" fillId="0" borderId="20" xfId="1" applyFont="1" applyBorder="1" applyAlignment="1" applyProtection="1">
      <alignment horizontal="center" vertical="center" wrapText="1"/>
      <protection locked="0"/>
    </xf>
    <xf numFmtId="0" fontId="29" fillId="0" borderId="126" xfId="1" applyFont="1" applyBorder="1" applyAlignment="1" applyProtection="1">
      <alignment horizontal="center" vertical="center" wrapText="1"/>
      <protection locked="0"/>
    </xf>
    <xf numFmtId="0" fontId="29" fillId="0" borderId="36" xfId="1" applyFont="1" applyBorder="1" applyAlignment="1" applyProtection="1">
      <alignment horizontal="center" vertical="center" wrapText="1"/>
      <protection locked="0"/>
    </xf>
    <xf numFmtId="0" fontId="30" fillId="0" borderId="24" xfId="1" applyFont="1" applyFill="1" applyBorder="1" applyAlignment="1" applyProtection="1">
      <alignment horizontal="center" vertical="center" wrapText="1"/>
      <protection locked="0"/>
    </xf>
    <xf numFmtId="0" fontId="30" fillId="0" borderId="0" xfId="1" applyFont="1" applyFill="1" applyBorder="1" applyAlignment="1" applyProtection="1">
      <alignment horizontal="center" vertical="center" wrapText="1"/>
      <protection locked="0"/>
    </xf>
    <xf numFmtId="0" fontId="30" fillId="0" borderId="86" xfId="1" applyFont="1" applyFill="1" applyBorder="1" applyAlignment="1" applyProtection="1">
      <alignment horizontal="center" vertical="center" wrapText="1"/>
      <protection locked="0"/>
    </xf>
    <xf numFmtId="0" fontId="30" fillId="0" borderId="14" xfId="1" applyFont="1" applyBorder="1" applyAlignment="1" applyProtection="1">
      <alignment horizontal="center" vertical="center" wrapText="1"/>
      <protection locked="0"/>
    </xf>
    <xf numFmtId="0" fontId="30" fillId="0" borderId="8" xfId="1" applyFont="1" applyBorder="1" applyAlignment="1" applyProtection="1">
      <alignment horizontal="center" vertical="center" wrapText="1"/>
      <protection locked="0"/>
    </xf>
    <xf numFmtId="0" fontId="30" fillId="0" borderId="11" xfId="1" applyFont="1" applyBorder="1" applyAlignment="1" applyProtection="1">
      <alignment horizontal="center" vertical="center" wrapText="1"/>
      <protection locked="0"/>
    </xf>
    <xf numFmtId="0" fontId="41" fillId="0" borderId="7" xfId="1" applyFont="1" applyFill="1" applyBorder="1" applyAlignment="1" applyProtection="1">
      <alignment horizontal="left" vertical="center"/>
      <protection locked="0"/>
    </xf>
    <xf numFmtId="0" fontId="41" fillId="0" borderId="21" xfId="1" applyFont="1" applyFill="1" applyBorder="1" applyAlignment="1" applyProtection="1">
      <alignment horizontal="left" vertical="center"/>
      <protection locked="0"/>
    </xf>
    <xf numFmtId="0" fontId="41" fillId="0" borderId="10" xfId="1" applyFont="1" applyFill="1" applyBorder="1" applyAlignment="1" applyProtection="1">
      <alignment horizontal="left" vertical="center"/>
      <protection locked="0"/>
    </xf>
    <xf numFmtId="0" fontId="41" fillId="0" borderId="22" xfId="1" applyFont="1" applyFill="1" applyBorder="1" applyAlignment="1" applyProtection="1">
      <alignment horizontal="left" vertical="center"/>
      <protection locked="0"/>
    </xf>
    <xf numFmtId="0" fontId="41" fillId="0" borderId="27" xfId="1" applyFont="1" applyFill="1" applyBorder="1" applyAlignment="1" applyProtection="1">
      <alignment horizontal="left" vertical="center"/>
      <protection locked="0"/>
    </xf>
    <xf numFmtId="0" fontId="41" fillId="0" borderId="50" xfId="1" applyFont="1" applyFill="1" applyBorder="1" applyAlignment="1" applyProtection="1">
      <alignment horizontal="left" vertical="center"/>
      <protection locked="0"/>
    </xf>
    <xf numFmtId="0" fontId="29" fillId="0" borderId="30" xfId="1" applyFont="1" applyBorder="1" applyAlignment="1">
      <alignment horizontal="left" vertical="center" wrapText="1"/>
    </xf>
    <xf numFmtId="0" fontId="29" fillId="0" borderId="10" xfId="1" applyFont="1" applyBorder="1" applyAlignment="1">
      <alignment horizontal="left" vertical="center" wrapText="1"/>
    </xf>
    <xf numFmtId="0" fontId="29" fillId="0" borderId="22" xfId="1" applyFont="1" applyBorder="1" applyAlignment="1">
      <alignment horizontal="left" vertical="center" wrapText="1"/>
    </xf>
    <xf numFmtId="0" fontId="30" fillId="0" borderId="3" xfId="1" applyFont="1" applyBorder="1" applyAlignment="1" applyProtection="1">
      <alignment horizontal="center" vertical="center"/>
      <protection locked="0"/>
    </xf>
    <xf numFmtId="0" fontId="30" fillId="0" borderId="4" xfId="1" applyFont="1" applyBorder="1" applyAlignment="1" applyProtection="1">
      <alignment horizontal="center" vertical="center"/>
      <protection locked="0"/>
    </xf>
    <xf numFmtId="0" fontId="30" fillId="0" borderId="19" xfId="1" applyFont="1" applyBorder="1" applyAlignment="1" applyProtection="1">
      <alignment horizontal="center" vertical="center"/>
      <protection locked="0"/>
    </xf>
    <xf numFmtId="0" fontId="39" fillId="0" borderId="0" xfId="1" applyFont="1" applyBorder="1" applyAlignment="1" applyProtection="1">
      <alignment horizontal="left" vertical="center" wrapText="1"/>
      <protection locked="0"/>
    </xf>
    <xf numFmtId="0" fontId="29" fillId="0" borderId="33" xfId="1" applyFont="1" applyBorder="1" applyAlignment="1">
      <alignment horizontal="center" vertical="center" wrapText="1"/>
    </xf>
    <xf numFmtId="0" fontId="29" fillId="0" borderId="30" xfId="1" applyFont="1" applyBorder="1" applyAlignment="1">
      <alignment horizontal="center" vertical="center" wrapText="1"/>
    </xf>
    <xf numFmtId="0" fontId="29" fillId="0" borderId="61" xfId="1" applyFont="1" applyBorder="1" applyAlignment="1" applyProtection="1">
      <alignment horizontal="center" vertical="center" wrapText="1"/>
      <protection locked="0"/>
    </xf>
    <xf numFmtId="0" fontId="29" fillId="0" borderId="7" xfId="1" applyFont="1" applyBorder="1" applyAlignment="1" applyProtection="1">
      <alignment horizontal="center" vertical="center" wrapText="1"/>
      <protection locked="0"/>
    </xf>
    <xf numFmtId="0" fontId="29" fillId="0" borderId="27" xfId="1" applyFont="1" applyFill="1" applyBorder="1" applyAlignment="1" applyProtection="1">
      <alignment horizontal="left" vertical="center"/>
      <protection locked="0"/>
    </xf>
    <xf numFmtId="0" fontId="29" fillId="0" borderId="50" xfId="1" applyFont="1" applyFill="1" applyBorder="1" applyAlignment="1" applyProtection="1">
      <alignment horizontal="left" vertical="center"/>
      <protection locked="0"/>
    </xf>
    <xf numFmtId="0" fontId="30" fillId="0" borderId="86" xfId="1" applyFont="1" applyBorder="1" applyAlignment="1" applyProtection="1">
      <alignment horizontal="center" vertical="center"/>
      <protection locked="0"/>
    </xf>
    <xf numFmtId="0" fontId="29" fillId="0" borderId="45" xfId="1" applyFont="1" applyBorder="1" applyAlignment="1">
      <alignment horizontal="left" vertical="center" wrapText="1"/>
    </xf>
    <xf numFmtId="0" fontId="29" fillId="0" borderId="90" xfId="1" applyFont="1" applyBorder="1" applyAlignment="1">
      <alignment horizontal="left" vertical="center" wrapText="1"/>
    </xf>
    <xf numFmtId="0" fontId="29" fillId="0" borderId="117" xfId="1" applyFont="1" applyBorder="1" applyAlignment="1">
      <alignment horizontal="center" vertical="center" wrapText="1"/>
    </xf>
    <xf numFmtId="0" fontId="29" fillId="0" borderId="137" xfId="1" applyFont="1" applyBorder="1" applyAlignment="1">
      <alignment horizontal="center" vertical="center" wrapText="1"/>
    </xf>
    <xf numFmtId="0" fontId="29" fillId="0" borderId="27" xfId="1" applyFont="1" applyBorder="1" applyAlignment="1" applyProtection="1">
      <alignment horizontal="left" vertical="center" wrapText="1"/>
      <protection locked="0"/>
    </xf>
    <xf numFmtId="0" fontId="29" fillId="0" borderId="50" xfId="1" applyFont="1" applyBorder="1" applyAlignment="1" applyProtection="1">
      <alignment horizontal="left" vertical="center" wrapText="1"/>
      <protection locked="0"/>
    </xf>
    <xf numFmtId="0" fontId="102" fillId="0" borderId="0" xfId="0" applyFont="1" applyAlignment="1" applyProtection="1">
      <alignment horizontal="center" vertical="top"/>
      <protection locked="0"/>
    </xf>
    <xf numFmtId="0" fontId="11" fillId="8" borderId="127" xfId="1" applyFont="1" applyFill="1" applyBorder="1" applyAlignment="1" applyProtection="1">
      <alignment horizontal="left" vertical="center" wrapText="1"/>
      <protection locked="0"/>
    </xf>
    <xf numFmtId="0" fontId="11" fillId="8" borderId="0" xfId="1" applyFont="1" applyFill="1" applyBorder="1" applyAlignment="1" applyProtection="1">
      <alignment horizontal="left" vertical="center" wrapText="1"/>
      <protection locked="0"/>
    </xf>
    <xf numFmtId="0" fontId="10" fillId="0" borderId="200" xfId="1" applyFont="1" applyFill="1" applyBorder="1" applyAlignment="1" applyProtection="1">
      <alignment horizontal="left" vertical="center" wrapText="1"/>
      <protection locked="0"/>
    </xf>
    <xf numFmtId="0" fontId="10" fillId="0" borderId="196" xfId="1" applyFont="1" applyFill="1" applyBorder="1" applyAlignment="1" applyProtection="1">
      <alignment horizontal="left" vertical="center" wrapText="1"/>
      <protection locked="0"/>
    </xf>
    <xf numFmtId="0" fontId="10" fillId="0" borderId="230" xfId="1" applyFont="1" applyFill="1" applyBorder="1" applyAlignment="1" applyProtection="1">
      <alignment horizontal="left" vertical="center" wrapText="1"/>
      <protection locked="0"/>
    </xf>
    <xf numFmtId="0" fontId="10" fillId="0" borderId="253" xfId="1" applyFont="1" applyFill="1" applyBorder="1" applyAlignment="1" applyProtection="1">
      <alignment horizontal="left" vertical="center" wrapText="1"/>
      <protection locked="0"/>
    </xf>
    <xf numFmtId="0" fontId="10" fillId="0" borderId="179" xfId="1" applyFont="1" applyFill="1" applyBorder="1" applyAlignment="1" applyProtection="1">
      <alignment horizontal="left" vertical="center" wrapText="1"/>
      <protection locked="0"/>
    </xf>
    <xf numFmtId="0" fontId="11" fillId="0" borderId="189" xfId="1" applyFont="1" applyFill="1" applyBorder="1" applyAlignment="1" applyProtection="1">
      <alignment horizontal="center" vertical="center"/>
      <protection locked="0"/>
    </xf>
    <xf numFmtId="0" fontId="11" fillId="0" borderId="190" xfId="1" applyFont="1" applyFill="1" applyBorder="1" applyAlignment="1" applyProtection="1">
      <alignment horizontal="center" vertical="center"/>
      <protection locked="0"/>
    </xf>
    <xf numFmtId="0" fontId="10" fillId="0" borderId="177" xfId="1" applyFont="1" applyFill="1" applyBorder="1" applyAlignment="1" applyProtection="1">
      <alignment horizontal="left" vertical="center" wrapText="1"/>
      <protection locked="0"/>
    </xf>
    <xf numFmtId="0" fontId="10" fillId="0" borderId="203" xfId="1" applyFont="1" applyFill="1" applyBorder="1" applyAlignment="1" applyProtection="1">
      <alignment horizontal="left" vertical="center" wrapText="1"/>
      <protection locked="0"/>
    </xf>
    <xf numFmtId="0" fontId="10" fillId="0" borderId="177" xfId="1" applyFont="1" applyFill="1" applyBorder="1" applyAlignment="1" applyProtection="1">
      <alignment vertical="center" wrapText="1"/>
      <protection locked="0"/>
    </xf>
    <xf numFmtId="0" fontId="10" fillId="0" borderId="203" xfId="1" applyFont="1" applyFill="1" applyBorder="1" applyAlignment="1" applyProtection="1">
      <alignment vertical="center" wrapText="1"/>
      <protection locked="0"/>
    </xf>
    <xf numFmtId="0" fontId="11" fillId="20" borderId="176" xfId="1" applyFont="1" applyFill="1" applyBorder="1" applyAlignment="1" applyProtection="1">
      <alignment horizontal="center" vertical="center"/>
      <protection locked="0"/>
    </xf>
    <xf numFmtId="0" fontId="10" fillId="20" borderId="182" xfId="0" applyFont="1" applyFill="1" applyBorder="1" applyAlignment="1">
      <alignment vertical="center"/>
    </xf>
    <xf numFmtId="0" fontId="11" fillId="20" borderId="177" xfId="1" applyFont="1" applyFill="1" applyBorder="1" applyAlignment="1" applyProtection="1">
      <alignment horizontal="center" vertical="center"/>
      <protection locked="0"/>
    </xf>
    <xf numFmtId="0" fontId="10" fillId="20" borderId="178" xfId="0" applyFont="1" applyFill="1" applyBorder="1" applyAlignment="1">
      <alignment vertical="center"/>
    </xf>
    <xf numFmtId="0" fontId="10" fillId="20" borderId="127" xfId="0" applyFont="1" applyFill="1" applyBorder="1" applyAlignment="1">
      <alignment vertical="center"/>
    </xf>
    <xf numFmtId="0" fontId="10" fillId="20" borderId="131" xfId="0" applyFont="1" applyFill="1" applyBorder="1" applyAlignment="1">
      <alignment vertical="center"/>
    </xf>
    <xf numFmtId="0" fontId="11" fillId="20" borderId="179" xfId="1" applyFont="1" applyFill="1" applyBorder="1" applyAlignment="1" applyProtection="1">
      <alignment horizontal="center" vertical="center"/>
      <protection locked="0"/>
    </xf>
    <xf numFmtId="0" fontId="8" fillId="20" borderId="181" xfId="1" applyFont="1" applyFill="1" applyBorder="1" applyAlignment="1" applyProtection="1">
      <alignment horizontal="center" vertical="center" wrapText="1"/>
      <protection locked="0"/>
    </xf>
    <xf numFmtId="0" fontId="8" fillId="20" borderId="180" xfId="1" applyFont="1" applyFill="1" applyBorder="1" applyAlignment="1" applyProtection="1">
      <alignment horizontal="center" vertical="center" wrapText="1"/>
      <protection locked="0"/>
    </xf>
    <xf numFmtId="0" fontId="11" fillId="20" borderId="34" xfId="1" applyFont="1" applyFill="1" applyBorder="1" applyAlignment="1" applyProtection="1">
      <alignment horizontal="center" vertical="center" wrapText="1"/>
      <protection locked="0"/>
    </xf>
    <xf numFmtId="0" fontId="11" fillId="20" borderId="131" xfId="1" applyFont="1" applyFill="1" applyBorder="1" applyAlignment="1" applyProtection="1">
      <alignment horizontal="center" vertical="center" wrapText="1"/>
      <protection locked="0"/>
    </xf>
    <xf numFmtId="0" fontId="11" fillId="20" borderId="29" xfId="1" applyFont="1" applyFill="1" applyBorder="1" applyAlignment="1" applyProtection="1">
      <alignment horizontal="center" vertical="center" wrapText="1"/>
      <protection locked="0"/>
    </xf>
    <xf numFmtId="0" fontId="11" fillId="20" borderId="61" xfId="1" applyFont="1" applyFill="1" applyBorder="1" applyAlignment="1" applyProtection="1">
      <alignment horizontal="center" vertical="center" wrapText="1"/>
      <protection locked="0"/>
    </xf>
    <xf numFmtId="0" fontId="11" fillId="20" borderId="32" xfId="1" applyFont="1" applyFill="1" applyBorder="1" applyAlignment="1" applyProtection="1">
      <alignment horizontal="center" vertical="center"/>
      <protection locked="0"/>
    </xf>
    <xf numFmtId="0" fontId="11" fillId="20" borderId="62" xfId="1" applyFont="1" applyFill="1" applyBorder="1" applyAlignment="1" applyProtection="1">
      <alignment horizontal="center" vertical="center"/>
      <protection locked="0"/>
    </xf>
    <xf numFmtId="2" fontId="8" fillId="20" borderId="32" xfId="1" applyNumberFormat="1" applyFont="1" applyFill="1" applyBorder="1" applyAlignment="1" applyProtection="1">
      <alignment horizontal="center" vertical="center" wrapText="1"/>
      <protection locked="0"/>
    </xf>
    <xf numFmtId="2" fontId="8" fillId="20" borderId="62" xfId="1" applyNumberFormat="1" applyFont="1" applyFill="1" applyBorder="1" applyAlignment="1" applyProtection="1">
      <alignment horizontal="center" vertical="center" wrapText="1"/>
      <protection locked="0"/>
    </xf>
    <xf numFmtId="2" fontId="8" fillId="20" borderId="184" xfId="1" applyNumberFormat="1" applyFont="1" applyFill="1" applyBorder="1" applyAlignment="1" applyProtection="1">
      <alignment horizontal="center" vertical="center" wrapText="1"/>
      <protection locked="0"/>
    </xf>
    <xf numFmtId="2" fontId="8" fillId="20" borderId="186" xfId="1" applyNumberFormat="1" applyFont="1" applyFill="1" applyBorder="1" applyAlignment="1" applyProtection="1">
      <alignment horizontal="center" vertical="center" wrapText="1"/>
      <protection locked="0"/>
    </xf>
    <xf numFmtId="0" fontId="8" fillId="20" borderId="183" xfId="1" applyFont="1" applyFill="1" applyBorder="1" applyAlignment="1" applyProtection="1">
      <alignment horizontal="center" vertical="center" wrapText="1"/>
      <protection locked="0"/>
    </xf>
    <xf numFmtId="0" fontId="8" fillId="20" borderId="187" xfId="1" applyFont="1" applyFill="1" applyBorder="1" applyAlignment="1" applyProtection="1">
      <alignment horizontal="center" vertical="center" wrapText="1"/>
      <protection locked="0"/>
    </xf>
    <xf numFmtId="0" fontId="29" fillId="6" borderId="157" xfId="1" applyFont="1" applyFill="1" applyBorder="1" applyAlignment="1" applyProtection="1">
      <alignment horizontal="left" vertical="center" wrapText="1" indent="1" readingOrder="1"/>
      <protection locked="0"/>
    </xf>
    <xf numFmtId="0" fontId="29" fillId="6" borderId="158" xfId="1" applyFont="1" applyFill="1" applyBorder="1" applyAlignment="1" applyProtection="1">
      <alignment horizontal="left" vertical="center" wrapText="1" indent="1" readingOrder="1"/>
      <protection locked="0"/>
    </xf>
    <xf numFmtId="2" fontId="29" fillId="0" borderId="29" xfId="1" applyNumberFormat="1" applyFont="1" applyBorder="1" applyAlignment="1" applyProtection="1">
      <alignment horizontal="center" vertical="center" wrapText="1"/>
      <protection locked="0"/>
    </xf>
    <xf numFmtId="2" fontId="29" fillId="0" borderId="7" xfId="1" applyNumberFormat="1" applyFont="1" applyBorder="1" applyAlignment="1" applyProtection="1">
      <alignment horizontal="center" vertical="center" wrapText="1"/>
      <protection locked="0"/>
    </xf>
    <xf numFmtId="0" fontId="29" fillId="0" borderId="29" xfId="1" applyFont="1" applyBorder="1" applyAlignment="1" applyProtection="1">
      <alignment horizontal="center" vertical="center"/>
      <protection locked="0"/>
    </xf>
    <xf numFmtId="0" fontId="29" fillId="0" borderId="7" xfId="1" applyFont="1" applyBorder="1" applyAlignment="1" applyProtection="1">
      <alignment horizontal="center" vertical="center"/>
      <protection locked="0"/>
    </xf>
    <xf numFmtId="0" fontId="29" fillId="6" borderId="39" xfId="1" applyFont="1" applyFill="1" applyBorder="1" applyAlignment="1" applyProtection="1">
      <alignment horizontal="left" vertical="center" wrapText="1" indent="1" readingOrder="1"/>
      <protection locked="0"/>
    </xf>
    <xf numFmtId="0" fontId="29" fillId="6" borderId="51" xfId="1" applyFont="1" applyFill="1" applyBorder="1" applyAlignment="1" applyProtection="1">
      <alignment horizontal="left" vertical="center" wrapText="1" indent="1" readingOrder="1"/>
      <protection locked="0"/>
    </xf>
    <xf numFmtId="0" fontId="29" fillId="0" borderId="132" xfId="1" applyFont="1" applyBorder="1" applyAlignment="1" applyProtection="1">
      <alignment horizontal="center" vertical="center"/>
      <protection locked="0"/>
    </xf>
    <xf numFmtId="0" fontId="29" fillId="0" borderId="138" xfId="1" applyFont="1" applyBorder="1" applyAlignment="1" applyProtection="1">
      <alignment horizontal="center" vertical="center"/>
      <protection locked="0"/>
    </xf>
    <xf numFmtId="0" fontId="29" fillId="0" borderId="104" xfId="1" applyFont="1" applyBorder="1" applyAlignment="1" applyProtection="1">
      <alignment horizontal="center" vertical="center"/>
      <protection locked="0"/>
    </xf>
    <xf numFmtId="0" fontId="29" fillId="6" borderId="38" xfId="1" applyFont="1" applyFill="1" applyBorder="1" applyAlignment="1" applyProtection="1">
      <alignment horizontal="left" vertical="center" wrapText="1" indent="1" readingOrder="1"/>
      <protection locked="0"/>
    </xf>
    <xf numFmtId="0" fontId="29" fillId="6" borderId="50" xfId="1" applyFont="1" applyFill="1" applyBorder="1" applyAlignment="1" applyProtection="1">
      <alignment horizontal="left" vertical="center" wrapText="1" indent="1" readingOrder="1"/>
      <protection locked="0"/>
    </xf>
    <xf numFmtId="0" fontId="29" fillId="0" borderId="84" xfId="1" applyFont="1" applyBorder="1" applyAlignment="1" applyProtection="1">
      <alignment horizontal="center" vertical="center" wrapText="1"/>
      <protection locked="0"/>
    </xf>
    <xf numFmtId="0" fontId="29" fillId="0" borderId="49" xfId="1" applyFont="1" applyBorder="1" applyAlignment="1" applyProtection="1">
      <alignment horizontal="center" vertical="center" wrapText="1"/>
      <protection locked="0"/>
    </xf>
    <xf numFmtId="0" fontId="29" fillId="0" borderId="132"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wrapText="1"/>
      <protection locked="0"/>
    </xf>
    <xf numFmtId="0" fontId="29" fillId="0" borderId="20" xfId="1" applyFont="1" applyBorder="1" applyAlignment="1" applyProtection="1">
      <alignment horizontal="center" vertical="center"/>
      <protection locked="0"/>
    </xf>
    <xf numFmtId="0" fontId="29" fillId="0" borderId="126"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42" fillId="0" borderId="135" xfId="1" applyFont="1" applyBorder="1" applyAlignment="1" applyProtection="1">
      <alignment horizontal="center" vertical="center"/>
      <protection locked="0"/>
    </xf>
    <xf numFmtId="0" fontId="42" fillId="0" borderId="64" xfId="1" applyFont="1" applyBorder="1" applyAlignment="1" applyProtection="1">
      <alignment horizontal="center" vertical="center"/>
      <protection locked="0"/>
    </xf>
    <xf numFmtId="0" fontId="42" fillId="0" borderId="127" xfId="1" applyFont="1" applyBorder="1" applyAlignment="1" applyProtection="1">
      <alignment horizontal="center" vertical="center"/>
      <protection locked="0"/>
    </xf>
    <xf numFmtId="0" fontId="42" fillId="0" borderId="131" xfId="1" applyFont="1" applyBorder="1" applyAlignment="1" applyProtection="1">
      <alignment horizontal="center" vertical="center"/>
      <protection locked="0"/>
    </xf>
    <xf numFmtId="0" fontId="42" fillId="0" borderId="134" xfId="1" applyFont="1" applyBorder="1" applyAlignment="1" applyProtection="1">
      <alignment horizontal="center" vertical="center"/>
      <protection locked="0"/>
    </xf>
    <xf numFmtId="0" fontId="42" fillId="0" borderId="103" xfId="1" applyFont="1" applyBorder="1" applyAlignment="1" applyProtection="1">
      <alignment horizontal="center" vertical="center"/>
      <protection locked="0"/>
    </xf>
    <xf numFmtId="0" fontId="29" fillId="0" borderId="29" xfId="1" applyFont="1" applyFill="1" applyBorder="1" applyAlignment="1" applyProtection="1">
      <alignment horizontal="center" vertical="center"/>
      <protection locked="0"/>
    </xf>
    <xf numFmtId="0" fontId="29" fillId="0" borderId="7" xfId="1" applyFont="1" applyFill="1" applyBorder="1" applyAlignment="1" applyProtection="1">
      <alignment horizontal="center" vertical="center"/>
      <protection locked="0"/>
    </xf>
    <xf numFmtId="0" fontId="29" fillId="0" borderId="0" xfId="1" applyFont="1" applyFill="1" applyAlignment="1">
      <alignment horizontal="left" vertical="center" wrapText="1"/>
    </xf>
    <xf numFmtId="0" fontId="29" fillId="0" borderId="116" xfId="1" applyFont="1" applyBorder="1" applyAlignment="1" applyProtection="1">
      <alignment horizontal="center" vertical="center" wrapText="1"/>
      <protection locked="0"/>
    </xf>
    <xf numFmtId="0" fontId="29" fillId="0" borderId="53" xfId="1" applyFont="1" applyBorder="1" applyAlignment="1" applyProtection="1">
      <alignment horizontal="center" vertical="center" wrapText="1"/>
      <protection locked="0"/>
    </xf>
    <xf numFmtId="0" fontId="29" fillId="0" borderId="21" xfId="1" applyFont="1" applyBorder="1" applyAlignment="1" applyProtection="1">
      <alignment horizontal="center" vertical="center" wrapText="1"/>
      <protection locked="0"/>
    </xf>
    <xf numFmtId="0" fontId="6" fillId="0" borderId="133" xfId="1" applyFont="1" applyFill="1" applyBorder="1" applyAlignment="1" applyProtection="1">
      <alignment horizontal="center" vertical="center" wrapText="1"/>
      <protection locked="0"/>
    </xf>
    <xf numFmtId="0" fontId="6" fillId="0" borderId="52" xfId="1" applyFont="1" applyFill="1" applyBorder="1" applyAlignment="1" applyProtection="1">
      <alignment horizontal="center" vertical="center" wrapText="1"/>
      <protection locked="0"/>
    </xf>
    <xf numFmtId="0" fontId="29" fillId="0" borderId="133"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protection locked="0"/>
    </xf>
    <xf numFmtId="0" fontId="29" fillId="0" borderId="38" xfId="1" applyFont="1" applyBorder="1" applyAlignment="1" applyProtection="1">
      <alignment horizontal="center" vertical="center" wrapText="1"/>
      <protection locked="0"/>
    </xf>
    <xf numFmtId="0" fontId="29" fillId="0" borderId="45" xfId="1" applyFont="1" applyBorder="1" applyAlignment="1" applyProtection="1">
      <alignment horizontal="center" vertical="center" wrapText="1"/>
      <protection locked="0"/>
    </xf>
    <xf numFmtId="0" fontId="29" fillId="0" borderId="10" xfId="1" applyFont="1" applyBorder="1" applyAlignment="1" applyProtection="1">
      <alignment horizontal="center" vertical="center"/>
      <protection locked="0"/>
    </xf>
    <xf numFmtId="0" fontId="6" fillId="0" borderId="137" xfId="1" applyFont="1" applyFill="1" applyBorder="1" applyAlignment="1" applyProtection="1">
      <alignment horizontal="center" vertical="center" wrapText="1"/>
      <protection locked="0"/>
    </xf>
    <xf numFmtId="0" fontId="6" fillId="0" borderId="33" xfId="1" applyFont="1" applyFill="1" applyBorder="1" applyAlignment="1" applyProtection="1">
      <alignment horizontal="center" vertical="center" wrapText="1"/>
      <protection locked="0"/>
    </xf>
    <xf numFmtId="0" fontId="6" fillId="0" borderId="84" xfId="1" applyFont="1" applyFill="1" applyBorder="1" applyAlignment="1" applyProtection="1">
      <alignment horizontal="center" vertical="center" wrapText="1"/>
      <protection locked="0"/>
    </xf>
    <xf numFmtId="0" fontId="6" fillId="0" borderId="49" xfId="1" applyFont="1" applyFill="1" applyBorder="1" applyAlignment="1" applyProtection="1">
      <alignment horizontal="center" vertical="center" wrapText="1"/>
      <protection locked="0"/>
    </xf>
    <xf numFmtId="0" fontId="6" fillId="0" borderId="116" xfId="1" applyFont="1" applyBorder="1" applyAlignment="1" applyProtection="1">
      <alignment horizontal="center" vertical="center" wrapText="1"/>
      <protection locked="0"/>
    </xf>
    <xf numFmtId="0" fontId="6" fillId="0" borderId="53"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133" xfId="1" applyFont="1" applyBorder="1" applyAlignment="1" applyProtection="1">
      <alignment horizontal="center" vertical="center" wrapText="1"/>
      <protection locked="0"/>
    </xf>
    <xf numFmtId="0" fontId="6" fillId="0" borderId="138" xfId="1" applyFont="1" applyBorder="1" applyAlignment="1" applyProtection="1">
      <alignment horizontal="center" vertical="center"/>
      <protection locked="0"/>
    </xf>
    <xf numFmtId="0" fontId="6" fillId="0" borderId="52" xfId="1" applyFont="1" applyBorder="1" applyAlignment="1" applyProtection="1">
      <alignment horizontal="center" vertical="center"/>
      <protection locked="0"/>
    </xf>
    <xf numFmtId="0" fontId="6" fillId="0" borderId="38"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wrapText="1"/>
      <protection locked="0"/>
    </xf>
    <xf numFmtId="0" fontId="6" fillId="0" borderId="9" xfId="1" applyFont="1" applyBorder="1" applyAlignment="1" applyProtection="1">
      <alignment horizontal="center" vertical="center" wrapText="1"/>
      <protection locked="0"/>
    </xf>
    <xf numFmtId="0" fontId="6" fillId="0" borderId="117" xfId="1" applyFont="1" applyBorder="1" applyAlignment="1">
      <alignment horizontal="center" vertical="center"/>
    </xf>
    <xf numFmtId="0" fontId="6" fillId="0" borderId="137" xfId="1" applyFont="1" applyBorder="1" applyAlignment="1">
      <alignment horizontal="center" vertical="center"/>
    </xf>
    <xf numFmtId="0" fontId="6" fillId="0" borderId="65" xfId="1" applyFont="1" applyBorder="1" applyAlignment="1">
      <alignment horizontal="center" vertical="center"/>
    </xf>
    <xf numFmtId="0" fontId="6" fillId="0" borderId="45" xfId="1" applyFont="1" applyBorder="1" applyAlignment="1" applyProtection="1">
      <alignment horizontal="center" vertical="center"/>
      <protection locked="0"/>
    </xf>
    <xf numFmtId="0" fontId="6" fillId="0" borderId="50" xfId="1" applyFont="1" applyBorder="1" applyAlignment="1" applyProtection="1">
      <alignment horizontal="center" vertical="center"/>
      <protection locked="0"/>
    </xf>
    <xf numFmtId="0" fontId="8" fillId="5" borderId="117" xfId="1" applyFont="1" applyFill="1" applyBorder="1" applyAlignment="1">
      <alignment horizontal="center" vertical="center"/>
    </xf>
    <xf numFmtId="0" fontId="8" fillId="5" borderId="137" xfId="1" applyFont="1" applyFill="1" applyBorder="1" applyAlignment="1">
      <alignment horizontal="center" vertical="center"/>
    </xf>
    <xf numFmtId="0" fontId="8" fillId="5" borderId="65" xfId="1" applyFont="1" applyFill="1" applyBorder="1" applyAlignment="1">
      <alignment horizontal="center" vertical="center"/>
    </xf>
    <xf numFmtId="0" fontId="30" fillId="5" borderId="116" xfId="1" applyFont="1" applyFill="1" applyBorder="1" applyAlignment="1" applyProtection="1">
      <alignment horizontal="center" vertical="center" wrapText="1"/>
      <protection locked="0"/>
    </xf>
    <xf numFmtId="0" fontId="30" fillId="5" borderId="53" xfId="1" applyFont="1" applyFill="1" applyBorder="1" applyAlignment="1" applyProtection="1">
      <alignment horizontal="center" vertical="center" wrapText="1"/>
      <protection locked="0"/>
    </xf>
    <xf numFmtId="0" fontId="30" fillId="5" borderId="21" xfId="1" applyFont="1" applyFill="1" applyBorder="1" applyAlignment="1" applyProtection="1">
      <alignment horizontal="center" vertical="center" wrapText="1"/>
      <protection locked="0"/>
    </xf>
    <xf numFmtId="0" fontId="8" fillId="5" borderId="133" xfId="1" applyFont="1" applyFill="1" applyBorder="1" applyAlignment="1" applyProtection="1">
      <alignment horizontal="center" vertical="center" wrapText="1"/>
      <protection locked="0"/>
    </xf>
    <xf numFmtId="0" fontId="8" fillId="5" borderId="52" xfId="1" applyFont="1" applyFill="1" applyBorder="1" applyAlignment="1" applyProtection="1">
      <alignment horizontal="center" vertical="center" wrapText="1"/>
      <protection locked="0"/>
    </xf>
    <xf numFmtId="0" fontId="30" fillId="5" borderId="133" xfId="1" applyFont="1" applyFill="1" applyBorder="1" applyAlignment="1" applyProtection="1">
      <alignment horizontal="center" vertical="center" wrapText="1"/>
      <protection locked="0"/>
    </xf>
    <xf numFmtId="0" fontId="30" fillId="5" borderId="138" xfId="1" applyFont="1" applyFill="1" applyBorder="1" applyAlignment="1" applyProtection="1">
      <alignment horizontal="center" vertical="center"/>
      <protection locked="0"/>
    </xf>
    <xf numFmtId="0" fontId="30" fillId="5" borderId="52" xfId="1" applyFont="1" applyFill="1" applyBorder="1" applyAlignment="1" applyProtection="1">
      <alignment horizontal="center" vertical="center"/>
      <protection locked="0"/>
    </xf>
    <xf numFmtId="0" fontId="8" fillId="5" borderId="137" xfId="1" applyFont="1" applyFill="1" applyBorder="1" applyAlignment="1" applyProtection="1">
      <alignment horizontal="center" vertical="center" wrapText="1"/>
      <protection locked="0"/>
    </xf>
    <xf numFmtId="0" fontId="8" fillId="5" borderId="33" xfId="1" applyFont="1" applyFill="1" applyBorder="1" applyAlignment="1" applyProtection="1">
      <alignment horizontal="center" vertical="center" wrapText="1"/>
      <protection locked="0"/>
    </xf>
    <xf numFmtId="0" fontId="8" fillId="5" borderId="84" xfId="1" applyFont="1" applyFill="1" applyBorder="1" applyAlignment="1" applyProtection="1">
      <alignment horizontal="center" vertical="center" wrapText="1"/>
      <protection locked="0"/>
    </xf>
    <xf numFmtId="0" fontId="8" fillId="5" borderId="49" xfId="1" applyFont="1" applyFill="1" applyBorder="1" applyAlignment="1" applyProtection="1">
      <alignment horizontal="center" vertical="center" wrapText="1"/>
      <protection locked="0"/>
    </xf>
    <xf numFmtId="0" fontId="30" fillId="5" borderId="38" xfId="1" applyFont="1" applyFill="1" applyBorder="1" applyAlignment="1" applyProtection="1">
      <alignment horizontal="center" vertical="center" wrapText="1"/>
      <protection locked="0"/>
    </xf>
    <xf numFmtId="0" fontId="30" fillId="5" borderId="45" xfId="1" applyFont="1" applyFill="1" applyBorder="1" applyAlignment="1" applyProtection="1">
      <alignment horizontal="center" vertical="center" wrapText="1"/>
      <protection locked="0"/>
    </xf>
    <xf numFmtId="0" fontId="30" fillId="5" borderId="10" xfId="1" applyFont="1" applyFill="1" applyBorder="1" applyAlignment="1" applyProtection="1">
      <alignment horizontal="center" vertical="center"/>
      <protection locked="0"/>
    </xf>
    <xf numFmtId="0" fontId="1" fillId="2" borderId="117" xfId="1" applyFont="1" applyFill="1" applyBorder="1" applyAlignment="1">
      <alignment horizontal="center" vertical="center" wrapText="1"/>
    </xf>
    <xf numFmtId="0" fontId="1" fillId="2" borderId="137" xfId="1" applyFont="1" applyFill="1" applyBorder="1" applyAlignment="1">
      <alignment horizontal="center" vertical="center" wrapText="1"/>
    </xf>
    <xf numFmtId="0" fontId="1" fillId="2" borderId="65" xfId="1" applyFont="1" applyFill="1" applyBorder="1" applyAlignment="1">
      <alignment horizontal="center" vertical="center" wrapText="1"/>
    </xf>
    <xf numFmtId="0" fontId="1" fillId="0" borderId="16" xfId="1" applyFont="1" applyFill="1" applyBorder="1" applyAlignment="1">
      <alignment horizontal="center" vertical="center" wrapText="1"/>
    </xf>
    <xf numFmtId="0" fontId="1" fillId="0" borderId="132"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27"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83" xfId="1" applyFont="1" applyFill="1" applyBorder="1" applyAlignment="1">
      <alignment horizontal="center" vertical="center" wrapText="1"/>
    </xf>
    <xf numFmtId="0" fontId="78" fillId="0" borderId="16" xfId="1" applyFont="1" applyFill="1" applyBorder="1" applyAlignment="1">
      <alignment horizontal="center" vertical="center"/>
    </xf>
    <xf numFmtId="0" fontId="88" fillId="0" borderId="0" xfId="1" quotePrefix="1" applyFont="1" applyBorder="1" applyAlignment="1">
      <alignment horizontal="left" vertical="center" wrapText="1"/>
    </xf>
    <xf numFmtId="0" fontId="88" fillId="0" borderId="0" xfId="0" applyFont="1" applyAlignment="1">
      <alignment vertical="center" wrapText="1"/>
    </xf>
    <xf numFmtId="0" fontId="89" fillId="0" borderId="0" xfId="0" applyFont="1" applyAlignment="1">
      <alignment wrapText="1"/>
    </xf>
    <xf numFmtId="0" fontId="8" fillId="20" borderId="117" xfId="1" applyFont="1" applyFill="1" applyBorder="1" applyAlignment="1">
      <alignment horizontal="center" vertical="center" wrapText="1"/>
    </xf>
    <xf numFmtId="0" fontId="8" fillId="20" borderId="137" xfId="1" applyFont="1" applyFill="1" applyBorder="1" applyAlignment="1">
      <alignment horizontal="center" vertical="center" wrapText="1"/>
    </xf>
    <xf numFmtId="0" fontId="8" fillId="20" borderId="33" xfId="1" applyFont="1" applyFill="1" applyBorder="1" applyAlignment="1">
      <alignment horizontal="center" vertical="center" wrapText="1"/>
    </xf>
    <xf numFmtId="0" fontId="8" fillId="20" borderId="16" xfId="1" applyFont="1" applyFill="1" applyBorder="1" applyAlignment="1">
      <alignment horizontal="center" vertical="center" wrapText="1"/>
    </xf>
    <xf numFmtId="0" fontId="8" fillId="20" borderId="10" xfId="1" applyFont="1" applyFill="1" applyBorder="1" applyAlignment="1">
      <alignment horizontal="center" vertical="center" wrapText="1"/>
    </xf>
    <xf numFmtId="0" fontId="8" fillId="20" borderId="245" xfId="1" applyFont="1" applyFill="1" applyBorder="1" applyAlignment="1">
      <alignment horizontal="center" vertical="center" wrapText="1"/>
    </xf>
    <xf numFmtId="0" fontId="8" fillId="20" borderId="63" xfId="1" applyFont="1" applyFill="1" applyBorder="1" applyAlignment="1">
      <alignment horizontal="center" vertical="center" wrapText="1"/>
    </xf>
    <xf numFmtId="0" fontId="8" fillId="20" borderId="43" xfId="1" applyFont="1" applyFill="1" applyBorder="1" applyAlignment="1">
      <alignment horizontal="center" vertical="center" wrapText="1"/>
    </xf>
    <xf numFmtId="0" fontId="8" fillId="20" borderId="132" xfId="1" applyFont="1" applyFill="1" applyBorder="1" applyAlignment="1">
      <alignment horizontal="center" vertical="center"/>
    </xf>
    <xf numFmtId="0" fontId="8" fillId="20" borderId="104" xfId="1" applyFont="1" applyFill="1" applyBorder="1" applyAlignment="1">
      <alignment horizontal="center" vertical="center"/>
    </xf>
    <xf numFmtId="0" fontId="8" fillId="0" borderId="20" xfId="1" applyFont="1" applyBorder="1" applyAlignment="1" applyProtection="1">
      <alignment horizontal="center" vertical="center" wrapText="1"/>
      <protection locked="0"/>
    </xf>
    <xf numFmtId="0" fontId="8" fillId="0" borderId="126" xfId="1" applyFont="1" applyBorder="1" applyAlignment="1" applyProtection="1">
      <alignment horizontal="center" vertical="center" wrapText="1"/>
      <protection locked="0"/>
    </xf>
    <xf numFmtId="0" fontId="8" fillId="0" borderId="5" xfId="1" applyFont="1" applyBorder="1" applyAlignment="1" applyProtection="1">
      <alignment horizontal="center" vertical="center" wrapText="1"/>
      <protection locked="0"/>
    </xf>
    <xf numFmtId="0" fontId="8" fillId="20" borderId="29" xfId="1" applyFont="1" applyFill="1" applyBorder="1" applyAlignment="1">
      <alignment horizontal="center" vertical="center" wrapText="1"/>
    </xf>
    <xf numFmtId="0" fontId="87" fillId="2" borderId="117" xfId="1" applyFont="1" applyFill="1" applyBorder="1" applyAlignment="1">
      <alignment horizontal="center" vertical="center" wrapText="1"/>
    </xf>
    <xf numFmtId="0" fontId="87" fillId="2" borderId="137" xfId="1" applyFont="1" applyFill="1" applyBorder="1" applyAlignment="1">
      <alignment horizontal="center" vertical="center" wrapText="1"/>
    </xf>
    <xf numFmtId="0" fontId="87" fillId="2" borderId="65" xfId="1" applyFont="1" applyFill="1" applyBorder="1" applyAlignment="1">
      <alignment horizontal="center" vertical="center" wrapText="1"/>
    </xf>
    <xf numFmtId="0" fontId="87" fillId="0" borderId="16" xfId="1" applyFont="1" applyFill="1" applyBorder="1" applyAlignment="1">
      <alignment horizontal="center" vertical="center" wrapText="1"/>
    </xf>
    <xf numFmtId="0" fontId="87" fillId="0" borderId="132" xfId="1" applyFont="1" applyFill="1" applyBorder="1" applyAlignment="1">
      <alignment horizontal="center" vertical="center" wrapText="1"/>
    </xf>
    <xf numFmtId="0" fontId="87" fillId="0" borderId="10" xfId="1" applyFont="1" applyFill="1" applyBorder="1" applyAlignment="1">
      <alignment horizontal="center" vertical="center" wrapText="1"/>
    </xf>
    <xf numFmtId="0" fontId="87" fillId="0" borderId="27" xfId="1" applyFont="1" applyFill="1" applyBorder="1" applyAlignment="1">
      <alignment horizontal="center" vertical="center" wrapText="1"/>
    </xf>
    <xf numFmtId="0" fontId="87" fillId="0" borderId="13" xfId="1" applyFont="1" applyFill="1" applyBorder="1" applyAlignment="1">
      <alignment horizontal="center" vertical="center" wrapText="1"/>
    </xf>
    <xf numFmtId="0" fontId="87" fillId="0" borderId="83" xfId="1" applyFont="1" applyFill="1" applyBorder="1" applyAlignment="1">
      <alignment horizontal="center" vertical="center" wrapText="1"/>
    </xf>
    <xf numFmtId="0" fontId="88" fillId="0" borderId="16" xfId="1" applyFont="1" applyFill="1" applyBorder="1" applyAlignment="1">
      <alignment horizontal="center" vertical="center"/>
    </xf>
    <xf numFmtId="0" fontId="30" fillId="0" borderId="16" xfId="1" applyFont="1" applyFill="1" applyBorder="1" applyAlignment="1">
      <alignment horizontal="center" vertical="center" wrapText="1"/>
    </xf>
    <xf numFmtId="0" fontId="30" fillId="0" borderId="10" xfId="1" applyFont="1" applyFill="1" applyBorder="1" applyAlignment="1">
      <alignment horizontal="center" vertical="center" wrapText="1"/>
    </xf>
    <xf numFmtId="0" fontId="30" fillId="0" borderId="29" xfId="1" applyFont="1" applyFill="1" applyBorder="1" applyAlignment="1">
      <alignment horizontal="center" vertical="center" wrapText="1"/>
    </xf>
    <xf numFmtId="0" fontId="29" fillId="8" borderId="135" xfId="1" applyFont="1" applyFill="1" applyBorder="1" applyAlignment="1">
      <alignment horizontal="center" vertical="center" wrapText="1"/>
    </xf>
    <xf numFmtId="0" fontId="29" fillId="8" borderId="127" xfId="1" applyFont="1" applyFill="1" applyBorder="1" applyAlignment="1">
      <alignment horizontal="center" vertical="center" wrapText="1"/>
    </xf>
    <xf numFmtId="0" fontId="29" fillId="0" borderId="132" xfId="1" applyFont="1" applyFill="1" applyBorder="1" applyAlignment="1">
      <alignment horizontal="center" vertical="center"/>
    </xf>
    <xf numFmtId="0" fontId="29" fillId="0" borderId="104" xfId="1" applyFont="1" applyFill="1" applyBorder="1" applyAlignment="1">
      <alignment horizontal="center" vertical="center"/>
    </xf>
    <xf numFmtId="0" fontId="29" fillId="8" borderId="63" xfId="1" applyFont="1" applyFill="1" applyBorder="1" applyAlignment="1">
      <alignment horizontal="center" vertical="center" wrapText="1"/>
    </xf>
    <xf numFmtId="0" fontId="29" fillId="8" borderId="43" xfId="1" applyFont="1" applyFill="1" applyBorder="1" applyAlignment="1">
      <alignment horizontal="center" vertical="center" wrapText="1"/>
    </xf>
    <xf numFmtId="0" fontId="29" fillId="0" borderId="5" xfId="1" applyFont="1" applyBorder="1" applyAlignment="1" applyProtection="1">
      <alignment horizontal="center" vertical="center" wrapText="1"/>
      <protection locked="0"/>
    </xf>
    <xf numFmtId="0" fontId="78" fillId="0" borderId="0" xfId="1" quotePrefix="1" applyFont="1" applyBorder="1" applyAlignment="1">
      <alignment horizontal="left" vertical="center" wrapText="1"/>
    </xf>
    <xf numFmtId="0" fontId="140" fillId="0" borderId="0" xfId="0" applyFont="1" applyAlignment="1">
      <alignment wrapText="1"/>
    </xf>
    <xf numFmtId="0" fontId="8" fillId="20" borderId="2" xfId="1" applyFont="1" applyFill="1" applyBorder="1" applyAlignment="1" applyProtection="1">
      <alignment horizontal="left" vertical="center" indent="1"/>
      <protection locked="0"/>
    </xf>
    <xf numFmtId="0" fontId="8" fillId="20" borderId="26" xfId="1" applyFont="1" applyFill="1" applyBorder="1" applyAlignment="1" applyProtection="1">
      <alignment horizontal="left" vertical="center" indent="1"/>
      <protection locked="0"/>
    </xf>
    <xf numFmtId="0" fontId="29" fillId="0" borderId="15"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18" xfId="1" applyFont="1" applyBorder="1" applyAlignment="1" applyProtection="1">
      <alignment horizontal="left" vertical="center" indent="1"/>
      <protection locked="0"/>
    </xf>
    <xf numFmtId="0" fontId="29" fillId="0" borderId="2" xfId="1" applyFont="1" applyBorder="1" applyAlignment="1" applyProtection="1">
      <alignment horizontal="left" vertical="center"/>
      <protection locked="0"/>
    </xf>
    <xf numFmtId="0" fontId="29" fillId="0" borderId="26" xfId="1" applyFont="1" applyBorder="1" applyAlignment="1" applyProtection="1">
      <alignment horizontal="left" vertical="center"/>
      <protection locked="0"/>
    </xf>
    <xf numFmtId="0" fontId="29" fillId="0" borderId="2" xfId="1" applyFont="1" applyBorder="1" applyAlignment="1" applyProtection="1">
      <alignment horizontal="left" vertical="center" indent="1"/>
      <protection locked="0"/>
    </xf>
    <xf numFmtId="0" fontId="29" fillId="0" borderId="26" xfId="1" applyFont="1" applyBorder="1" applyAlignment="1" applyProtection="1">
      <alignment horizontal="left" vertical="center" indent="1"/>
      <protection locked="0"/>
    </xf>
    <xf numFmtId="0" fontId="8" fillId="20" borderId="2" xfId="1" applyFont="1" applyFill="1" applyBorder="1" applyAlignment="1" applyProtection="1">
      <alignment horizontal="left" vertical="center"/>
      <protection locked="0"/>
    </xf>
    <xf numFmtId="0" fontId="8" fillId="20" borderId="26" xfId="1" applyFont="1" applyFill="1" applyBorder="1" applyAlignment="1" applyProtection="1">
      <alignment horizontal="left" vertical="center"/>
      <protection locked="0"/>
    </xf>
    <xf numFmtId="0" fontId="8" fillId="0" borderId="15" xfId="1" applyFont="1" applyBorder="1" applyAlignment="1" applyProtection="1">
      <alignment horizontal="left" vertical="center" indent="1"/>
      <protection locked="0"/>
    </xf>
    <xf numFmtId="0" fontId="8" fillId="0" borderId="30" xfId="1" applyFont="1" applyBorder="1" applyAlignment="1" applyProtection="1">
      <alignment horizontal="left" vertical="center" indent="1"/>
      <protection locked="0"/>
    </xf>
    <xf numFmtId="0" fontId="8" fillId="0" borderId="18" xfId="1" applyFont="1" applyBorder="1" applyAlignment="1" applyProtection="1">
      <alignment horizontal="left" vertical="center" indent="1"/>
      <protection locked="0"/>
    </xf>
    <xf numFmtId="0" fontId="8" fillId="20" borderId="23" xfId="1" applyFont="1" applyFill="1" applyBorder="1" applyAlignment="1" applyProtection="1">
      <alignment horizontal="left" vertical="center" indent="1"/>
      <protection locked="0"/>
    </xf>
    <xf numFmtId="0" fontId="29" fillId="0" borderId="133"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49" xfId="1" applyFont="1" applyBorder="1" applyAlignment="1" applyProtection="1">
      <alignment horizontal="left" vertical="center" indent="1"/>
      <protection locked="0"/>
    </xf>
    <xf numFmtId="0" fontId="29" fillId="0" borderId="126" xfId="1" applyFont="1" applyBorder="1" applyAlignment="1" applyProtection="1">
      <alignment horizontal="left" vertical="center" indent="1"/>
      <protection locked="0"/>
    </xf>
    <xf numFmtId="0" fontId="29" fillId="0" borderId="36" xfId="1" applyFont="1" applyBorder="1" applyAlignment="1" applyProtection="1">
      <alignment horizontal="left" vertical="center" indent="1"/>
      <protection locked="0"/>
    </xf>
    <xf numFmtId="0" fontId="29" fillId="0" borderId="23" xfId="1" applyFont="1" applyBorder="1" applyAlignment="1" applyProtection="1">
      <alignment horizontal="left" vertical="center" indent="1"/>
      <protection locked="0"/>
    </xf>
    <xf numFmtId="0" fontId="8" fillId="0" borderId="133" xfId="1" applyFont="1" applyBorder="1" applyAlignment="1" applyProtection="1">
      <alignment horizontal="left" vertical="center" indent="1"/>
      <protection locked="0"/>
    </xf>
    <xf numFmtId="0" fontId="8" fillId="0" borderId="38" xfId="1" applyFont="1" applyBorder="1" applyAlignment="1" applyProtection="1">
      <alignment horizontal="left" vertical="center" indent="1"/>
      <protection locked="0"/>
    </xf>
    <xf numFmtId="0" fontId="8" fillId="0" borderId="149" xfId="1" applyFont="1" applyBorder="1" applyAlignment="1" applyProtection="1">
      <alignment horizontal="left" vertical="center" indent="1"/>
      <protection locked="0"/>
    </xf>
    <xf numFmtId="0" fontId="8" fillId="0" borderId="126" xfId="1" applyFont="1" applyBorder="1" applyAlignment="1" applyProtection="1">
      <alignment horizontal="left" vertical="center" indent="1"/>
      <protection locked="0"/>
    </xf>
    <xf numFmtId="0" fontId="8" fillId="0" borderId="36" xfId="1" applyFont="1" applyBorder="1" applyAlignment="1" applyProtection="1">
      <alignment horizontal="left" vertical="center" indent="1"/>
      <protection locked="0"/>
    </xf>
    <xf numFmtId="0" fontId="74" fillId="0" borderId="0" xfId="1" quotePrefix="1" applyFont="1" applyAlignment="1">
      <alignment horizontal="left" vertical="center" wrapText="1"/>
    </xf>
    <xf numFmtId="0" fontId="13" fillId="20" borderId="2" xfId="1" applyFont="1" applyFill="1" applyBorder="1" applyAlignment="1" applyProtection="1">
      <alignment horizontal="left" vertical="center" wrapText="1" indent="1"/>
      <protection locked="0"/>
    </xf>
    <xf numFmtId="0" fontId="13" fillId="20" borderId="26" xfId="1" applyFont="1" applyFill="1" applyBorder="1" applyAlignment="1" applyProtection="1">
      <alignment horizontal="left" vertical="center" wrapText="1" indent="1"/>
      <protection locked="0"/>
    </xf>
    <xf numFmtId="0" fontId="29" fillId="0" borderId="117" xfId="1" applyFont="1" applyFill="1" applyBorder="1" applyAlignment="1" applyProtection="1">
      <alignment horizontal="left" vertical="center" indent="1"/>
      <protection locked="0"/>
    </xf>
    <xf numFmtId="0" fontId="29" fillId="0" borderId="137" xfId="1" applyFont="1" applyFill="1" applyBorder="1" applyAlignment="1" applyProtection="1">
      <alignment horizontal="left" vertical="center" indent="1"/>
      <protection locked="0"/>
    </xf>
    <xf numFmtId="0" fontId="29" fillId="0" borderId="137" xfId="1" applyFont="1" applyBorder="1" applyAlignment="1">
      <alignment horizontal="left" vertical="center" indent="1"/>
    </xf>
    <xf numFmtId="0" fontId="29" fillId="0" borderId="65" xfId="1" applyFont="1" applyBorder="1" applyAlignment="1">
      <alignment horizontal="left" vertical="center" indent="1"/>
    </xf>
    <xf numFmtId="0" fontId="37" fillId="0" borderId="2" xfId="1" applyFont="1" applyBorder="1" applyAlignment="1" applyProtection="1">
      <alignment horizontal="left" vertical="center" wrapText="1" indent="1"/>
      <protection locked="0"/>
    </xf>
    <xf numFmtId="0" fontId="37" fillId="0" borderId="26" xfId="1" applyFont="1" applyBorder="1" applyAlignment="1" applyProtection="1">
      <alignment horizontal="left" vertical="center" wrapText="1" indent="1"/>
      <protection locked="0"/>
    </xf>
    <xf numFmtId="0" fontId="8" fillId="0" borderId="117" xfId="1" applyFont="1" applyFill="1" applyBorder="1" applyAlignment="1" applyProtection="1">
      <alignment horizontal="left" vertical="center" indent="1"/>
      <protection locked="0"/>
    </xf>
    <xf numFmtId="0" fontId="8" fillId="0" borderId="137" xfId="1" applyFont="1" applyFill="1" applyBorder="1" applyAlignment="1" applyProtection="1">
      <alignment horizontal="left" vertical="center" indent="1"/>
      <protection locked="0"/>
    </xf>
    <xf numFmtId="0" fontId="8" fillId="0" borderId="137" xfId="1" applyFont="1" applyBorder="1" applyAlignment="1">
      <alignment horizontal="left" vertical="center" indent="1"/>
    </xf>
    <xf numFmtId="0" fontId="8" fillId="0" borderId="65" xfId="1" applyFont="1" applyBorder="1" applyAlignment="1">
      <alignment horizontal="left" vertical="center" indent="1"/>
    </xf>
    <xf numFmtId="0" fontId="29" fillId="0" borderId="33" xfId="1" applyFont="1" applyBorder="1" applyAlignment="1" applyProtection="1">
      <alignment horizontal="left" vertical="center" indent="1"/>
      <protection locked="0"/>
    </xf>
    <xf numFmtId="0" fontId="8" fillId="0" borderId="33" xfId="1" applyFont="1" applyBorder="1" applyAlignment="1" applyProtection="1">
      <alignment horizontal="left" vertical="center" indent="1"/>
      <protection locked="0"/>
    </xf>
    <xf numFmtId="0" fontId="8" fillId="0" borderId="65" xfId="1" applyFont="1" applyFill="1" applyBorder="1" applyAlignment="1" applyProtection="1">
      <alignment horizontal="left" vertical="center" indent="1"/>
      <protection locked="0"/>
    </xf>
    <xf numFmtId="0" fontId="29" fillId="0" borderId="65" xfId="1" applyFont="1" applyFill="1" applyBorder="1" applyAlignment="1" applyProtection="1">
      <alignment horizontal="left" vertical="center" indent="1"/>
      <protection locked="0"/>
    </xf>
    <xf numFmtId="0" fontId="29" fillId="0" borderId="135" xfId="1" applyFont="1" applyBorder="1" applyAlignment="1" applyProtection="1">
      <alignment horizontal="left" vertical="center" indent="1"/>
      <protection locked="0"/>
    </xf>
    <xf numFmtId="0" fontId="29" fillId="0" borderId="127" xfId="1" applyFont="1" applyBorder="1" applyAlignment="1" applyProtection="1">
      <alignment horizontal="left" vertical="center" indent="1"/>
      <protection locked="0"/>
    </xf>
    <xf numFmtId="0" fontId="29" fillId="0" borderId="134" xfId="1" applyFont="1" applyBorder="1" applyAlignment="1" applyProtection="1">
      <alignment horizontal="left" vertical="center" indent="1"/>
      <protection locked="0"/>
    </xf>
    <xf numFmtId="0" fontId="8" fillId="0" borderId="135" xfId="1" applyFont="1" applyBorder="1" applyAlignment="1" applyProtection="1">
      <alignment horizontal="left" vertical="center" indent="1"/>
      <protection locked="0"/>
    </xf>
    <xf numFmtId="0" fontId="8" fillId="0" borderId="127" xfId="1" applyFont="1" applyBorder="1" applyAlignment="1" applyProtection="1">
      <alignment horizontal="left" vertical="center" indent="1"/>
      <protection locked="0"/>
    </xf>
    <xf numFmtId="0" fontId="8" fillId="0" borderId="134" xfId="1" applyFont="1" applyBorder="1" applyAlignment="1" applyProtection="1">
      <alignment horizontal="left" vertical="center" indent="1"/>
      <protection locked="0"/>
    </xf>
    <xf numFmtId="3" fontId="29" fillId="0" borderId="0" xfId="1" applyNumberFormat="1" applyFont="1" applyFill="1" applyAlignment="1" applyProtection="1">
      <alignment horizontal="left" vertical="center"/>
      <protection locked="0"/>
    </xf>
    <xf numFmtId="3" fontId="29" fillId="0" borderId="0" xfId="1" applyNumberFormat="1" applyFont="1" applyFill="1" applyAlignment="1" applyProtection="1">
      <alignment horizontal="right" vertical="center"/>
      <protection locked="0"/>
    </xf>
    <xf numFmtId="3" fontId="29" fillId="0" borderId="0" xfId="1" applyNumberFormat="1" applyFont="1" applyBorder="1" applyAlignment="1" applyProtection="1">
      <alignment vertical="center"/>
      <protection locked="0"/>
    </xf>
    <xf numFmtId="3" fontId="29" fillId="0" borderId="0" xfId="1" applyNumberFormat="1" applyFont="1" applyAlignment="1" applyProtection="1">
      <alignment vertical="center"/>
      <protection locked="0"/>
    </xf>
    <xf numFmtId="3" fontId="29" fillId="0" borderId="0" xfId="1" applyNumberFormat="1" applyFont="1" applyAlignment="1">
      <alignment horizontal="right" vertical="center"/>
    </xf>
    <xf numFmtId="3" fontId="29" fillId="0" borderId="0" xfId="1" applyNumberFormat="1" applyFont="1" applyFill="1" applyAlignment="1" applyProtection="1">
      <alignment vertical="center"/>
      <protection locked="0"/>
    </xf>
    <xf numFmtId="3" fontId="41" fillId="0" borderId="0" xfId="0" applyNumberFormat="1" applyFont="1" applyAlignment="1">
      <alignment horizontal="right" vertical="center"/>
    </xf>
    <xf numFmtId="3" fontId="30" fillId="0" borderId="117" xfId="1" applyNumberFormat="1" applyFont="1" applyFill="1" applyBorder="1" applyAlignment="1" applyProtection="1">
      <alignment horizontal="center" vertical="center" wrapText="1"/>
      <protection locked="0"/>
    </xf>
    <xf numFmtId="3" fontId="30" fillId="0" borderId="63" xfId="1" applyNumberFormat="1" applyFont="1" applyFill="1" applyBorder="1" applyAlignment="1" applyProtection="1">
      <alignment horizontal="center" vertical="center" wrapText="1"/>
      <protection locked="0"/>
    </xf>
    <xf numFmtId="3" fontId="30" fillId="0" borderId="116" xfId="1" applyNumberFormat="1" applyFont="1" applyFill="1" applyBorder="1" applyAlignment="1" applyProtection="1">
      <alignment horizontal="center" vertical="center" wrapText="1"/>
      <protection locked="0"/>
    </xf>
    <xf numFmtId="3" fontId="29" fillId="0" borderId="133" xfId="1" applyNumberFormat="1" applyFont="1" applyFill="1" applyBorder="1" applyAlignment="1" applyProtection="1">
      <alignment horizontal="center" vertical="center" wrapText="1"/>
      <protection locked="0"/>
    </xf>
    <xf numFmtId="3" fontId="29" fillId="0" borderId="138" xfId="1" applyNumberFormat="1" applyFont="1" applyFill="1" applyBorder="1" applyAlignment="1" applyProtection="1">
      <alignment horizontal="center" vertical="center" wrapText="1"/>
      <protection locked="0"/>
    </xf>
    <xf numFmtId="3" fontId="29" fillId="0" borderId="52" xfId="1" applyNumberFormat="1" applyFont="1" applyFill="1" applyBorder="1" applyAlignment="1" applyProtection="1">
      <alignment horizontal="center" vertical="center" wrapText="1"/>
      <protection locked="0"/>
    </xf>
    <xf numFmtId="3" fontId="29" fillId="0" borderId="133" xfId="1" applyNumberFormat="1" applyFont="1" applyFill="1" applyBorder="1" applyAlignment="1" applyProtection="1">
      <alignment horizontal="right" vertical="center" wrapText="1"/>
      <protection locked="0"/>
    </xf>
    <xf numFmtId="3" fontId="29" fillId="0" borderId="138" xfId="1" applyNumberFormat="1" applyFont="1" applyFill="1" applyBorder="1" applyAlignment="1" applyProtection="1">
      <alignment horizontal="right" vertical="center" wrapText="1"/>
      <protection locked="0"/>
    </xf>
    <xf numFmtId="3" fontId="29" fillId="0" borderId="52" xfId="1" applyNumberFormat="1" applyFont="1" applyFill="1" applyBorder="1" applyAlignment="1" applyProtection="1">
      <alignment horizontal="right" vertical="center" wrapText="1"/>
      <protection locked="0"/>
    </xf>
    <xf numFmtId="3" fontId="29" fillId="0" borderId="135" xfId="1" applyNumberFormat="1" applyFont="1" applyFill="1" applyBorder="1" applyAlignment="1" applyProtection="1">
      <alignment horizontal="center" vertical="center" wrapText="1"/>
      <protection locked="0"/>
    </xf>
    <xf numFmtId="3" fontId="29" fillId="0" borderId="148" xfId="1" applyNumberFormat="1" applyFont="1" applyFill="1" applyBorder="1" applyAlignment="1" applyProtection="1">
      <alignment horizontal="center" vertical="center" wrapText="1"/>
      <protection locked="0"/>
    </xf>
    <xf numFmtId="3" fontId="29" fillId="3" borderId="15" xfId="1" applyNumberFormat="1" applyFont="1" applyFill="1" applyBorder="1" applyAlignment="1" applyProtection="1">
      <alignment horizontal="center" vertical="center" wrapText="1"/>
      <protection locked="0"/>
    </xf>
    <xf numFmtId="3" fontId="29" fillId="3" borderId="40" xfId="1" applyNumberFormat="1" applyFont="1" applyFill="1" applyBorder="1" applyAlignment="1" applyProtection="1">
      <alignment horizontal="center" vertical="center" wrapText="1"/>
      <protection locked="0"/>
    </xf>
    <xf numFmtId="3" fontId="29" fillId="0" borderId="38" xfId="1" applyNumberFormat="1" applyFont="1" applyFill="1" applyBorder="1" applyAlignment="1" applyProtection="1">
      <alignment horizontal="center" vertical="center" wrapText="1"/>
      <protection locked="0"/>
    </xf>
    <xf numFmtId="3" fontId="29" fillId="0" borderId="9" xfId="1" applyNumberFormat="1" applyFont="1" applyFill="1" applyBorder="1" applyAlignment="1" applyProtection="1">
      <alignment horizontal="center" vertical="center" wrapText="1"/>
      <protection locked="0"/>
    </xf>
    <xf numFmtId="3" fontId="29" fillId="0" borderId="27" xfId="1" applyNumberFormat="1" applyFont="1" applyFill="1" applyBorder="1" applyAlignment="1" applyProtection="1">
      <alignment horizontal="center" vertical="center" wrapText="1"/>
      <protection locked="0"/>
    </xf>
    <xf numFmtId="3" fontId="29" fillId="0" borderId="50" xfId="1" applyNumberFormat="1" applyFont="1" applyFill="1" applyBorder="1" applyAlignment="1" applyProtection="1">
      <alignment horizontal="center" vertical="center" wrapText="1"/>
      <protection locked="0"/>
    </xf>
    <xf numFmtId="3" fontId="29" fillId="0" borderId="38" xfId="1" applyNumberFormat="1" applyFont="1" applyFill="1" applyBorder="1" applyAlignment="1" applyProtection="1">
      <alignment horizontal="right" vertical="center" wrapText="1"/>
      <protection locked="0"/>
    </xf>
    <xf numFmtId="3" fontId="29" fillId="0" borderId="9" xfId="1" applyNumberFormat="1" applyFont="1" applyFill="1" applyBorder="1" applyAlignment="1" applyProtection="1">
      <alignment horizontal="right" vertical="center" wrapText="1"/>
      <protection locked="0"/>
    </xf>
    <xf numFmtId="3" fontId="29" fillId="0" borderId="37" xfId="1" applyNumberFormat="1" applyFont="1" applyFill="1" applyBorder="1" applyAlignment="1" applyProtection="1">
      <alignment horizontal="center" vertical="center" wrapText="1"/>
      <protection locked="0"/>
    </xf>
    <xf numFmtId="3" fontId="29" fillId="0" borderId="49" xfId="1" applyNumberFormat="1" applyFont="1" applyFill="1" applyBorder="1" applyAlignment="1" applyProtection="1">
      <alignment horizontal="center" vertical="center" wrapText="1"/>
      <protection locked="0"/>
    </xf>
    <xf numFmtId="3" fontId="29" fillId="3" borderId="30" xfId="1" applyNumberFormat="1" applyFont="1" applyFill="1" applyBorder="1" applyAlignment="1" applyProtection="1">
      <alignment horizontal="center" vertical="center" wrapText="1"/>
      <protection locked="0"/>
    </xf>
    <xf numFmtId="3" fontId="29" fillId="3" borderId="22" xfId="1" applyNumberFormat="1" applyFont="1" applyFill="1" applyBorder="1" applyAlignment="1" applyProtection="1">
      <alignment horizontal="center" vertical="center" wrapText="1"/>
      <protection locked="0"/>
    </xf>
    <xf numFmtId="3" fontId="29" fillId="0" borderId="18" xfId="1" applyNumberFormat="1" applyFont="1" applyFill="1" applyBorder="1" applyAlignment="1" applyProtection="1">
      <alignment horizontal="center" vertical="center" wrapText="1"/>
      <protection locked="0"/>
    </xf>
    <xf numFmtId="3" fontId="29" fillId="0" borderId="12" xfId="1" applyNumberFormat="1" applyFont="1" applyFill="1" applyBorder="1" applyAlignment="1" applyProtection="1">
      <alignment horizontal="center" vertical="center" wrapText="1"/>
      <protection locked="0"/>
    </xf>
    <xf numFmtId="3" fontId="29" fillId="0" borderId="13" xfId="1" applyNumberFormat="1" applyFont="1" applyFill="1" applyBorder="1" applyAlignment="1" applyProtection="1">
      <alignment horizontal="center" vertical="center" wrapText="1"/>
      <protection locked="0"/>
    </xf>
    <xf numFmtId="3" fontId="29" fillId="0" borderId="1" xfId="1" applyNumberFormat="1" applyFont="1" applyFill="1" applyBorder="1" applyAlignment="1" applyProtection="1">
      <alignment horizontal="center" vertical="center" wrapText="1"/>
      <protection locked="0"/>
    </xf>
    <xf numFmtId="3" fontId="29" fillId="3" borderId="18" xfId="1" applyNumberFormat="1" applyFont="1" applyFill="1" applyBorder="1" applyAlignment="1" applyProtection="1">
      <alignment horizontal="center" vertical="center" wrapText="1"/>
      <protection locked="0"/>
    </xf>
    <xf numFmtId="3" fontId="29" fillId="3" borderId="1" xfId="1" applyNumberFormat="1" applyFont="1" applyFill="1" applyBorder="1" applyAlignment="1" applyProtection="1">
      <alignment horizontal="center" vertical="center" wrapText="1"/>
      <protection locked="0"/>
    </xf>
    <xf numFmtId="3" fontId="29" fillId="0" borderId="33" xfId="1" applyNumberFormat="1" applyFont="1" applyFill="1" applyBorder="1" applyAlignment="1" applyProtection="1">
      <alignment horizontal="right" vertical="center" wrapText="1"/>
      <protection locked="0"/>
    </xf>
    <xf numFmtId="3" fontId="29" fillId="0" borderId="6" xfId="1" applyNumberFormat="1" applyFont="1" applyFill="1" applyBorder="1" applyAlignment="1" applyProtection="1">
      <alignment horizontal="right" vertical="center" wrapText="1"/>
      <protection locked="0"/>
    </xf>
    <xf numFmtId="3" fontId="29" fillId="0" borderId="7" xfId="1" applyNumberFormat="1" applyFont="1" applyFill="1" applyBorder="1" applyAlignment="1" applyProtection="1">
      <alignment horizontal="right" vertical="center" wrapText="1"/>
      <protection locked="0"/>
    </xf>
    <xf numFmtId="3" fontId="29" fillId="0" borderId="21" xfId="1" applyNumberFormat="1" applyFont="1" applyFill="1" applyBorder="1" applyAlignment="1" applyProtection="1">
      <alignment horizontal="right" vertical="center" wrapText="1"/>
      <protection locked="0"/>
    </xf>
    <xf numFmtId="3" fontId="0" fillId="0" borderId="37" xfId="0" applyNumberFormat="1" applyFont="1" applyBorder="1" applyAlignment="1">
      <alignment vertical="center"/>
    </xf>
    <xf numFmtId="3" fontId="0" fillId="0" borderId="21" xfId="0" applyNumberFormat="1" applyFont="1" applyBorder="1" applyAlignment="1">
      <alignment vertical="center"/>
    </xf>
    <xf numFmtId="3" fontId="29" fillId="3" borderId="33" xfId="1" applyNumberFormat="1" applyFont="1" applyFill="1" applyBorder="1" applyAlignment="1" applyProtection="1">
      <alignment horizontal="right" vertical="center"/>
      <protection locked="0"/>
    </xf>
    <xf numFmtId="3" fontId="29" fillId="0" borderId="30" xfId="1" applyNumberFormat="1" applyFont="1" applyFill="1" applyBorder="1" applyAlignment="1" applyProtection="1">
      <alignment horizontal="right" vertical="center" wrapText="1"/>
      <protection locked="0"/>
    </xf>
    <xf numFmtId="3" fontId="29" fillId="0" borderId="9" xfId="1" applyNumberFormat="1" applyFont="1" applyFill="1" applyBorder="1" applyAlignment="1" applyProtection="1">
      <alignment horizontal="right" vertical="center" wrapText="1"/>
      <protection locked="0"/>
    </xf>
    <xf numFmtId="3" fontId="29" fillId="0" borderId="22" xfId="1" applyNumberFormat="1" applyFont="1" applyFill="1" applyBorder="1" applyAlignment="1" applyProtection="1">
      <alignment horizontal="right" vertical="center" wrapText="1"/>
      <protection locked="0"/>
    </xf>
    <xf numFmtId="3" fontId="0" fillId="0" borderId="38" xfId="0" applyNumberFormat="1" applyFont="1" applyBorder="1" applyAlignment="1">
      <alignment vertical="center"/>
    </xf>
    <xf numFmtId="3" fontId="0" fillId="0" borderId="22" xfId="0" applyNumberFormat="1" applyFont="1" applyBorder="1" applyAlignment="1">
      <alignment vertical="center"/>
    </xf>
    <xf numFmtId="0" fontId="29" fillId="0" borderId="248" xfId="1" applyFont="1" applyBorder="1" applyAlignment="1" applyProtection="1">
      <alignment horizontal="center" vertical="center" wrapText="1"/>
      <protection locked="0"/>
    </xf>
    <xf numFmtId="0" fontId="29" fillId="0" borderId="244" xfId="1" applyFont="1" applyBorder="1" applyAlignment="1">
      <alignment horizontal="left" vertical="center" wrapText="1"/>
    </xf>
    <xf numFmtId="0" fontId="29" fillId="0" borderId="245" xfId="1" applyFont="1" applyBorder="1" applyAlignment="1">
      <alignment horizontal="left" vertical="center" wrapText="1"/>
    </xf>
    <xf numFmtId="0" fontId="29" fillId="0" borderId="249" xfId="1" applyFont="1" applyBorder="1" applyAlignment="1">
      <alignment horizontal="left" vertical="center" wrapText="1"/>
    </xf>
    <xf numFmtId="3" fontId="29" fillId="0" borderId="244" xfId="1" applyNumberFormat="1" applyFont="1" applyFill="1" applyBorder="1" applyAlignment="1" applyProtection="1">
      <alignment horizontal="right" vertical="center" wrapText="1"/>
      <protection locked="0"/>
    </xf>
    <xf numFmtId="3" fontId="29" fillId="0" borderId="247" xfId="1" applyNumberFormat="1" applyFont="1" applyFill="1" applyBorder="1" applyAlignment="1" applyProtection="1">
      <alignment horizontal="right" vertical="center" wrapText="1"/>
      <protection locked="0"/>
    </xf>
    <xf numFmtId="3" fontId="29" fillId="0" borderId="245" xfId="1" applyNumberFormat="1" applyFont="1" applyFill="1" applyBorder="1" applyAlignment="1" applyProtection="1">
      <alignment horizontal="right" vertical="center" wrapText="1"/>
      <protection locked="0"/>
    </xf>
    <xf numFmtId="3" fontId="29" fillId="0" borderId="249" xfId="1" applyNumberFormat="1" applyFont="1" applyFill="1" applyBorder="1" applyAlignment="1" applyProtection="1">
      <alignment horizontal="right" vertical="center" wrapText="1"/>
      <protection locked="0"/>
    </xf>
    <xf numFmtId="3" fontId="29" fillId="0" borderId="245" xfId="1" applyNumberFormat="1" applyFont="1" applyFill="1" applyBorder="1" applyAlignment="1" applyProtection="1">
      <alignment vertical="center" wrapText="1"/>
      <protection locked="0"/>
    </xf>
    <xf numFmtId="3" fontId="29" fillId="0" borderId="249" xfId="1" applyNumberFormat="1" applyFont="1" applyFill="1" applyBorder="1" applyAlignment="1" applyProtection="1">
      <alignment vertical="center" wrapText="1"/>
      <protection locked="0"/>
    </xf>
    <xf numFmtId="3" fontId="0" fillId="0" borderId="244" xfId="0" applyNumberFormat="1" applyFont="1" applyBorder="1" applyAlignment="1">
      <alignment vertical="center"/>
    </xf>
    <xf numFmtId="3" fontId="0" fillId="0" borderId="249" xfId="0" applyNumberFormat="1" applyFont="1" applyBorder="1" applyAlignment="1">
      <alignment vertical="center"/>
    </xf>
    <xf numFmtId="3" fontId="0" fillId="0" borderId="244" xfId="0" applyNumberFormat="1" applyBorder="1" applyAlignment="1">
      <alignment vertical="center"/>
    </xf>
    <xf numFmtId="3" fontId="0" fillId="0" borderId="249" xfId="0" applyNumberFormat="1" applyBorder="1" applyAlignment="1">
      <alignment vertical="center"/>
    </xf>
    <xf numFmtId="3" fontId="0" fillId="0" borderId="39" xfId="0" applyNumberFormat="1" applyFont="1" applyBorder="1" applyAlignment="1">
      <alignment vertical="center"/>
    </xf>
    <xf numFmtId="3" fontId="30" fillId="0" borderId="3" xfId="1" applyNumberFormat="1" applyFont="1" applyFill="1" applyBorder="1" applyAlignment="1" applyProtection="1">
      <alignment horizontal="right" vertical="center" wrapText="1"/>
      <protection locked="0"/>
    </xf>
    <xf numFmtId="3" fontId="30" fillId="0" borderId="26" xfId="1" applyNumberFormat="1" applyFont="1" applyFill="1" applyBorder="1" applyAlignment="1" applyProtection="1">
      <alignment horizontal="right" vertical="center" wrapText="1"/>
      <protection locked="0"/>
    </xf>
    <xf numFmtId="3" fontId="30" fillId="0" borderId="4" xfId="1" applyNumberFormat="1" applyFont="1" applyFill="1" applyBorder="1" applyAlignment="1" applyProtection="1">
      <alignment horizontal="right" vertical="center" wrapText="1"/>
      <protection locked="0"/>
    </xf>
    <xf numFmtId="3" fontId="30" fillId="0" borderId="19" xfId="1" applyNumberFormat="1" applyFont="1" applyFill="1" applyBorder="1" applyAlignment="1" applyProtection="1">
      <alignment horizontal="right" vertical="center" wrapText="1"/>
      <protection locked="0"/>
    </xf>
    <xf numFmtId="3" fontId="26" fillId="0" borderId="3" xfId="0" applyNumberFormat="1" applyFont="1" applyBorder="1" applyAlignment="1">
      <alignment horizontal="right" vertical="center"/>
    </xf>
    <xf numFmtId="3" fontId="26" fillId="0" borderId="19" xfId="0" applyNumberFormat="1" applyFont="1" applyBorder="1" applyAlignment="1">
      <alignment horizontal="right" vertical="center"/>
    </xf>
    <xf numFmtId="3" fontId="26" fillId="0" borderId="2" xfId="0" applyNumberFormat="1" applyFont="1" applyBorder="1" applyAlignment="1">
      <alignment horizontal="right" vertical="center"/>
    </xf>
    <xf numFmtId="3" fontId="30" fillId="3" borderId="3" xfId="1" applyNumberFormat="1" applyFont="1" applyFill="1" applyBorder="1" applyAlignment="1" applyProtection="1">
      <alignment horizontal="right" vertical="center" wrapText="1"/>
      <protection locked="0"/>
    </xf>
    <xf numFmtId="3" fontId="26" fillId="3" borderId="19" xfId="0" applyNumberFormat="1" applyFont="1" applyFill="1" applyBorder="1" applyAlignment="1">
      <alignment horizontal="right" vertical="center"/>
    </xf>
    <xf numFmtId="0" fontId="26" fillId="0" borderId="0" xfId="0" applyFont="1" applyAlignment="1">
      <alignment horizontal="right" vertical="center"/>
    </xf>
    <xf numFmtId="0" fontId="30" fillId="0" borderId="0" xfId="1" applyFont="1" applyBorder="1" applyAlignment="1" applyProtection="1">
      <alignment horizontal="right" vertical="center"/>
      <protection locked="0"/>
    </xf>
    <xf numFmtId="0" fontId="30" fillId="0" borderId="0" xfId="1" applyFont="1" applyAlignment="1" applyProtection="1">
      <alignment horizontal="right" vertical="center"/>
      <protection locked="0"/>
    </xf>
    <xf numFmtId="0" fontId="30" fillId="0" borderId="0" xfId="1" applyFont="1" applyAlignment="1">
      <alignment horizontal="right" vertical="center"/>
    </xf>
    <xf numFmtId="3" fontId="41" fillId="0" borderId="0" xfId="1" applyNumberFormat="1" applyFont="1" applyAlignment="1" applyProtection="1">
      <alignment horizontal="left" vertical="center"/>
      <protection locked="0"/>
    </xf>
    <xf numFmtId="3" fontId="41" fillId="0" borderId="0" xfId="1" applyNumberFormat="1" applyFont="1" applyAlignment="1" applyProtection="1">
      <alignment horizontal="right" vertical="center"/>
      <protection locked="0"/>
    </xf>
    <xf numFmtId="3" fontId="29" fillId="0" borderId="133" xfId="1" applyNumberFormat="1" applyFont="1" applyFill="1" applyBorder="1" applyAlignment="1" applyProtection="1">
      <alignment horizontal="center" vertical="center"/>
      <protection locked="0"/>
    </xf>
    <xf numFmtId="3" fontId="29" fillId="0" borderId="138" xfId="1" applyNumberFormat="1" applyFont="1" applyFill="1" applyBorder="1" applyAlignment="1" applyProtection="1">
      <alignment horizontal="center" vertical="center"/>
      <protection locked="0"/>
    </xf>
    <xf numFmtId="3" fontId="29" fillId="0" borderId="52" xfId="1" applyNumberFormat="1" applyFont="1" applyFill="1" applyBorder="1" applyAlignment="1" applyProtection="1">
      <alignment horizontal="center" vertical="center"/>
      <protection locked="0"/>
    </xf>
    <xf numFmtId="3" fontId="29" fillId="0" borderId="30" xfId="1" applyNumberFormat="1" applyFont="1" applyFill="1" applyBorder="1" applyAlignment="1" applyProtection="1">
      <alignment horizontal="center" vertical="center" wrapText="1"/>
      <protection locked="0"/>
    </xf>
    <xf numFmtId="3" fontId="29" fillId="0" borderId="10" xfId="1" applyNumberFormat="1" applyFont="1" applyFill="1" applyBorder="1" applyAlignment="1" applyProtection="1">
      <alignment horizontal="center" vertical="center" wrapText="1"/>
      <protection locked="0"/>
    </xf>
    <xf numFmtId="3" fontId="29" fillId="0" borderId="22" xfId="1" applyNumberFormat="1" applyFont="1" applyFill="1" applyBorder="1" applyAlignment="1" applyProtection="1">
      <alignment horizontal="center" vertical="center" wrapText="1"/>
      <protection locked="0"/>
    </xf>
    <xf numFmtId="3" fontId="29" fillId="0" borderId="9" xfId="1" applyNumberFormat="1" applyFont="1" applyFill="1" applyBorder="1" applyAlignment="1" applyProtection="1">
      <alignment horizontal="center" vertical="center" wrapText="1"/>
      <protection locked="0"/>
    </xf>
    <xf numFmtId="3" fontId="29" fillId="0" borderId="0" xfId="1" applyNumberFormat="1" applyFont="1" applyBorder="1" applyAlignment="1">
      <alignment horizontal="center" vertical="center"/>
    </xf>
    <xf numFmtId="3" fontId="29" fillId="0" borderId="13" xfId="1" applyNumberFormat="1" applyFont="1" applyBorder="1" applyAlignment="1">
      <alignment horizontal="center" vertical="center"/>
    </xf>
    <xf numFmtId="3" fontId="0" fillId="0" borderId="0" xfId="0" applyNumberFormat="1" applyAlignment="1">
      <alignment horizontal="center" vertical="center"/>
    </xf>
    <xf numFmtId="3" fontId="29" fillId="0" borderId="13" xfId="1" applyNumberFormat="1" applyFont="1" applyFill="1" applyBorder="1" applyAlignment="1" applyProtection="1">
      <alignment horizontal="right" vertical="center" wrapText="1"/>
      <protection locked="0"/>
    </xf>
    <xf numFmtId="3" fontId="29" fillId="0" borderId="1" xfId="1" applyNumberFormat="1" applyFont="1" applyFill="1" applyBorder="1" applyAlignment="1" applyProtection="1">
      <alignment horizontal="right" vertical="center" wrapText="1"/>
      <protection locked="0"/>
    </xf>
    <xf numFmtId="3" fontId="29" fillId="0" borderId="12" xfId="1" applyNumberFormat="1" applyFont="1" applyFill="1" applyBorder="1" applyAlignment="1" applyProtection="1">
      <alignment horizontal="right" vertical="center" wrapText="1"/>
      <protection locked="0"/>
    </xf>
    <xf numFmtId="3" fontId="30" fillId="0" borderId="19" xfId="1" applyNumberFormat="1" applyFont="1" applyFill="1" applyBorder="1" applyAlignment="1" applyProtection="1">
      <alignment vertical="center" wrapText="1"/>
      <protection locked="0"/>
    </xf>
    <xf numFmtId="3" fontId="26" fillId="0" borderId="0" xfId="0" applyNumberFormat="1" applyFont="1" applyAlignment="1">
      <alignment horizontal="right" vertical="center"/>
    </xf>
    <xf numFmtId="3" fontId="26" fillId="0" borderId="0" xfId="0" applyNumberFormat="1" applyFont="1" applyAlignment="1">
      <alignment vertical="center"/>
    </xf>
    <xf numFmtId="3" fontId="41" fillId="0" borderId="0" xfId="0" applyNumberFormat="1" applyFont="1" applyAlignment="1">
      <alignment vertical="center"/>
    </xf>
    <xf numFmtId="3" fontId="29" fillId="0" borderId="0" xfId="1" applyNumberFormat="1" applyFont="1" applyBorder="1" applyAlignment="1" applyProtection="1">
      <alignment horizontal="left" vertical="center" wrapText="1"/>
      <protection locked="0"/>
    </xf>
    <xf numFmtId="3" fontId="29" fillId="0" borderId="0" xfId="1" applyNumberFormat="1" applyFont="1" applyBorder="1" applyAlignment="1" applyProtection="1">
      <alignment horizontal="left" vertical="center"/>
      <protection locked="0"/>
    </xf>
    <xf numFmtId="3" fontId="29" fillId="0" borderId="0" xfId="1" applyNumberFormat="1" applyFont="1" applyBorder="1" applyAlignment="1">
      <alignment horizontal="left" vertical="center"/>
    </xf>
    <xf numFmtId="3" fontId="29" fillId="0" borderId="0" xfId="1" applyNumberFormat="1" applyFont="1" applyBorder="1" applyAlignment="1">
      <alignment horizontal="right" vertical="center"/>
    </xf>
    <xf numFmtId="3" fontId="29" fillId="0" borderId="0" xfId="1" applyNumberFormat="1" applyFont="1" applyAlignment="1">
      <alignment horizontal="left" vertical="center"/>
    </xf>
  </cellXfs>
  <cellStyles count="5">
    <cellStyle name="Normální" xfId="0" builtinId="0"/>
    <cellStyle name="normální 2" xfId="1"/>
    <cellStyle name="normální 3" xfId="2"/>
    <cellStyle name="normální_Konečná verze NOVYKAZY" xfId="3"/>
    <cellStyle name="normální_tabulka do výroční zprávy rozboru hospodaření" xfId="4"/>
  </cellStyles>
  <dxfs count="0"/>
  <tableStyles count="0" defaultTableStyle="TableStyleMedium9" defaultPivotStyle="PivotStyleLight16"/>
  <colors>
    <mruColors>
      <color rgb="FFFFCCFF"/>
      <color rgb="FFFFFF66"/>
      <color rgb="FF0000CC"/>
      <color rgb="FF6600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2101473</xdr:colOff>
      <xdr:row>41</xdr:row>
      <xdr:rowOff>147945</xdr:rowOff>
    </xdr:from>
    <xdr:ext cx="4757180" cy="264560"/>
    <xdr:sp macro="" textlink="">
      <xdr:nvSpPr>
        <xdr:cNvPr id="2" name="TextovéPole 1"/>
        <xdr:cNvSpPr txBox="1"/>
      </xdr:nvSpPr>
      <xdr:spPr>
        <a:xfrm rot="10597951">
          <a:off x="4320798" y="841564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oneCellAnchor>
    <xdr:from>
      <xdr:col>2</xdr:col>
      <xdr:colOff>2101473</xdr:colOff>
      <xdr:row>41</xdr:row>
      <xdr:rowOff>147945</xdr:rowOff>
    </xdr:from>
    <xdr:ext cx="4757180" cy="264560"/>
    <xdr:sp macro="" textlink="">
      <xdr:nvSpPr>
        <xdr:cNvPr id="3" name="TextovéPole 2"/>
        <xdr:cNvSpPr txBox="1"/>
      </xdr:nvSpPr>
      <xdr:spPr>
        <a:xfrm rot="10597951">
          <a:off x="2930148" y="211009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oneCellAnchor>
    <xdr:from>
      <xdr:col>2</xdr:col>
      <xdr:colOff>2101473</xdr:colOff>
      <xdr:row>0</xdr:row>
      <xdr:rowOff>0</xdr:rowOff>
    </xdr:from>
    <xdr:ext cx="4757180" cy="264560"/>
    <xdr:sp macro="" textlink="">
      <xdr:nvSpPr>
        <xdr:cNvPr id="4" name="TextovéPole 3"/>
        <xdr:cNvSpPr txBox="1"/>
      </xdr:nvSpPr>
      <xdr:spPr>
        <a:xfrm rot="10597951">
          <a:off x="2930148" y="16192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20</xdr:row>
      <xdr:rowOff>0</xdr:rowOff>
    </xdr:to>
    <xdr:sp macro="" textlink="">
      <xdr:nvSpPr>
        <xdr:cNvPr id="58878" name="Line 1"/>
        <xdr:cNvSpPr>
          <a:spLocks noChangeShapeType="1"/>
        </xdr:cNvSpPr>
      </xdr:nvSpPr>
      <xdr:spPr bwMode="auto">
        <a:xfrm>
          <a:off x="0" y="466725"/>
          <a:ext cx="0" cy="28765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85725</xdr:rowOff>
    </xdr:from>
    <xdr:to>
      <xdr:col>0</xdr:col>
      <xdr:colOff>0</xdr:colOff>
      <xdr:row>20</xdr:row>
      <xdr:rowOff>0</xdr:rowOff>
    </xdr:to>
    <xdr:sp macro="" textlink="">
      <xdr:nvSpPr>
        <xdr:cNvPr id="58879" name="Line 2"/>
        <xdr:cNvSpPr>
          <a:spLocks noChangeShapeType="1"/>
        </xdr:cNvSpPr>
      </xdr:nvSpPr>
      <xdr:spPr bwMode="auto">
        <a:xfrm flipV="1">
          <a:off x="0" y="428625"/>
          <a:ext cx="0" cy="2914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EPICKA\Documents\GroupWise\VZ%202013%20tab.%20Mach&#225;&#269;kov&#225;%20-%20Slepi&#269;kov&#2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podklady A.S."/>
      <sheetName val="3"/>
      <sheetName val="4"/>
      <sheetName val="5-podklady A.S."/>
      <sheetName val="5 "/>
      <sheetName val="5.a"/>
      <sheetName val="5.b"/>
      <sheetName val="5.c"/>
      <sheetName val="5.d"/>
      <sheetName val="6"/>
      <sheetName val="7"/>
      <sheetName val="8-ZO"/>
      <sheetName val="9-podklady A.S."/>
      <sheetName val="9"/>
      <sheetName val="10-kolej"/>
      <sheetName val="11-podklady A.S."/>
      <sheetName val="11"/>
      <sheetName val="11.a"/>
      <sheetName val="11.b"/>
      <sheetName val="11.c"/>
      <sheetName val="11.d"/>
      <sheetName val="11.e"/>
      <sheetName val="11.f"/>
      <sheetName val="11.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3"/>
  <sheetViews>
    <sheetView zoomScaleNormal="100" workbookViewId="0">
      <pane ySplit="5" topLeftCell="A484" activePane="bottomLeft" state="frozenSplit"/>
      <selection pane="bottomLeft" activeCell="A148" sqref="A148"/>
    </sheetView>
  </sheetViews>
  <sheetFormatPr defaultRowHeight="12.75" customHeight="1" x14ac:dyDescent="0.25"/>
  <cols>
    <col min="1" max="1" width="76.28515625" style="31" customWidth="1"/>
    <col min="2" max="2" width="13" style="32" customWidth="1"/>
    <col min="3" max="3" width="7.42578125" style="32" customWidth="1"/>
    <col min="4" max="5" width="11.28515625" style="215" customWidth="1"/>
    <col min="6" max="16384" width="9.140625" style="31"/>
  </cols>
  <sheetData>
    <row r="1" spans="1:6" ht="12.75" customHeight="1" x14ac:dyDescent="0.25">
      <c r="A1" s="2457" t="s">
        <v>816</v>
      </c>
      <c r="B1" s="2457"/>
      <c r="C1" s="2457"/>
      <c r="D1" s="2457"/>
      <c r="E1" s="2457"/>
    </row>
    <row r="2" spans="1:6" ht="12.75" hidden="1" customHeight="1" thickBot="1" x14ac:dyDescent="0.3">
      <c r="A2" s="2458"/>
      <c r="B2" s="2458"/>
      <c r="C2" s="2458"/>
      <c r="D2" s="2458"/>
      <c r="E2" s="2458"/>
    </row>
    <row r="3" spans="1:6" ht="27.95" hidden="1" customHeight="1" thickBot="1" x14ac:dyDescent="0.3">
      <c r="A3" s="2450" t="s">
        <v>655</v>
      </c>
      <c r="B3" s="2451"/>
      <c r="C3" s="2451"/>
      <c r="D3" s="2451"/>
      <c r="E3" s="2452"/>
      <c r="F3" s="140"/>
    </row>
    <row r="4" spans="1:6" ht="12.75" hidden="1" customHeight="1" thickBot="1" x14ac:dyDescent="0.3">
      <c r="A4" s="2447" t="s">
        <v>606</v>
      </c>
      <c r="B4" s="2448"/>
      <c r="C4" s="2448"/>
      <c r="D4" s="2448"/>
      <c r="E4" s="2449"/>
    </row>
    <row r="5" spans="1:6" ht="18" hidden="1" customHeight="1" thickBot="1" x14ac:dyDescent="0.3">
      <c r="A5" s="33" t="s">
        <v>607</v>
      </c>
      <c r="B5" s="34" t="s">
        <v>828</v>
      </c>
      <c r="C5" s="35" t="s">
        <v>829</v>
      </c>
      <c r="D5" s="198" t="s">
        <v>830</v>
      </c>
      <c r="E5" s="199" t="s">
        <v>831</v>
      </c>
    </row>
    <row r="6" spans="1:6" ht="12.75" hidden="1" customHeight="1" x14ac:dyDescent="0.25">
      <c r="A6" s="36" t="s">
        <v>0</v>
      </c>
      <c r="B6" s="2455"/>
      <c r="C6" s="2456"/>
      <c r="D6" s="200" t="s">
        <v>586</v>
      </c>
      <c r="E6" s="201" t="s">
        <v>589</v>
      </c>
    </row>
    <row r="7" spans="1:6" ht="12.75" hidden="1" customHeight="1" x14ac:dyDescent="0.25">
      <c r="A7" s="39" t="s">
        <v>1</v>
      </c>
      <c r="B7" s="40" t="s">
        <v>2</v>
      </c>
      <c r="C7" s="41" t="s">
        <v>3</v>
      </c>
      <c r="D7" s="202">
        <f>D8+D16+D27+D35</f>
        <v>0</v>
      </c>
      <c r="E7" s="203">
        <f>E8+E16+E27+E35</f>
        <v>0</v>
      </c>
    </row>
    <row r="8" spans="1:6" ht="12.75" hidden="1" customHeight="1" x14ac:dyDescent="0.25">
      <c r="A8" s="39" t="s">
        <v>4</v>
      </c>
      <c r="B8" s="40" t="s">
        <v>5</v>
      </c>
      <c r="C8" s="41" t="s">
        <v>6</v>
      </c>
      <c r="D8" s="204">
        <f>SUM(D9:D15)</f>
        <v>0</v>
      </c>
      <c r="E8" s="205">
        <f>SUM(E9:E15)</f>
        <v>0</v>
      </c>
    </row>
    <row r="9" spans="1:6" ht="12.75" hidden="1" customHeight="1" x14ac:dyDescent="0.25">
      <c r="A9" s="39" t="s">
        <v>7</v>
      </c>
      <c r="B9" s="40" t="s">
        <v>8</v>
      </c>
      <c r="C9" s="41" t="s">
        <v>9</v>
      </c>
      <c r="D9" s="206"/>
      <c r="E9" s="207"/>
    </row>
    <row r="10" spans="1:6" ht="12.75" hidden="1" customHeight="1" x14ac:dyDescent="0.25">
      <c r="A10" s="39" t="s">
        <v>10</v>
      </c>
      <c r="B10" s="40" t="s">
        <v>11</v>
      </c>
      <c r="C10" s="41" t="s">
        <v>12</v>
      </c>
      <c r="D10" s="206"/>
      <c r="E10" s="207"/>
    </row>
    <row r="11" spans="1:6" ht="12.75" hidden="1" customHeight="1" x14ac:dyDescent="0.25">
      <c r="A11" s="39" t="s">
        <v>13</v>
      </c>
      <c r="B11" s="40" t="s">
        <v>14</v>
      </c>
      <c r="C11" s="41" t="s">
        <v>15</v>
      </c>
      <c r="D11" s="206"/>
      <c r="E11" s="207"/>
    </row>
    <row r="12" spans="1:6" ht="12.75" hidden="1" customHeight="1" x14ac:dyDescent="0.25">
      <c r="A12" s="39" t="s">
        <v>16</v>
      </c>
      <c r="B12" s="40" t="s">
        <v>17</v>
      </c>
      <c r="C12" s="41" t="s">
        <v>18</v>
      </c>
      <c r="D12" s="206"/>
      <c r="E12" s="207"/>
    </row>
    <row r="13" spans="1:6" ht="12.75" hidden="1" customHeight="1" x14ac:dyDescent="0.25">
      <c r="A13" s="39" t="s">
        <v>19</v>
      </c>
      <c r="B13" s="40" t="s">
        <v>20</v>
      </c>
      <c r="C13" s="41" t="s">
        <v>21</v>
      </c>
      <c r="D13" s="206"/>
      <c r="E13" s="207"/>
    </row>
    <row r="14" spans="1:6" ht="12.75" hidden="1" customHeight="1" x14ac:dyDescent="0.25">
      <c r="A14" s="39" t="s">
        <v>22</v>
      </c>
      <c r="B14" s="40" t="s">
        <v>23</v>
      </c>
      <c r="C14" s="41" t="s">
        <v>24</v>
      </c>
      <c r="D14" s="206"/>
      <c r="E14" s="207"/>
    </row>
    <row r="15" spans="1:6" ht="12.75" hidden="1" customHeight="1" x14ac:dyDescent="0.25">
      <c r="A15" s="39" t="s">
        <v>25</v>
      </c>
      <c r="B15" s="40" t="s">
        <v>26</v>
      </c>
      <c r="C15" s="41" t="s">
        <v>27</v>
      </c>
      <c r="D15" s="206"/>
      <c r="E15" s="207"/>
    </row>
    <row r="16" spans="1:6" ht="12.75" hidden="1" customHeight="1" x14ac:dyDescent="0.25">
      <c r="A16" s="42" t="s">
        <v>28</v>
      </c>
      <c r="B16" s="40" t="s">
        <v>29</v>
      </c>
      <c r="C16" s="41" t="s">
        <v>30</v>
      </c>
      <c r="D16" s="204">
        <f>SUM(D17:D26)</f>
        <v>0</v>
      </c>
      <c r="E16" s="205">
        <f>SUM(E17:E26)</f>
        <v>0</v>
      </c>
    </row>
    <row r="17" spans="1:5" ht="12.75" hidden="1" customHeight="1" x14ac:dyDescent="0.25">
      <c r="A17" s="39" t="s">
        <v>31</v>
      </c>
      <c r="B17" s="40" t="s">
        <v>32</v>
      </c>
      <c r="C17" s="41" t="s">
        <v>33</v>
      </c>
      <c r="D17" s="206"/>
      <c r="E17" s="207"/>
    </row>
    <row r="18" spans="1:5" ht="12.75" hidden="1" customHeight="1" x14ac:dyDescent="0.25">
      <c r="A18" s="39" t="s">
        <v>34</v>
      </c>
      <c r="B18" s="40" t="s">
        <v>35</v>
      </c>
      <c r="C18" s="41" t="s">
        <v>36</v>
      </c>
      <c r="D18" s="206"/>
      <c r="E18" s="207"/>
    </row>
    <row r="19" spans="1:5" ht="12.75" hidden="1" customHeight="1" x14ac:dyDescent="0.25">
      <c r="A19" s="39" t="s">
        <v>37</v>
      </c>
      <c r="B19" s="40" t="s">
        <v>38</v>
      </c>
      <c r="C19" s="41" t="s">
        <v>39</v>
      </c>
      <c r="D19" s="206"/>
      <c r="E19" s="207"/>
    </row>
    <row r="20" spans="1:5" ht="12.75" hidden="1" customHeight="1" x14ac:dyDescent="0.25">
      <c r="A20" s="39" t="s">
        <v>40</v>
      </c>
      <c r="B20" s="40" t="s">
        <v>41</v>
      </c>
      <c r="C20" s="41" t="s">
        <v>42</v>
      </c>
      <c r="D20" s="206"/>
      <c r="E20" s="207"/>
    </row>
    <row r="21" spans="1:5" ht="12.75" hidden="1" customHeight="1" x14ac:dyDescent="0.25">
      <c r="A21" s="39" t="s">
        <v>43</v>
      </c>
      <c r="B21" s="40" t="s">
        <v>44</v>
      </c>
      <c r="C21" s="41" t="s">
        <v>45</v>
      </c>
      <c r="D21" s="206"/>
      <c r="E21" s="207"/>
    </row>
    <row r="22" spans="1:5" ht="12.75" hidden="1" customHeight="1" x14ac:dyDescent="0.25">
      <c r="A22" s="39" t="s">
        <v>46</v>
      </c>
      <c r="B22" s="40" t="s">
        <v>47</v>
      </c>
      <c r="C22" s="41" t="s">
        <v>48</v>
      </c>
      <c r="D22" s="206"/>
      <c r="E22" s="207"/>
    </row>
    <row r="23" spans="1:5" ht="12.75" hidden="1" customHeight="1" x14ac:dyDescent="0.25">
      <c r="A23" s="39" t="s">
        <v>49</v>
      </c>
      <c r="B23" s="40" t="s">
        <v>50</v>
      </c>
      <c r="C23" s="41" t="s">
        <v>51</v>
      </c>
      <c r="D23" s="206"/>
      <c r="E23" s="207"/>
    </row>
    <row r="24" spans="1:5" ht="12.75" hidden="1" customHeight="1" x14ac:dyDescent="0.25">
      <c r="A24" s="39" t="s">
        <v>52</v>
      </c>
      <c r="B24" s="40" t="s">
        <v>53</v>
      </c>
      <c r="C24" s="41" t="s">
        <v>54</v>
      </c>
      <c r="D24" s="206"/>
      <c r="E24" s="207"/>
    </row>
    <row r="25" spans="1:5" ht="12.75" hidden="1" customHeight="1" x14ac:dyDescent="0.25">
      <c r="A25" s="39" t="s">
        <v>55</v>
      </c>
      <c r="B25" s="40" t="s">
        <v>56</v>
      </c>
      <c r="C25" s="41" t="s">
        <v>57</v>
      </c>
      <c r="D25" s="206"/>
      <c r="E25" s="207"/>
    </row>
    <row r="26" spans="1:5" ht="12.75" hidden="1" customHeight="1" x14ac:dyDescent="0.25">
      <c r="A26" s="39" t="s">
        <v>58</v>
      </c>
      <c r="B26" s="40" t="s">
        <v>59</v>
      </c>
      <c r="C26" s="41" t="s">
        <v>60</v>
      </c>
      <c r="D26" s="206"/>
      <c r="E26" s="207"/>
    </row>
    <row r="27" spans="1:5" ht="12.75" hidden="1" customHeight="1" x14ac:dyDescent="0.25">
      <c r="A27" s="42" t="s">
        <v>61</v>
      </c>
      <c r="B27" s="40" t="s">
        <v>62</v>
      </c>
      <c r="C27" s="41" t="s">
        <v>63</v>
      </c>
      <c r="D27" s="204">
        <f>SUM(D28:D34)</f>
        <v>0</v>
      </c>
      <c r="E27" s="205">
        <f>SUM(E28:E34)</f>
        <v>0</v>
      </c>
    </row>
    <row r="28" spans="1:5" ht="12.75" hidden="1" customHeight="1" x14ac:dyDescent="0.25">
      <c r="A28" s="39" t="s">
        <v>64</v>
      </c>
      <c r="B28" s="40" t="s">
        <v>65</v>
      </c>
      <c r="C28" s="41" t="s">
        <v>66</v>
      </c>
      <c r="D28" s="206"/>
      <c r="E28" s="207"/>
    </row>
    <row r="29" spans="1:5" ht="12.75" hidden="1" customHeight="1" x14ac:dyDescent="0.25">
      <c r="A29" s="39" t="s">
        <v>67</v>
      </c>
      <c r="B29" s="40" t="s">
        <v>68</v>
      </c>
      <c r="C29" s="41" t="s">
        <v>69</v>
      </c>
      <c r="D29" s="206"/>
      <c r="E29" s="207"/>
    </row>
    <row r="30" spans="1:5" ht="12.75" hidden="1" customHeight="1" x14ac:dyDescent="0.25">
      <c r="A30" s="39" t="s">
        <v>70</v>
      </c>
      <c r="B30" s="40" t="s">
        <v>71</v>
      </c>
      <c r="C30" s="41" t="s">
        <v>72</v>
      </c>
      <c r="D30" s="206"/>
      <c r="E30" s="207"/>
    </row>
    <row r="31" spans="1:5" ht="12.75" hidden="1" customHeight="1" x14ac:dyDescent="0.25">
      <c r="A31" s="39" t="s">
        <v>73</v>
      </c>
      <c r="B31" s="40" t="s">
        <v>74</v>
      </c>
      <c r="C31" s="41" t="s">
        <v>75</v>
      </c>
      <c r="D31" s="206"/>
      <c r="E31" s="207"/>
    </row>
    <row r="32" spans="1:5" ht="12.75" hidden="1" customHeight="1" x14ac:dyDescent="0.25">
      <c r="A32" s="39" t="s">
        <v>76</v>
      </c>
      <c r="B32" s="40" t="s">
        <v>77</v>
      </c>
      <c r="C32" s="41" t="s">
        <v>78</v>
      </c>
      <c r="D32" s="206"/>
      <c r="E32" s="207"/>
    </row>
    <row r="33" spans="1:5" ht="12.75" hidden="1" customHeight="1" x14ac:dyDescent="0.25">
      <c r="A33" s="39" t="s">
        <v>79</v>
      </c>
      <c r="B33" s="40" t="s">
        <v>80</v>
      </c>
      <c r="C33" s="41" t="s">
        <v>81</v>
      </c>
      <c r="D33" s="206"/>
      <c r="E33" s="207"/>
    </row>
    <row r="34" spans="1:5" ht="12.75" hidden="1" customHeight="1" x14ac:dyDescent="0.25">
      <c r="A34" s="39" t="s">
        <v>601</v>
      </c>
      <c r="B34" s="40" t="s">
        <v>82</v>
      </c>
      <c r="C34" s="41" t="s">
        <v>83</v>
      </c>
      <c r="D34" s="206"/>
      <c r="E34" s="207"/>
    </row>
    <row r="35" spans="1:5" ht="12.75" hidden="1" customHeight="1" x14ac:dyDescent="0.25">
      <c r="A35" s="42" t="s">
        <v>84</v>
      </c>
      <c r="B35" s="40" t="s">
        <v>85</v>
      </c>
      <c r="C35" s="41" t="s">
        <v>86</v>
      </c>
      <c r="D35" s="204">
        <f>SUM(D36:D46)</f>
        <v>0</v>
      </c>
      <c r="E35" s="205">
        <f>SUM(E36:E46)</f>
        <v>0</v>
      </c>
    </row>
    <row r="36" spans="1:5" ht="12.75" hidden="1" customHeight="1" x14ac:dyDescent="0.25">
      <c r="A36" s="39" t="s">
        <v>87</v>
      </c>
      <c r="B36" s="40" t="s">
        <v>88</v>
      </c>
      <c r="C36" s="41" t="s">
        <v>89</v>
      </c>
      <c r="D36" s="206"/>
      <c r="E36" s="207"/>
    </row>
    <row r="37" spans="1:5" ht="12.75" hidden="1" customHeight="1" x14ac:dyDescent="0.25">
      <c r="A37" s="39" t="s">
        <v>90</v>
      </c>
      <c r="B37" s="40" t="s">
        <v>91</v>
      </c>
      <c r="C37" s="41" t="s">
        <v>92</v>
      </c>
      <c r="D37" s="206"/>
      <c r="E37" s="207"/>
    </row>
    <row r="38" spans="1:5" ht="12.75" hidden="1" customHeight="1" x14ac:dyDescent="0.25">
      <c r="A38" s="39" t="s">
        <v>93</v>
      </c>
      <c r="B38" s="40" t="s">
        <v>94</v>
      </c>
      <c r="C38" s="41" t="s">
        <v>95</v>
      </c>
      <c r="D38" s="206"/>
      <c r="E38" s="207"/>
    </row>
    <row r="39" spans="1:5" ht="12.75" hidden="1" customHeight="1" x14ac:dyDescent="0.25">
      <c r="A39" s="39" t="s">
        <v>96</v>
      </c>
      <c r="B39" s="40" t="s">
        <v>97</v>
      </c>
      <c r="C39" s="41" t="s">
        <v>98</v>
      </c>
      <c r="D39" s="206"/>
      <c r="E39" s="207"/>
    </row>
    <row r="40" spans="1:5" ht="12.75" hidden="1" customHeight="1" x14ac:dyDescent="0.25">
      <c r="A40" s="39" t="s">
        <v>99</v>
      </c>
      <c r="B40" s="40" t="s">
        <v>100</v>
      </c>
      <c r="C40" s="41" t="s">
        <v>101</v>
      </c>
      <c r="D40" s="206"/>
      <c r="E40" s="207"/>
    </row>
    <row r="41" spans="1:5" ht="12.75" hidden="1" customHeight="1" x14ac:dyDescent="0.25">
      <c r="A41" s="39" t="s">
        <v>102</v>
      </c>
      <c r="B41" s="40" t="s">
        <v>103</v>
      </c>
      <c r="C41" s="41" t="s">
        <v>104</v>
      </c>
      <c r="D41" s="206"/>
      <c r="E41" s="207"/>
    </row>
    <row r="42" spans="1:5" ht="12.75" hidden="1" customHeight="1" x14ac:dyDescent="0.25">
      <c r="A42" s="39" t="s">
        <v>105</v>
      </c>
      <c r="B42" s="40" t="s">
        <v>106</v>
      </c>
      <c r="C42" s="41" t="s">
        <v>107</v>
      </c>
      <c r="D42" s="206"/>
      <c r="E42" s="207"/>
    </row>
    <row r="43" spans="1:5" ht="12.75" hidden="1" customHeight="1" x14ac:dyDescent="0.25">
      <c r="A43" s="39" t="s">
        <v>108</v>
      </c>
      <c r="B43" s="40" t="s">
        <v>109</v>
      </c>
      <c r="C43" s="41" t="s">
        <v>110</v>
      </c>
      <c r="D43" s="206"/>
      <c r="E43" s="207"/>
    </row>
    <row r="44" spans="1:5" ht="12.75" hidden="1" customHeight="1" x14ac:dyDescent="0.25">
      <c r="A44" s="39" t="s">
        <v>111</v>
      </c>
      <c r="B44" s="40" t="s">
        <v>112</v>
      </c>
      <c r="C44" s="41" t="s">
        <v>113</v>
      </c>
      <c r="D44" s="206"/>
      <c r="E44" s="207"/>
    </row>
    <row r="45" spans="1:5" ht="12.75" hidden="1" customHeight="1" x14ac:dyDescent="0.25">
      <c r="A45" s="39" t="s">
        <v>688</v>
      </c>
      <c r="B45" s="40" t="s">
        <v>114</v>
      </c>
      <c r="C45" s="41" t="s">
        <v>115</v>
      </c>
      <c r="D45" s="206"/>
      <c r="E45" s="207"/>
    </row>
    <row r="46" spans="1:5" ht="13.5" hidden="1" thickBot="1" x14ac:dyDescent="0.3">
      <c r="A46" s="43" t="s">
        <v>689</v>
      </c>
      <c r="B46" s="44" t="s">
        <v>116</v>
      </c>
      <c r="C46" s="45" t="s">
        <v>117</v>
      </c>
      <c r="D46" s="208"/>
      <c r="E46" s="209"/>
    </row>
    <row r="47" spans="1:5" ht="12.75" hidden="1" customHeight="1" x14ac:dyDescent="0.25">
      <c r="A47" s="46" t="s">
        <v>118</v>
      </c>
      <c r="B47" s="47" t="s">
        <v>119</v>
      </c>
      <c r="C47" s="48" t="s">
        <v>120</v>
      </c>
      <c r="D47" s="210">
        <f>D48+D58+D78+D87</f>
        <v>0</v>
      </c>
      <c r="E47" s="211">
        <f>E48+E58+E78+E87</f>
        <v>0</v>
      </c>
    </row>
    <row r="48" spans="1:5" ht="12.75" hidden="1" customHeight="1" x14ac:dyDescent="0.25">
      <c r="A48" s="42" t="s">
        <v>121</v>
      </c>
      <c r="B48" s="40" t="s">
        <v>122</v>
      </c>
      <c r="C48" s="41" t="s">
        <v>123</v>
      </c>
      <c r="D48" s="204">
        <f>SUM(D49:D57)</f>
        <v>0</v>
      </c>
      <c r="E48" s="205">
        <f>SUM(E49:E57)</f>
        <v>0</v>
      </c>
    </row>
    <row r="49" spans="1:5" ht="12.75" hidden="1" customHeight="1" x14ac:dyDescent="0.25">
      <c r="A49" s="39" t="s">
        <v>124</v>
      </c>
      <c r="B49" s="40" t="s">
        <v>125</v>
      </c>
      <c r="C49" s="41" t="s">
        <v>126</v>
      </c>
      <c r="D49" s="206"/>
      <c r="E49" s="207"/>
    </row>
    <row r="50" spans="1:5" ht="12.75" hidden="1" customHeight="1" x14ac:dyDescent="0.25">
      <c r="A50" s="39" t="s">
        <v>127</v>
      </c>
      <c r="B50" s="40" t="s">
        <v>128</v>
      </c>
      <c r="C50" s="41" t="s">
        <v>129</v>
      </c>
      <c r="D50" s="206"/>
      <c r="E50" s="207"/>
    </row>
    <row r="51" spans="1:5" ht="12.75" hidden="1" customHeight="1" x14ac:dyDescent="0.25">
      <c r="A51" s="39" t="s">
        <v>130</v>
      </c>
      <c r="B51" s="40" t="s">
        <v>131</v>
      </c>
      <c r="C51" s="41" t="s">
        <v>132</v>
      </c>
      <c r="D51" s="206"/>
      <c r="E51" s="207"/>
    </row>
    <row r="52" spans="1:5" ht="12.75" hidden="1" customHeight="1" x14ac:dyDescent="0.25">
      <c r="A52" s="39" t="s">
        <v>133</v>
      </c>
      <c r="B52" s="40" t="s">
        <v>134</v>
      </c>
      <c r="C52" s="41" t="s">
        <v>135</v>
      </c>
      <c r="D52" s="206"/>
      <c r="E52" s="207"/>
    </row>
    <row r="53" spans="1:5" ht="12.75" hidden="1" customHeight="1" x14ac:dyDescent="0.25">
      <c r="A53" s="39" t="s">
        <v>136</v>
      </c>
      <c r="B53" s="40" t="s">
        <v>137</v>
      </c>
      <c r="C53" s="41" t="s">
        <v>138</v>
      </c>
      <c r="D53" s="206"/>
      <c r="E53" s="207"/>
    </row>
    <row r="54" spans="1:5" ht="12.75" hidden="1" customHeight="1" x14ac:dyDescent="0.25">
      <c r="A54" s="39" t="s">
        <v>139</v>
      </c>
      <c r="B54" s="40" t="s">
        <v>140</v>
      </c>
      <c r="C54" s="41" t="s">
        <v>141</v>
      </c>
      <c r="D54" s="206"/>
      <c r="E54" s="207"/>
    </row>
    <row r="55" spans="1:5" ht="12.75" hidden="1" customHeight="1" x14ac:dyDescent="0.25">
      <c r="A55" s="39" t="s">
        <v>142</v>
      </c>
      <c r="B55" s="40" t="s">
        <v>143</v>
      </c>
      <c r="C55" s="41" t="s">
        <v>144</v>
      </c>
      <c r="D55" s="206"/>
      <c r="E55" s="207"/>
    </row>
    <row r="56" spans="1:5" ht="12.75" hidden="1" customHeight="1" x14ac:dyDescent="0.25">
      <c r="A56" s="39" t="s">
        <v>145</v>
      </c>
      <c r="B56" s="40" t="s">
        <v>146</v>
      </c>
      <c r="C56" s="41" t="s">
        <v>147</v>
      </c>
      <c r="D56" s="206"/>
      <c r="E56" s="207"/>
    </row>
    <row r="57" spans="1:5" ht="12.75" hidden="1" customHeight="1" x14ac:dyDescent="0.25">
      <c r="A57" s="39" t="s">
        <v>148</v>
      </c>
      <c r="B57" s="40" t="s">
        <v>149</v>
      </c>
      <c r="C57" s="41" t="s">
        <v>150</v>
      </c>
      <c r="D57" s="206"/>
      <c r="E57" s="207"/>
    </row>
    <row r="58" spans="1:5" ht="12.75" hidden="1" customHeight="1" x14ac:dyDescent="0.25">
      <c r="A58" s="42" t="s">
        <v>151</v>
      </c>
      <c r="B58" s="40" t="s">
        <v>152</v>
      </c>
      <c r="C58" s="41" t="s">
        <v>153</v>
      </c>
      <c r="D58" s="204">
        <f>SUM(D59:D77)</f>
        <v>0</v>
      </c>
      <c r="E58" s="205">
        <f>SUM(E59:E77)</f>
        <v>0</v>
      </c>
    </row>
    <row r="59" spans="1:5" ht="12.75" hidden="1" customHeight="1" x14ac:dyDescent="0.25">
      <c r="A59" s="39" t="s">
        <v>154</v>
      </c>
      <c r="B59" s="40" t="s">
        <v>155</v>
      </c>
      <c r="C59" s="41" t="s">
        <v>156</v>
      </c>
      <c r="D59" s="206"/>
      <c r="E59" s="207"/>
    </row>
    <row r="60" spans="1:5" ht="12.75" hidden="1" customHeight="1" x14ac:dyDescent="0.25">
      <c r="A60" s="39" t="s">
        <v>157</v>
      </c>
      <c r="B60" s="40" t="s">
        <v>158</v>
      </c>
      <c r="C60" s="41" t="s">
        <v>159</v>
      </c>
      <c r="D60" s="206"/>
      <c r="E60" s="207"/>
    </row>
    <row r="61" spans="1:5" ht="12.75" hidden="1" customHeight="1" x14ac:dyDescent="0.25">
      <c r="A61" s="39" t="s">
        <v>160</v>
      </c>
      <c r="B61" s="40" t="s">
        <v>161</v>
      </c>
      <c r="C61" s="41" t="s">
        <v>162</v>
      </c>
      <c r="D61" s="206"/>
      <c r="E61" s="207"/>
    </row>
    <row r="62" spans="1:5" ht="12.75" hidden="1" customHeight="1" x14ac:dyDescent="0.25">
      <c r="A62" s="39" t="s">
        <v>163</v>
      </c>
      <c r="B62" s="40" t="s">
        <v>149</v>
      </c>
      <c r="C62" s="41" t="s">
        <v>164</v>
      </c>
      <c r="D62" s="206"/>
      <c r="E62" s="207"/>
    </row>
    <row r="63" spans="1:5" ht="12.75" hidden="1" customHeight="1" x14ac:dyDescent="0.25">
      <c r="A63" s="39" t="s">
        <v>165</v>
      </c>
      <c r="B63" s="40" t="s">
        <v>166</v>
      </c>
      <c r="C63" s="41" t="s">
        <v>167</v>
      </c>
      <c r="D63" s="206"/>
      <c r="E63" s="207"/>
    </row>
    <row r="64" spans="1:5" ht="12.75" hidden="1" customHeight="1" x14ac:dyDescent="0.25">
      <c r="A64" s="39" t="s">
        <v>168</v>
      </c>
      <c r="B64" s="40" t="s">
        <v>169</v>
      </c>
      <c r="C64" s="41" t="s">
        <v>170</v>
      </c>
      <c r="D64" s="206"/>
      <c r="E64" s="207"/>
    </row>
    <row r="65" spans="1:6" ht="12.75" hidden="1" customHeight="1" x14ac:dyDescent="0.25">
      <c r="A65" s="351" t="s">
        <v>693</v>
      </c>
      <c r="B65" s="40" t="s">
        <v>171</v>
      </c>
      <c r="C65" s="41" t="s">
        <v>172</v>
      </c>
      <c r="D65" s="206"/>
      <c r="E65" s="207"/>
      <c r="F65"/>
    </row>
    <row r="66" spans="1:6" ht="12.75" hidden="1" customHeight="1" x14ac:dyDescent="0.25">
      <c r="A66" s="39" t="s">
        <v>173</v>
      </c>
      <c r="B66" s="40" t="s">
        <v>174</v>
      </c>
      <c r="C66" s="41" t="s">
        <v>175</v>
      </c>
      <c r="D66" s="206"/>
      <c r="E66" s="207"/>
    </row>
    <row r="67" spans="1:6" ht="12.75" hidden="1" customHeight="1" x14ac:dyDescent="0.25">
      <c r="A67" s="39" t="s">
        <v>176</v>
      </c>
      <c r="B67" s="40" t="s">
        <v>177</v>
      </c>
      <c r="C67" s="41" t="s">
        <v>178</v>
      </c>
      <c r="D67" s="206"/>
      <c r="E67" s="207"/>
    </row>
    <row r="68" spans="1:6" ht="12.75" hidden="1" customHeight="1" x14ac:dyDescent="0.25">
      <c r="A68" s="39" t="s">
        <v>179</v>
      </c>
      <c r="B68" s="40" t="s">
        <v>180</v>
      </c>
      <c r="C68" s="41" t="s">
        <v>181</v>
      </c>
      <c r="D68" s="206"/>
      <c r="E68" s="207"/>
    </row>
    <row r="69" spans="1:6" ht="12.75" hidden="1" customHeight="1" x14ac:dyDescent="0.25">
      <c r="A69" s="39" t="s">
        <v>182</v>
      </c>
      <c r="B69" s="40" t="s">
        <v>183</v>
      </c>
      <c r="C69" s="41" t="s">
        <v>184</v>
      </c>
      <c r="D69" s="206"/>
      <c r="E69" s="207"/>
    </row>
    <row r="70" spans="1:6" ht="12.75" hidden="1" customHeight="1" x14ac:dyDescent="0.25">
      <c r="A70" s="39" t="s">
        <v>185</v>
      </c>
      <c r="B70" s="40" t="s">
        <v>186</v>
      </c>
      <c r="C70" s="41" t="s">
        <v>187</v>
      </c>
      <c r="D70" s="206"/>
      <c r="E70" s="207"/>
    </row>
    <row r="71" spans="1:6" ht="12.75" hidden="1" customHeight="1" x14ac:dyDescent="0.25">
      <c r="A71" s="39" t="s">
        <v>687</v>
      </c>
      <c r="B71" s="40" t="s">
        <v>188</v>
      </c>
      <c r="C71" s="41" t="s">
        <v>189</v>
      </c>
      <c r="D71" s="206"/>
      <c r="E71" s="207"/>
    </row>
    <row r="72" spans="1:6" ht="12.75" hidden="1" customHeight="1" x14ac:dyDescent="0.25">
      <c r="A72" s="39" t="s">
        <v>190</v>
      </c>
      <c r="B72" s="40" t="s">
        <v>191</v>
      </c>
      <c r="C72" s="41" t="s">
        <v>192</v>
      </c>
      <c r="D72" s="206"/>
      <c r="E72" s="207"/>
    </row>
    <row r="73" spans="1:6" ht="12.75" hidden="1" customHeight="1" x14ac:dyDescent="0.25">
      <c r="A73" s="39" t="s">
        <v>602</v>
      </c>
      <c r="B73" s="40" t="s">
        <v>193</v>
      </c>
      <c r="C73" s="41" t="s">
        <v>194</v>
      </c>
      <c r="D73" s="206"/>
      <c r="E73" s="207"/>
    </row>
    <row r="74" spans="1:6" ht="12.75" hidden="1" customHeight="1" x14ac:dyDescent="0.25">
      <c r="A74" s="39" t="s">
        <v>603</v>
      </c>
      <c r="B74" s="40" t="s">
        <v>195</v>
      </c>
      <c r="C74" s="41" t="s">
        <v>196</v>
      </c>
      <c r="D74" s="206"/>
      <c r="E74" s="207"/>
    </row>
    <row r="75" spans="1:6" ht="12.75" hidden="1" customHeight="1" x14ac:dyDescent="0.25">
      <c r="A75" s="39" t="s">
        <v>197</v>
      </c>
      <c r="B75" s="40" t="s">
        <v>198</v>
      </c>
      <c r="C75" s="41" t="s">
        <v>199</v>
      </c>
      <c r="D75" s="206"/>
      <c r="E75" s="207"/>
    </row>
    <row r="76" spans="1:6" ht="12.75" hidden="1" customHeight="1" x14ac:dyDescent="0.25">
      <c r="A76" s="39" t="s">
        <v>200</v>
      </c>
      <c r="B76" s="40" t="s">
        <v>201</v>
      </c>
      <c r="C76" s="41" t="s">
        <v>202</v>
      </c>
      <c r="D76" s="206"/>
      <c r="E76" s="207"/>
    </row>
    <row r="77" spans="1:6" ht="12.75" hidden="1" customHeight="1" x14ac:dyDescent="0.25">
      <c r="A77" s="39" t="s">
        <v>203</v>
      </c>
      <c r="B77" s="40" t="s">
        <v>204</v>
      </c>
      <c r="C77" s="41" t="s">
        <v>205</v>
      </c>
      <c r="D77" s="206"/>
      <c r="E77" s="207"/>
    </row>
    <row r="78" spans="1:6" ht="12.75" hidden="1" customHeight="1" x14ac:dyDescent="0.25">
      <c r="A78" s="42" t="s">
        <v>206</v>
      </c>
      <c r="B78" s="40" t="s">
        <v>207</v>
      </c>
      <c r="C78" s="41" t="s">
        <v>208</v>
      </c>
      <c r="D78" s="204">
        <f>SUM(D79:D86)</f>
        <v>0</v>
      </c>
      <c r="E78" s="205">
        <f>SUM(E79:E86)</f>
        <v>0</v>
      </c>
    </row>
    <row r="79" spans="1:6" ht="12.75" hidden="1" customHeight="1" x14ac:dyDescent="0.25">
      <c r="A79" s="39" t="s">
        <v>209</v>
      </c>
      <c r="B79" s="40" t="s">
        <v>210</v>
      </c>
      <c r="C79" s="41" t="s">
        <v>211</v>
      </c>
      <c r="D79" s="206"/>
      <c r="E79" s="207"/>
    </row>
    <row r="80" spans="1:6" ht="12.75" hidden="1" customHeight="1" x14ac:dyDescent="0.25">
      <c r="A80" s="39" t="s">
        <v>212</v>
      </c>
      <c r="B80" s="40" t="s">
        <v>213</v>
      </c>
      <c r="C80" s="41" t="s">
        <v>214</v>
      </c>
      <c r="D80" s="206"/>
      <c r="E80" s="207"/>
    </row>
    <row r="81" spans="1:5" ht="12.75" hidden="1" customHeight="1" x14ac:dyDescent="0.25">
      <c r="A81" s="39" t="s">
        <v>215</v>
      </c>
      <c r="B81" s="40" t="s">
        <v>216</v>
      </c>
      <c r="C81" s="41" t="s">
        <v>217</v>
      </c>
      <c r="D81" s="206"/>
      <c r="E81" s="207"/>
    </row>
    <row r="82" spans="1:5" ht="12.75" hidden="1" customHeight="1" x14ac:dyDescent="0.25">
      <c r="A82" s="39" t="s">
        <v>218</v>
      </c>
      <c r="B82" s="40" t="s">
        <v>219</v>
      </c>
      <c r="C82" s="41" t="s">
        <v>220</v>
      </c>
      <c r="D82" s="206"/>
      <c r="E82" s="207"/>
    </row>
    <row r="83" spans="1:5" ht="12.75" hidden="1" customHeight="1" x14ac:dyDescent="0.25">
      <c r="A83" s="39" t="s">
        <v>221</v>
      </c>
      <c r="B83" s="40" t="s">
        <v>222</v>
      </c>
      <c r="C83" s="41" t="s">
        <v>223</v>
      </c>
      <c r="D83" s="206"/>
      <c r="E83" s="207"/>
    </row>
    <row r="84" spans="1:5" ht="12.75" hidden="1" customHeight="1" x14ac:dyDescent="0.25">
      <c r="A84" s="39" t="s">
        <v>224</v>
      </c>
      <c r="B84" s="40" t="s">
        <v>225</v>
      </c>
      <c r="C84" s="41" t="s">
        <v>226</v>
      </c>
      <c r="D84" s="206"/>
      <c r="E84" s="207"/>
    </row>
    <row r="85" spans="1:5" ht="12.75" hidden="1" customHeight="1" x14ac:dyDescent="0.25">
      <c r="A85" s="39" t="s">
        <v>227</v>
      </c>
      <c r="B85" s="40" t="s">
        <v>228</v>
      </c>
      <c r="C85" s="41" t="s">
        <v>229</v>
      </c>
      <c r="D85" s="206"/>
      <c r="E85" s="207"/>
    </row>
    <row r="86" spans="1:5" ht="12.75" hidden="1" customHeight="1" x14ac:dyDescent="0.25">
      <c r="A86" s="39" t="s">
        <v>230</v>
      </c>
      <c r="B86" s="40" t="s">
        <v>231</v>
      </c>
      <c r="C86" s="41" t="s">
        <v>232</v>
      </c>
      <c r="D86" s="206"/>
      <c r="E86" s="207"/>
    </row>
    <row r="87" spans="1:5" ht="12.75" hidden="1" customHeight="1" x14ac:dyDescent="0.25">
      <c r="A87" s="42" t="s">
        <v>233</v>
      </c>
      <c r="B87" s="40" t="s">
        <v>234</v>
      </c>
      <c r="C87" s="41" t="s">
        <v>235</v>
      </c>
      <c r="D87" s="204">
        <f>SUM(D88:D90)</f>
        <v>0</v>
      </c>
      <c r="E87" s="205">
        <f>SUM(E88:E90)</f>
        <v>0</v>
      </c>
    </row>
    <row r="88" spans="1:5" ht="12.75" hidden="1" customHeight="1" x14ac:dyDescent="0.25">
      <c r="A88" s="39" t="s">
        <v>236</v>
      </c>
      <c r="B88" s="40" t="s">
        <v>237</v>
      </c>
      <c r="C88" s="41" t="s">
        <v>238</v>
      </c>
      <c r="D88" s="206"/>
      <c r="E88" s="207"/>
    </row>
    <row r="89" spans="1:5" ht="12.75" hidden="1" customHeight="1" x14ac:dyDescent="0.25">
      <c r="A89" s="39" t="s">
        <v>239</v>
      </c>
      <c r="B89" s="40" t="s">
        <v>240</v>
      </c>
      <c r="C89" s="41" t="s">
        <v>241</v>
      </c>
      <c r="D89" s="206"/>
      <c r="E89" s="207"/>
    </row>
    <row r="90" spans="1:5" ht="12.75" hidden="1" customHeight="1" x14ac:dyDescent="0.25">
      <c r="A90" s="39" t="s">
        <v>242</v>
      </c>
      <c r="B90" s="40" t="s">
        <v>243</v>
      </c>
      <c r="C90" s="41" t="s">
        <v>244</v>
      </c>
      <c r="D90" s="206"/>
      <c r="E90" s="207"/>
    </row>
    <row r="91" spans="1:5" ht="12.75" hidden="1" customHeight="1" thickBot="1" x14ac:dyDescent="0.3">
      <c r="A91" s="43" t="s">
        <v>245</v>
      </c>
      <c r="B91" s="44" t="s">
        <v>246</v>
      </c>
      <c r="C91" s="45" t="s">
        <v>247</v>
      </c>
      <c r="D91" s="212">
        <f>D7+D47</f>
        <v>0</v>
      </c>
      <c r="E91" s="213">
        <f>E7+E47</f>
        <v>0</v>
      </c>
    </row>
    <row r="92" spans="1:5" ht="12.75" hidden="1" customHeight="1" thickBot="1" x14ac:dyDescent="0.3">
      <c r="A92" s="49" t="s">
        <v>248</v>
      </c>
      <c r="B92" s="2453" t="s">
        <v>249</v>
      </c>
      <c r="C92" s="2454"/>
      <c r="D92" s="198" t="s">
        <v>653</v>
      </c>
      <c r="E92" s="199" t="s">
        <v>654</v>
      </c>
    </row>
    <row r="93" spans="1:5" ht="12.75" hidden="1" customHeight="1" x14ac:dyDescent="0.25">
      <c r="A93" s="50" t="s">
        <v>250</v>
      </c>
      <c r="B93" s="37" t="s">
        <v>251</v>
      </c>
      <c r="C93" s="38" t="s">
        <v>252</v>
      </c>
      <c r="D93" s="202">
        <f>D94+D98</f>
        <v>0</v>
      </c>
      <c r="E93" s="203">
        <f>E94+E98</f>
        <v>0</v>
      </c>
    </row>
    <row r="94" spans="1:5" ht="12.75" hidden="1" customHeight="1" x14ac:dyDescent="0.25">
      <c r="A94" s="39" t="s">
        <v>253</v>
      </c>
      <c r="B94" s="40" t="s">
        <v>254</v>
      </c>
      <c r="C94" s="41" t="s">
        <v>255</v>
      </c>
      <c r="D94" s="204">
        <f>SUM(D95:D97)</f>
        <v>0</v>
      </c>
      <c r="E94" s="205">
        <f>SUM(E95:E97)</f>
        <v>0</v>
      </c>
    </row>
    <row r="95" spans="1:5" ht="12.75" hidden="1" customHeight="1" x14ac:dyDescent="0.25">
      <c r="A95" s="39" t="s">
        <v>256</v>
      </c>
      <c r="B95" s="40" t="s">
        <v>257</v>
      </c>
      <c r="C95" s="41" t="s">
        <v>258</v>
      </c>
      <c r="D95" s="206"/>
      <c r="E95" s="207"/>
    </row>
    <row r="96" spans="1:5" ht="12.75" hidden="1" customHeight="1" x14ac:dyDescent="0.25">
      <c r="A96" s="39" t="s">
        <v>259</v>
      </c>
      <c r="B96" s="40" t="s">
        <v>260</v>
      </c>
      <c r="C96" s="41" t="s">
        <v>261</v>
      </c>
      <c r="D96" s="206"/>
      <c r="E96" s="207"/>
    </row>
    <row r="97" spans="1:6" ht="12.75" hidden="1" customHeight="1" x14ac:dyDescent="0.25">
      <c r="A97" s="39" t="s">
        <v>262</v>
      </c>
      <c r="B97" s="40" t="s">
        <v>263</v>
      </c>
      <c r="C97" s="41" t="s">
        <v>264</v>
      </c>
      <c r="D97" s="206"/>
      <c r="E97" s="207"/>
      <c r="F97" s="140"/>
    </row>
    <row r="98" spans="1:6" ht="12.75" hidden="1" customHeight="1" x14ac:dyDescent="0.25">
      <c r="A98" s="42" t="s">
        <v>690</v>
      </c>
      <c r="B98" s="40" t="s">
        <v>265</v>
      </c>
      <c r="C98" s="41" t="s">
        <v>266</v>
      </c>
      <c r="D98" s="204">
        <f>SUM(D99:D101)</f>
        <v>0</v>
      </c>
      <c r="E98" s="205">
        <f>SUM(E99:E101)</f>
        <v>0</v>
      </c>
    </row>
    <row r="99" spans="1:6" ht="12.75" hidden="1" customHeight="1" x14ac:dyDescent="0.25">
      <c r="A99" s="39" t="s">
        <v>267</v>
      </c>
      <c r="B99" s="40" t="s">
        <v>268</v>
      </c>
      <c r="C99" s="41" t="s">
        <v>269</v>
      </c>
      <c r="D99" s="206"/>
      <c r="E99" s="207"/>
    </row>
    <row r="100" spans="1:6" ht="12.75" hidden="1" customHeight="1" x14ac:dyDescent="0.25">
      <c r="A100" s="39" t="s">
        <v>270</v>
      </c>
      <c r="B100" s="40" t="s">
        <v>271</v>
      </c>
      <c r="C100" s="41" t="s">
        <v>272</v>
      </c>
      <c r="D100" s="206"/>
      <c r="E100" s="207"/>
    </row>
    <row r="101" spans="1:6" ht="12.75" hidden="1" customHeight="1" x14ac:dyDescent="0.25">
      <c r="A101" s="39" t="s">
        <v>692</v>
      </c>
      <c r="B101" s="40" t="s">
        <v>273</v>
      </c>
      <c r="C101" s="41" t="s">
        <v>274</v>
      </c>
      <c r="D101" s="206"/>
      <c r="E101" s="207"/>
    </row>
    <row r="102" spans="1:6" ht="12.75" hidden="1" customHeight="1" x14ac:dyDescent="0.25">
      <c r="A102" s="39" t="s">
        <v>275</v>
      </c>
      <c r="B102" s="51" t="s">
        <v>276</v>
      </c>
      <c r="C102" s="41" t="s">
        <v>277</v>
      </c>
      <c r="D102" s="204">
        <f>D103+D105+D113+D137</f>
        <v>0</v>
      </c>
      <c r="E102" s="205">
        <f>E103+E105+E113+E137</f>
        <v>0</v>
      </c>
    </row>
    <row r="103" spans="1:6" ht="12.75" hidden="1" customHeight="1" x14ac:dyDescent="0.25">
      <c r="A103" s="39" t="s">
        <v>278</v>
      </c>
      <c r="B103" s="40" t="s">
        <v>279</v>
      </c>
      <c r="C103" s="41" t="s">
        <v>280</v>
      </c>
      <c r="D103" s="206"/>
      <c r="E103" s="207"/>
    </row>
    <row r="104" spans="1:6" ht="12.75" hidden="1" customHeight="1" x14ac:dyDescent="0.25">
      <c r="A104" s="39" t="s">
        <v>281</v>
      </c>
      <c r="B104" s="40" t="s">
        <v>282</v>
      </c>
      <c r="C104" s="41" t="s">
        <v>283</v>
      </c>
      <c r="D104" s="206"/>
      <c r="E104" s="207"/>
    </row>
    <row r="105" spans="1:6" ht="12.75" hidden="1" customHeight="1" x14ac:dyDescent="0.25">
      <c r="A105" s="39" t="s">
        <v>284</v>
      </c>
      <c r="B105" s="40" t="s">
        <v>285</v>
      </c>
      <c r="C105" s="41" t="s">
        <v>286</v>
      </c>
      <c r="D105" s="204">
        <f>SUM(D106:D112)</f>
        <v>0</v>
      </c>
      <c r="E105" s="205">
        <f>SUM(E106:E112)</f>
        <v>0</v>
      </c>
    </row>
    <row r="106" spans="1:6" ht="12.75" hidden="1" customHeight="1" x14ac:dyDescent="0.25">
      <c r="A106" s="39" t="s">
        <v>287</v>
      </c>
      <c r="B106" s="40" t="s">
        <v>288</v>
      </c>
      <c r="C106" s="41" t="s">
        <v>289</v>
      </c>
      <c r="D106" s="206"/>
      <c r="E106" s="207"/>
    </row>
    <row r="107" spans="1:6" ht="12.75" hidden="1" customHeight="1" x14ac:dyDescent="0.25">
      <c r="A107" s="39" t="s">
        <v>604</v>
      </c>
      <c r="B107" s="40" t="s">
        <v>290</v>
      </c>
      <c r="C107" s="41" t="s">
        <v>291</v>
      </c>
      <c r="D107" s="206"/>
      <c r="E107" s="207"/>
    </row>
    <row r="108" spans="1:6" ht="12.75" hidden="1" customHeight="1" x14ac:dyDescent="0.25">
      <c r="A108" s="39" t="s">
        <v>292</v>
      </c>
      <c r="B108" s="40" t="s">
        <v>293</v>
      </c>
      <c r="C108" s="41" t="s">
        <v>294</v>
      </c>
      <c r="D108" s="206"/>
      <c r="E108" s="207"/>
    </row>
    <row r="109" spans="1:6" ht="12.75" hidden="1" customHeight="1" x14ac:dyDescent="0.25">
      <c r="A109" s="39" t="s">
        <v>295</v>
      </c>
      <c r="B109" s="40" t="s">
        <v>296</v>
      </c>
      <c r="C109" s="41" t="s">
        <v>297</v>
      </c>
      <c r="D109" s="206"/>
      <c r="E109" s="207"/>
    </row>
    <row r="110" spans="1:6" ht="12.75" hidden="1" customHeight="1" x14ac:dyDescent="0.25">
      <c r="A110" s="39" t="s">
        <v>298</v>
      </c>
      <c r="B110" s="40" t="s">
        <v>299</v>
      </c>
      <c r="C110" s="41" t="s">
        <v>300</v>
      </c>
      <c r="D110" s="206"/>
      <c r="E110" s="207"/>
    </row>
    <row r="111" spans="1:6" ht="12.75" hidden="1" customHeight="1" x14ac:dyDescent="0.25">
      <c r="A111" s="39" t="s">
        <v>301</v>
      </c>
      <c r="B111" s="40" t="s">
        <v>302</v>
      </c>
      <c r="C111" s="41" t="s">
        <v>303</v>
      </c>
      <c r="D111" s="206"/>
      <c r="E111" s="207"/>
    </row>
    <row r="112" spans="1:6" ht="12.75" hidden="1" customHeight="1" x14ac:dyDescent="0.25">
      <c r="A112" s="39" t="s">
        <v>304</v>
      </c>
      <c r="B112" s="40" t="s">
        <v>305</v>
      </c>
      <c r="C112" s="41" t="s">
        <v>306</v>
      </c>
      <c r="D112" s="206"/>
      <c r="E112" s="207"/>
    </row>
    <row r="113" spans="1:5" ht="12.75" hidden="1" customHeight="1" x14ac:dyDescent="0.25">
      <c r="A113" s="42" t="s">
        <v>307</v>
      </c>
      <c r="B113" s="40" t="s">
        <v>308</v>
      </c>
      <c r="C113" s="41" t="s">
        <v>309</v>
      </c>
      <c r="D113" s="204">
        <f>SUM(D114:D136)</f>
        <v>0</v>
      </c>
      <c r="E113" s="205">
        <f>SUM(E114:E136)</f>
        <v>0</v>
      </c>
    </row>
    <row r="114" spans="1:5" ht="12.75" hidden="1" customHeight="1" x14ac:dyDescent="0.25">
      <c r="A114" s="39" t="s">
        <v>310</v>
      </c>
      <c r="B114" s="40" t="s">
        <v>311</v>
      </c>
      <c r="C114" s="41" t="s">
        <v>312</v>
      </c>
      <c r="D114" s="206"/>
      <c r="E114" s="207"/>
    </row>
    <row r="115" spans="1:5" ht="12.75" hidden="1" customHeight="1" x14ac:dyDescent="0.25">
      <c r="A115" s="39" t="s">
        <v>313</v>
      </c>
      <c r="B115" s="40" t="s">
        <v>314</v>
      </c>
      <c r="C115" s="41" t="s">
        <v>315</v>
      </c>
      <c r="D115" s="206"/>
      <c r="E115" s="207"/>
    </row>
    <row r="116" spans="1:5" ht="12.75" hidden="1" customHeight="1" x14ac:dyDescent="0.25">
      <c r="A116" s="39" t="s">
        <v>316</v>
      </c>
      <c r="B116" s="40" t="s">
        <v>317</v>
      </c>
      <c r="C116" s="41" t="s">
        <v>318</v>
      </c>
      <c r="D116" s="206"/>
      <c r="E116" s="207"/>
    </row>
    <row r="117" spans="1:5" ht="12.75" hidden="1" customHeight="1" x14ac:dyDescent="0.25">
      <c r="A117" s="39" t="s">
        <v>319</v>
      </c>
      <c r="B117" s="40" t="s">
        <v>320</v>
      </c>
      <c r="C117" s="41" t="s">
        <v>321</v>
      </c>
      <c r="D117" s="206"/>
      <c r="E117" s="207"/>
    </row>
    <row r="118" spans="1:5" ht="12.75" hidden="1" customHeight="1" x14ac:dyDescent="0.25">
      <c r="A118" s="39" t="s">
        <v>322</v>
      </c>
      <c r="B118" s="40" t="s">
        <v>323</v>
      </c>
      <c r="C118" s="41" t="s">
        <v>324</v>
      </c>
      <c r="D118" s="206"/>
      <c r="E118" s="207"/>
    </row>
    <row r="119" spans="1:5" ht="12.75" hidden="1" customHeight="1" x14ac:dyDescent="0.25">
      <c r="A119" s="39" t="s">
        <v>325</v>
      </c>
      <c r="B119" s="40" t="s">
        <v>326</v>
      </c>
      <c r="C119" s="41" t="s">
        <v>327</v>
      </c>
      <c r="D119" s="206"/>
      <c r="E119" s="207"/>
    </row>
    <row r="120" spans="1:5" ht="12.75" hidden="1" customHeight="1" x14ac:dyDescent="0.25">
      <c r="A120" s="39" t="s">
        <v>659</v>
      </c>
      <c r="B120" s="40" t="s">
        <v>171</v>
      </c>
      <c r="C120" s="41" t="s">
        <v>328</v>
      </c>
      <c r="D120" s="206"/>
      <c r="E120" s="207"/>
    </row>
    <row r="121" spans="1:5" ht="12.75" hidden="1" customHeight="1" x14ac:dyDescent="0.25">
      <c r="A121" s="39" t="s">
        <v>329</v>
      </c>
      <c r="B121" s="40" t="s">
        <v>174</v>
      </c>
      <c r="C121" s="41" t="s">
        <v>330</v>
      </c>
      <c r="D121" s="206"/>
      <c r="E121" s="207"/>
    </row>
    <row r="122" spans="1:5" ht="12.75" hidden="1" customHeight="1" x14ac:dyDescent="0.25">
      <c r="A122" s="39" t="s">
        <v>331</v>
      </c>
      <c r="B122" s="40" t="s">
        <v>177</v>
      </c>
      <c r="C122" s="41" t="s">
        <v>332</v>
      </c>
      <c r="D122" s="206"/>
      <c r="E122" s="207"/>
    </row>
    <row r="123" spans="1:5" ht="12.75" hidden="1" customHeight="1" x14ac:dyDescent="0.25">
      <c r="A123" s="39" t="s">
        <v>333</v>
      </c>
      <c r="B123" s="40" t="s">
        <v>180</v>
      </c>
      <c r="C123" s="41" t="s">
        <v>334</v>
      </c>
      <c r="D123" s="206"/>
      <c r="E123" s="207"/>
    </row>
    <row r="124" spans="1:5" ht="12.75" hidden="1" customHeight="1" x14ac:dyDescent="0.25">
      <c r="A124" s="39" t="s">
        <v>335</v>
      </c>
      <c r="B124" s="40" t="s">
        <v>183</v>
      </c>
      <c r="C124" s="41" t="s">
        <v>336</v>
      </c>
      <c r="D124" s="206"/>
      <c r="E124" s="207"/>
    </row>
    <row r="125" spans="1:5" ht="12.75" hidden="1" customHeight="1" x14ac:dyDescent="0.25">
      <c r="A125" s="39" t="s">
        <v>337</v>
      </c>
      <c r="B125" s="40" t="s">
        <v>186</v>
      </c>
      <c r="C125" s="41" t="s">
        <v>338</v>
      </c>
      <c r="D125" s="206"/>
      <c r="E125" s="207"/>
    </row>
    <row r="126" spans="1:5" hidden="1" x14ac:dyDescent="0.25">
      <c r="A126" s="39" t="s">
        <v>686</v>
      </c>
      <c r="B126" s="40" t="s">
        <v>188</v>
      </c>
      <c r="C126" s="41" t="s">
        <v>339</v>
      </c>
      <c r="D126" s="206"/>
      <c r="E126" s="207"/>
    </row>
    <row r="127" spans="1:5" hidden="1" x14ac:dyDescent="0.25">
      <c r="A127" s="351" t="s">
        <v>691</v>
      </c>
      <c r="B127" s="40" t="s">
        <v>340</v>
      </c>
      <c r="C127" s="41" t="s">
        <v>341</v>
      </c>
      <c r="D127" s="206"/>
      <c r="E127" s="207"/>
    </row>
    <row r="128" spans="1:5" ht="12.75" hidden="1" customHeight="1" x14ac:dyDescent="0.25">
      <c r="A128" s="39" t="s">
        <v>342</v>
      </c>
      <c r="B128" s="40" t="s">
        <v>343</v>
      </c>
      <c r="C128" s="41" t="s">
        <v>344</v>
      </c>
      <c r="D128" s="206"/>
      <c r="E128" s="207"/>
    </row>
    <row r="129" spans="1:5" ht="12.75" hidden="1" customHeight="1" x14ac:dyDescent="0.25">
      <c r="A129" s="39" t="s">
        <v>345</v>
      </c>
      <c r="B129" s="40" t="s">
        <v>193</v>
      </c>
      <c r="C129" s="41" t="s">
        <v>346</v>
      </c>
      <c r="D129" s="206"/>
      <c r="E129" s="207"/>
    </row>
    <row r="130" spans="1:5" ht="12.75" hidden="1" customHeight="1" x14ac:dyDescent="0.25">
      <c r="A130" s="39" t="s">
        <v>347</v>
      </c>
      <c r="B130" s="40" t="s">
        <v>348</v>
      </c>
      <c r="C130" s="41" t="s">
        <v>349</v>
      </c>
      <c r="D130" s="206"/>
      <c r="E130" s="207"/>
    </row>
    <row r="131" spans="1:5" ht="12.75" hidden="1" customHeight="1" x14ac:dyDescent="0.25">
      <c r="A131" s="39" t="s">
        <v>350</v>
      </c>
      <c r="B131" s="40" t="s">
        <v>351</v>
      </c>
      <c r="C131" s="41" t="s">
        <v>352</v>
      </c>
      <c r="D131" s="206"/>
      <c r="E131" s="207"/>
    </row>
    <row r="132" spans="1:5" ht="12.75" hidden="1" customHeight="1" x14ac:dyDescent="0.25">
      <c r="A132" s="39" t="s">
        <v>353</v>
      </c>
      <c r="B132" s="40" t="s">
        <v>354</v>
      </c>
      <c r="C132" s="41" t="s">
        <v>355</v>
      </c>
      <c r="D132" s="206"/>
      <c r="E132" s="207"/>
    </row>
    <row r="133" spans="1:5" ht="12.75" hidden="1" customHeight="1" x14ac:dyDescent="0.25">
      <c r="A133" s="39" t="s">
        <v>605</v>
      </c>
      <c r="B133" s="40" t="s">
        <v>356</v>
      </c>
      <c r="C133" s="41" t="s">
        <v>357</v>
      </c>
      <c r="D133" s="206"/>
      <c r="E133" s="207"/>
    </row>
    <row r="134" spans="1:5" ht="12.75" hidden="1" customHeight="1" x14ac:dyDescent="0.25">
      <c r="A134" s="39" t="s">
        <v>358</v>
      </c>
      <c r="B134" s="40" t="s">
        <v>359</v>
      </c>
      <c r="C134" s="41" t="s">
        <v>360</v>
      </c>
      <c r="D134" s="206"/>
      <c r="E134" s="207"/>
    </row>
    <row r="135" spans="1:5" ht="12.75" hidden="1" customHeight="1" x14ac:dyDescent="0.25">
      <c r="A135" s="39" t="s">
        <v>361</v>
      </c>
      <c r="B135" s="40" t="s">
        <v>302</v>
      </c>
      <c r="C135" s="41" t="s">
        <v>362</v>
      </c>
      <c r="D135" s="206"/>
      <c r="E135" s="207"/>
    </row>
    <row r="136" spans="1:5" ht="12.75" hidden="1" customHeight="1" x14ac:dyDescent="0.25">
      <c r="A136" s="39" t="s">
        <v>363</v>
      </c>
      <c r="B136" s="40" t="s">
        <v>364</v>
      </c>
      <c r="C136" s="41" t="s">
        <v>365</v>
      </c>
      <c r="D136" s="206"/>
      <c r="E136" s="207"/>
    </row>
    <row r="137" spans="1:5" ht="12.75" hidden="1" customHeight="1" x14ac:dyDescent="0.25">
      <c r="A137" s="42" t="s">
        <v>366</v>
      </c>
      <c r="B137" s="40" t="s">
        <v>367</v>
      </c>
      <c r="C137" s="41" t="s">
        <v>368</v>
      </c>
      <c r="D137" s="204">
        <f>SUM(D138:D140)</f>
        <v>0</v>
      </c>
      <c r="E137" s="205">
        <f>SUM(E138:E140)</f>
        <v>0</v>
      </c>
    </row>
    <row r="138" spans="1:5" ht="12.75" hidden="1" customHeight="1" x14ac:dyDescent="0.25">
      <c r="A138" s="39" t="s">
        <v>369</v>
      </c>
      <c r="B138" s="40" t="s">
        <v>370</v>
      </c>
      <c r="C138" s="41" t="s">
        <v>371</v>
      </c>
      <c r="D138" s="206"/>
      <c r="E138" s="207"/>
    </row>
    <row r="139" spans="1:5" ht="12.75" hidden="1" customHeight="1" x14ac:dyDescent="0.25">
      <c r="A139" s="39" t="s">
        <v>372</v>
      </c>
      <c r="B139" s="40" t="s">
        <v>373</v>
      </c>
      <c r="C139" s="41" t="s">
        <v>374</v>
      </c>
      <c r="D139" s="206"/>
      <c r="E139" s="207"/>
    </row>
    <row r="140" spans="1:5" ht="12.75" hidden="1" customHeight="1" x14ac:dyDescent="0.25">
      <c r="A140" s="39" t="s">
        <v>375</v>
      </c>
      <c r="B140" s="40" t="s">
        <v>376</v>
      </c>
      <c r="C140" s="41" t="s">
        <v>377</v>
      </c>
      <c r="D140" s="206"/>
      <c r="E140" s="207"/>
    </row>
    <row r="141" spans="1:5" ht="12.75" hidden="1" customHeight="1" thickBot="1" x14ac:dyDescent="0.3">
      <c r="A141" s="43" t="s">
        <v>378</v>
      </c>
      <c r="B141" s="52" t="s">
        <v>379</v>
      </c>
      <c r="C141" s="45" t="s">
        <v>380</v>
      </c>
      <c r="D141" s="214">
        <f>D93+D102</f>
        <v>0</v>
      </c>
      <c r="E141" s="213">
        <f>E93+E102</f>
        <v>0</v>
      </c>
    </row>
    <row r="142" spans="1:5" ht="12.75" hidden="1" customHeight="1" x14ac:dyDescent="0.25">
      <c r="A142" s="53"/>
      <c r="B142" s="54"/>
      <c r="C142" s="54"/>
    </row>
    <row r="143" spans="1:5" ht="12.75" hidden="1" customHeight="1" x14ac:dyDescent="0.25">
      <c r="A143" s="53" t="s">
        <v>638</v>
      </c>
      <c r="B143" s="54"/>
      <c r="C143" s="54"/>
    </row>
    <row r="144" spans="1:5" ht="12.75" hidden="1" customHeight="1" x14ac:dyDescent="0.25">
      <c r="A144" s="55" t="s">
        <v>657</v>
      </c>
      <c r="B144" s="56"/>
      <c r="C144" s="56"/>
    </row>
    <row r="145" spans="1:5" hidden="1" x14ac:dyDescent="0.25">
      <c r="A145" s="190" t="s">
        <v>1188</v>
      </c>
    </row>
    <row r="146" spans="1:5" ht="12.75" hidden="1" customHeight="1" x14ac:dyDescent="0.25">
      <c r="A146" s="188" t="s">
        <v>658</v>
      </c>
    </row>
    <row r="147" spans="1:5" ht="12.75" hidden="1" customHeight="1" x14ac:dyDescent="0.25">
      <c r="A147" s="190" t="s">
        <v>1118</v>
      </c>
    </row>
    <row r="149" spans="1:5" ht="12.75" customHeight="1" x14ac:dyDescent="0.25">
      <c r="A149" s="910" t="s">
        <v>1278</v>
      </c>
    </row>
    <row r="150" spans="1:5" ht="12.75" customHeight="1" x14ac:dyDescent="0.25">
      <c r="A150" s="2457" t="s">
        <v>816</v>
      </c>
      <c r="B150" s="2457"/>
      <c r="C150" s="2457"/>
      <c r="D150" s="2457"/>
      <c r="E150" s="2457"/>
    </row>
    <row r="151" spans="1:5" ht="12.75" customHeight="1" thickBot="1" x14ac:dyDescent="0.3">
      <c r="A151" s="2458"/>
      <c r="B151" s="2458"/>
      <c r="C151" s="2458"/>
      <c r="D151" s="2458"/>
      <c r="E151" s="2458"/>
    </row>
    <row r="152" spans="1:5" ht="12.75" customHeight="1" thickBot="1" x14ac:dyDescent="0.3">
      <c r="A152" s="2461" t="s">
        <v>655</v>
      </c>
      <c r="B152" s="2462"/>
      <c r="C152" s="2462"/>
      <c r="D152" s="2462"/>
      <c r="E152" s="2463"/>
    </row>
    <row r="153" spans="1:5" ht="12.75" customHeight="1" thickBot="1" x14ac:dyDescent="0.3">
      <c r="A153" s="2464" t="s">
        <v>606</v>
      </c>
      <c r="B153" s="2465"/>
      <c r="C153" s="2465"/>
      <c r="D153" s="2465"/>
      <c r="E153" s="2466"/>
    </row>
    <row r="154" spans="1:5" ht="12.75" customHeight="1" thickBot="1" x14ac:dyDescent="0.3">
      <c r="A154" s="2344" t="s">
        <v>607</v>
      </c>
      <c r="B154" s="2345" t="s">
        <v>656</v>
      </c>
      <c r="C154" s="2346" t="s">
        <v>829</v>
      </c>
      <c r="D154" s="1766" t="s">
        <v>830</v>
      </c>
      <c r="E154" s="1767" t="s">
        <v>831</v>
      </c>
    </row>
    <row r="155" spans="1:5" ht="12.75" customHeight="1" x14ac:dyDescent="0.25">
      <c r="A155" s="36" t="s">
        <v>0</v>
      </c>
      <c r="B155" s="2455"/>
      <c r="C155" s="2456"/>
      <c r="D155" s="200" t="s">
        <v>586</v>
      </c>
      <c r="E155" s="201" t="s">
        <v>589</v>
      </c>
    </row>
    <row r="156" spans="1:5" ht="12.75" customHeight="1" x14ac:dyDescent="0.25">
      <c r="A156" s="161" t="s">
        <v>1</v>
      </c>
      <c r="B156" s="1663" t="s">
        <v>2</v>
      </c>
      <c r="C156" s="1664" t="s">
        <v>3</v>
      </c>
      <c r="D156" s="1665">
        <f>D157+D165+D176+D184</f>
        <v>1589558.2499999998</v>
      </c>
      <c r="E156" s="1666">
        <f>E157+E165+E176+E184</f>
        <v>1640127.0899999999</v>
      </c>
    </row>
    <row r="157" spans="1:5" ht="12.75" customHeight="1" x14ac:dyDescent="0.25">
      <c r="A157" s="161" t="s">
        <v>4</v>
      </c>
      <c r="B157" s="1663" t="s">
        <v>5</v>
      </c>
      <c r="C157" s="1664" t="s">
        <v>6</v>
      </c>
      <c r="D157" s="1667">
        <f>SUM(D158:D164)</f>
        <v>16593.84</v>
      </c>
      <c r="E157" s="1668">
        <f>SUM(E158:E164)</f>
        <v>18174.840000000004</v>
      </c>
    </row>
    <row r="158" spans="1:5" ht="12.75" customHeight="1" x14ac:dyDescent="0.25">
      <c r="A158" s="39" t="s">
        <v>7</v>
      </c>
      <c r="B158" s="40" t="s">
        <v>8</v>
      </c>
      <c r="C158" s="41" t="s">
        <v>9</v>
      </c>
      <c r="D158" s="1661">
        <v>0</v>
      </c>
      <c r="E158" s="1662">
        <v>0</v>
      </c>
    </row>
    <row r="159" spans="1:5" ht="12.75" customHeight="1" x14ac:dyDescent="0.25">
      <c r="A159" s="39" t="s">
        <v>10</v>
      </c>
      <c r="B159" s="40" t="s">
        <v>11</v>
      </c>
      <c r="C159" s="41" t="s">
        <v>12</v>
      </c>
      <c r="D159" s="1661">
        <v>15055.1</v>
      </c>
      <c r="E159" s="1662">
        <v>16830.79</v>
      </c>
    </row>
    <row r="160" spans="1:5" ht="12.75" customHeight="1" x14ac:dyDescent="0.25">
      <c r="A160" s="39" t="s">
        <v>13</v>
      </c>
      <c r="B160" s="40" t="s">
        <v>14</v>
      </c>
      <c r="C160" s="41" t="s">
        <v>15</v>
      </c>
      <c r="D160" s="1661">
        <v>1223.1500000000001</v>
      </c>
      <c r="E160" s="1662">
        <v>1223.1500000000001</v>
      </c>
    </row>
    <row r="161" spans="1:5" ht="12.75" customHeight="1" x14ac:dyDescent="0.25">
      <c r="A161" s="39" t="s">
        <v>16</v>
      </c>
      <c r="B161" s="40" t="s">
        <v>17</v>
      </c>
      <c r="C161" s="41" t="s">
        <v>18</v>
      </c>
      <c r="D161" s="1661">
        <v>315.58999999999997</v>
      </c>
      <c r="E161" s="1662">
        <v>120.9</v>
      </c>
    </row>
    <row r="162" spans="1:5" ht="12.75" customHeight="1" x14ac:dyDescent="0.25">
      <c r="A162" s="39" t="s">
        <v>19</v>
      </c>
      <c r="B162" s="40" t="s">
        <v>20</v>
      </c>
      <c r="C162" s="41" t="s">
        <v>21</v>
      </c>
      <c r="D162" s="1661">
        <v>0</v>
      </c>
      <c r="E162" s="1662">
        <v>0</v>
      </c>
    </row>
    <row r="163" spans="1:5" ht="12.75" customHeight="1" x14ac:dyDescent="0.25">
      <c r="A163" s="39" t="s">
        <v>22</v>
      </c>
      <c r="B163" s="40" t="s">
        <v>23</v>
      </c>
      <c r="C163" s="41" t="s">
        <v>24</v>
      </c>
      <c r="D163" s="1661">
        <v>0</v>
      </c>
      <c r="E163" s="1662">
        <v>0</v>
      </c>
    </row>
    <row r="164" spans="1:5" ht="12.75" customHeight="1" x14ac:dyDescent="0.25">
      <c r="A164" s="39" t="s">
        <v>25</v>
      </c>
      <c r="B164" s="40" t="s">
        <v>26</v>
      </c>
      <c r="C164" s="41" t="s">
        <v>27</v>
      </c>
      <c r="D164" s="1661">
        <v>0</v>
      </c>
      <c r="E164" s="1662">
        <v>0</v>
      </c>
    </row>
    <row r="165" spans="1:5" ht="12.75" customHeight="1" x14ac:dyDescent="0.25">
      <c r="A165" s="1669" t="s">
        <v>28</v>
      </c>
      <c r="B165" s="1663" t="s">
        <v>29</v>
      </c>
      <c r="C165" s="1664" t="s">
        <v>30</v>
      </c>
      <c r="D165" s="1667">
        <f>SUM(D166:D175)</f>
        <v>1980006.1299999997</v>
      </c>
      <c r="E165" s="1668">
        <f>SUM(E166:E175)</f>
        <v>2030679.95</v>
      </c>
    </row>
    <row r="166" spans="1:5" ht="12.75" customHeight="1" x14ac:dyDescent="0.25">
      <c r="A166" s="39" t="s">
        <v>31</v>
      </c>
      <c r="B166" s="40" t="s">
        <v>32</v>
      </c>
      <c r="C166" s="41" t="s">
        <v>33</v>
      </c>
      <c r="D166" s="1661">
        <v>23301.63</v>
      </c>
      <c r="E166" s="1662">
        <v>24552.83</v>
      </c>
    </row>
    <row r="167" spans="1:5" ht="12.75" customHeight="1" x14ac:dyDescent="0.25">
      <c r="A167" s="39" t="s">
        <v>34</v>
      </c>
      <c r="B167" s="40" t="s">
        <v>35</v>
      </c>
      <c r="C167" s="41" t="s">
        <v>36</v>
      </c>
      <c r="D167" s="1661">
        <v>200</v>
      </c>
      <c r="E167" s="1662">
        <v>635</v>
      </c>
    </row>
    <row r="168" spans="1:5" ht="12.75" customHeight="1" x14ac:dyDescent="0.25">
      <c r="A168" s="39" t="s">
        <v>37</v>
      </c>
      <c r="B168" s="40" t="s">
        <v>38</v>
      </c>
      <c r="C168" s="41" t="s">
        <v>39</v>
      </c>
      <c r="D168" s="1661">
        <v>1616509.22</v>
      </c>
      <c r="E168" s="1662">
        <v>1657704.38</v>
      </c>
    </row>
    <row r="169" spans="1:5" ht="12.75" customHeight="1" x14ac:dyDescent="0.25">
      <c r="A169" s="39" t="s">
        <v>40</v>
      </c>
      <c r="B169" s="40" t="s">
        <v>41</v>
      </c>
      <c r="C169" s="41" t="s">
        <v>42</v>
      </c>
      <c r="D169" s="1661">
        <v>272002.62</v>
      </c>
      <c r="E169" s="1662">
        <v>275356.19</v>
      </c>
    </row>
    <row r="170" spans="1:5" ht="12.75" customHeight="1" x14ac:dyDescent="0.25">
      <c r="A170" s="39" t="s">
        <v>43</v>
      </c>
      <c r="B170" s="40" t="s">
        <v>44</v>
      </c>
      <c r="C170" s="41" t="s">
        <v>45</v>
      </c>
      <c r="D170" s="1661">
        <v>0</v>
      </c>
      <c r="E170" s="1662">
        <v>0</v>
      </c>
    </row>
    <row r="171" spans="1:5" ht="12.75" customHeight="1" x14ac:dyDescent="0.25">
      <c r="A171" s="39" t="s">
        <v>46</v>
      </c>
      <c r="B171" s="40" t="s">
        <v>47</v>
      </c>
      <c r="C171" s="41" t="s">
        <v>48</v>
      </c>
      <c r="D171" s="1661">
        <v>0</v>
      </c>
      <c r="E171" s="1662">
        <v>0</v>
      </c>
    </row>
    <row r="172" spans="1:5" ht="12.75" customHeight="1" x14ac:dyDescent="0.25">
      <c r="A172" s="39" t="s">
        <v>49</v>
      </c>
      <c r="B172" s="40" t="s">
        <v>50</v>
      </c>
      <c r="C172" s="41" t="s">
        <v>51</v>
      </c>
      <c r="D172" s="1661">
        <v>32292.18</v>
      </c>
      <c r="E172" s="1662">
        <v>30149.03</v>
      </c>
    </row>
    <row r="173" spans="1:5" ht="12.75" customHeight="1" x14ac:dyDescent="0.25">
      <c r="A173" s="39" t="s">
        <v>52</v>
      </c>
      <c r="B173" s="40" t="s">
        <v>53</v>
      </c>
      <c r="C173" s="41" t="s">
        <v>54</v>
      </c>
      <c r="D173" s="1661">
        <v>0</v>
      </c>
      <c r="E173" s="1662">
        <v>0</v>
      </c>
    </row>
    <row r="174" spans="1:5" ht="12.75" customHeight="1" x14ac:dyDescent="0.25">
      <c r="A174" s="39" t="s">
        <v>55</v>
      </c>
      <c r="B174" s="40" t="s">
        <v>56</v>
      </c>
      <c r="C174" s="41" t="s">
        <v>57</v>
      </c>
      <c r="D174" s="1661">
        <v>35155.980000000003</v>
      </c>
      <c r="E174" s="1662">
        <v>40322.32</v>
      </c>
    </row>
    <row r="175" spans="1:5" ht="12.75" customHeight="1" x14ac:dyDescent="0.25">
      <c r="A175" s="39" t="s">
        <v>58</v>
      </c>
      <c r="B175" s="40" t="s">
        <v>59</v>
      </c>
      <c r="C175" s="41" t="s">
        <v>60</v>
      </c>
      <c r="D175" s="1661">
        <v>544.5</v>
      </c>
      <c r="E175" s="1662">
        <v>1960.2</v>
      </c>
    </row>
    <row r="176" spans="1:5" ht="12.75" customHeight="1" x14ac:dyDescent="0.25">
      <c r="A176" s="1669" t="s">
        <v>61</v>
      </c>
      <c r="B176" s="1663" t="s">
        <v>62</v>
      </c>
      <c r="C176" s="1664" t="s">
        <v>63</v>
      </c>
      <c r="D176" s="1667">
        <f>SUM(D177:D183)</f>
        <v>0</v>
      </c>
      <c r="E176" s="1668">
        <f>SUM(E177:E183)</f>
        <v>0</v>
      </c>
    </row>
    <row r="177" spans="1:5" ht="12.75" customHeight="1" x14ac:dyDescent="0.25">
      <c r="A177" s="39" t="s">
        <v>64</v>
      </c>
      <c r="B177" s="40" t="s">
        <v>65</v>
      </c>
      <c r="C177" s="41" t="s">
        <v>66</v>
      </c>
      <c r="D177" s="1661">
        <v>0</v>
      </c>
      <c r="E177" s="1662">
        <v>0</v>
      </c>
    </row>
    <row r="178" spans="1:5" ht="12.75" customHeight="1" x14ac:dyDescent="0.25">
      <c r="A178" s="39" t="s">
        <v>67</v>
      </c>
      <c r="B178" s="40" t="s">
        <v>68</v>
      </c>
      <c r="C178" s="41" t="s">
        <v>69</v>
      </c>
      <c r="D178" s="1661">
        <v>0</v>
      </c>
      <c r="E178" s="1662">
        <v>0</v>
      </c>
    </row>
    <row r="179" spans="1:5" ht="12.75" customHeight="1" x14ac:dyDescent="0.25">
      <c r="A179" s="39" t="s">
        <v>70</v>
      </c>
      <c r="B179" s="40" t="s">
        <v>71</v>
      </c>
      <c r="C179" s="41" t="s">
        <v>72</v>
      </c>
      <c r="D179" s="1661">
        <v>0</v>
      </c>
      <c r="E179" s="1662">
        <v>0</v>
      </c>
    </row>
    <row r="180" spans="1:5" ht="12.75" customHeight="1" x14ac:dyDescent="0.25">
      <c r="A180" s="39" t="s">
        <v>73</v>
      </c>
      <c r="B180" s="40" t="s">
        <v>74</v>
      </c>
      <c r="C180" s="41" t="s">
        <v>75</v>
      </c>
      <c r="D180" s="1661">
        <v>0</v>
      </c>
      <c r="E180" s="1662">
        <v>0</v>
      </c>
    </row>
    <row r="181" spans="1:5" ht="12.75" customHeight="1" x14ac:dyDescent="0.25">
      <c r="A181" s="39" t="s">
        <v>76</v>
      </c>
      <c r="B181" s="40" t="s">
        <v>77</v>
      </c>
      <c r="C181" s="41" t="s">
        <v>78</v>
      </c>
      <c r="D181" s="1661">
        <v>0</v>
      </c>
      <c r="E181" s="1662">
        <v>0</v>
      </c>
    </row>
    <row r="182" spans="1:5" ht="12.75" customHeight="1" x14ac:dyDescent="0.25">
      <c r="A182" s="39" t="s">
        <v>79</v>
      </c>
      <c r="B182" s="40" t="s">
        <v>80</v>
      </c>
      <c r="C182" s="41" t="s">
        <v>81</v>
      </c>
      <c r="D182" s="1661">
        <v>0</v>
      </c>
      <c r="E182" s="1662">
        <v>0</v>
      </c>
    </row>
    <row r="183" spans="1:5" ht="12.75" customHeight="1" x14ac:dyDescent="0.25">
      <c r="A183" s="39" t="s">
        <v>601</v>
      </c>
      <c r="B183" s="40" t="s">
        <v>82</v>
      </c>
      <c r="C183" s="41" t="s">
        <v>83</v>
      </c>
      <c r="D183" s="1661">
        <v>0</v>
      </c>
      <c r="E183" s="1662">
        <v>0</v>
      </c>
    </row>
    <row r="184" spans="1:5" ht="12.75" customHeight="1" x14ac:dyDescent="0.25">
      <c r="A184" s="1669" t="s">
        <v>84</v>
      </c>
      <c r="B184" s="1663" t="s">
        <v>85</v>
      </c>
      <c r="C184" s="1664" t="s">
        <v>86</v>
      </c>
      <c r="D184" s="1667">
        <f>SUM(D185:D195)</f>
        <v>-407041.72000000003</v>
      </c>
      <c r="E184" s="1668">
        <f>SUM(E185:E195)</f>
        <v>-408727.70000000007</v>
      </c>
    </row>
    <row r="185" spans="1:5" ht="12.75" customHeight="1" x14ac:dyDescent="0.25">
      <c r="A185" s="39" t="s">
        <v>87</v>
      </c>
      <c r="B185" s="40" t="s">
        <v>88</v>
      </c>
      <c r="C185" s="41" t="s">
        <v>89</v>
      </c>
      <c r="D185" s="1661">
        <v>0</v>
      </c>
      <c r="E185" s="1662">
        <v>0</v>
      </c>
    </row>
    <row r="186" spans="1:5" ht="12.75" customHeight="1" x14ac:dyDescent="0.25">
      <c r="A186" s="39" t="s">
        <v>90</v>
      </c>
      <c r="B186" s="40" t="s">
        <v>91</v>
      </c>
      <c r="C186" s="41" t="s">
        <v>92</v>
      </c>
      <c r="D186" s="1661">
        <v>-11314.95</v>
      </c>
      <c r="E186" s="1662">
        <v>-12979.44</v>
      </c>
    </row>
    <row r="187" spans="1:5" ht="12.75" customHeight="1" x14ac:dyDescent="0.25">
      <c r="A187" s="39" t="s">
        <v>93</v>
      </c>
      <c r="B187" s="40" t="s">
        <v>94</v>
      </c>
      <c r="C187" s="41" t="s">
        <v>95</v>
      </c>
      <c r="D187" s="1661">
        <v>-1223.1500000000001</v>
      </c>
      <c r="E187" s="1662">
        <v>-1223.1500000000001</v>
      </c>
    </row>
    <row r="188" spans="1:5" ht="12.75" customHeight="1" x14ac:dyDescent="0.25">
      <c r="A188" s="39" t="s">
        <v>96</v>
      </c>
      <c r="B188" s="40" t="s">
        <v>97</v>
      </c>
      <c r="C188" s="41" t="s">
        <v>98</v>
      </c>
      <c r="D188" s="1661">
        <v>-315.58999999999997</v>
      </c>
      <c r="E188" s="1662">
        <v>-120.9</v>
      </c>
    </row>
    <row r="189" spans="1:5" ht="12.75" customHeight="1" x14ac:dyDescent="0.25">
      <c r="A189" s="39" t="s">
        <v>99</v>
      </c>
      <c r="B189" s="40" t="s">
        <v>100</v>
      </c>
      <c r="C189" s="41" t="s">
        <v>101</v>
      </c>
      <c r="D189" s="1661">
        <v>0</v>
      </c>
      <c r="E189" s="1662">
        <v>0</v>
      </c>
    </row>
    <row r="190" spans="1:5" ht="12.75" customHeight="1" x14ac:dyDescent="0.25">
      <c r="A190" s="39" t="s">
        <v>102</v>
      </c>
      <c r="B190" s="40" t="s">
        <v>103</v>
      </c>
      <c r="C190" s="41" t="s">
        <v>104</v>
      </c>
      <c r="D190" s="1661">
        <v>-163168.91</v>
      </c>
      <c r="E190" s="1662">
        <v>-169661.89</v>
      </c>
    </row>
    <row r="191" spans="1:5" ht="12.75" customHeight="1" x14ac:dyDescent="0.25">
      <c r="A191" s="39" t="s">
        <v>105</v>
      </c>
      <c r="B191" s="40" t="s">
        <v>106</v>
      </c>
      <c r="C191" s="41" t="s">
        <v>107</v>
      </c>
      <c r="D191" s="1661">
        <v>-198726.94</v>
      </c>
      <c r="E191" s="1662">
        <v>-194593.29</v>
      </c>
    </row>
    <row r="192" spans="1:5" ht="12.75" customHeight="1" x14ac:dyDescent="0.25">
      <c r="A192" s="39" t="s">
        <v>108</v>
      </c>
      <c r="B192" s="40" t="s">
        <v>109</v>
      </c>
      <c r="C192" s="41" t="s">
        <v>110</v>
      </c>
      <c r="D192" s="1661">
        <v>0</v>
      </c>
      <c r="E192" s="1662">
        <v>0</v>
      </c>
    </row>
    <row r="193" spans="1:5" ht="12.75" customHeight="1" x14ac:dyDescent="0.25">
      <c r="A193" s="39" t="s">
        <v>111</v>
      </c>
      <c r="B193" s="40" t="s">
        <v>112</v>
      </c>
      <c r="C193" s="41" t="s">
        <v>113</v>
      </c>
      <c r="D193" s="1661">
        <v>0</v>
      </c>
      <c r="E193" s="1662">
        <v>0</v>
      </c>
    </row>
    <row r="194" spans="1:5" ht="12.75" customHeight="1" x14ac:dyDescent="0.25">
      <c r="A194" s="39" t="s">
        <v>688</v>
      </c>
      <c r="B194" s="40" t="s">
        <v>114</v>
      </c>
      <c r="C194" s="41" t="s">
        <v>115</v>
      </c>
      <c r="D194" s="1661">
        <v>-32292.18</v>
      </c>
      <c r="E194" s="1662">
        <v>-30149.03</v>
      </c>
    </row>
    <row r="195" spans="1:5" ht="12.75" customHeight="1" thickBot="1" x14ac:dyDescent="0.3">
      <c r="A195" s="43" t="s">
        <v>689</v>
      </c>
      <c r="B195" s="44" t="s">
        <v>116</v>
      </c>
      <c r="C195" s="45" t="s">
        <v>117</v>
      </c>
      <c r="D195" s="1661">
        <v>0</v>
      </c>
      <c r="E195" s="1662">
        <v>0</v>
      </c>
    </row>
    <row r="196" spans="1:5" ht="12.75" customHeight="1" x14ac:dyDescent="0.25">
      <c r="A196" s="1670" t="s">
        <v>118</v>
      </c>
      <c r="B196" s="1671" t="s">
        <v>119</v>
      </c>
      <c r="C196" s="1672" t="s">
        <v>120</v>
      </c>
      <c r="D196" s="1673">
        <f>D197+D207+D227+D236</f>
        <v>185590.75000000003</v>
      </c>
      <c r="E196" s="1674">
        <f>E197+E207+E227+E236</f>
        <v>188750.78</v>
      </c>
    </row>
    <row r="197" spans="1:5" ht="12.75" customHeight="1" x14ac:dyDescent="0.25">
      <c r="A197" s="1669" t="s">
        <v>121</v>
      </c>
      <c r="B197" s="1663" t="s">
        <v>122</v>
      </c>
      <c r="C197" s="1664" t="s">
        <v>123</v>
      </c>
      <c r="D197" s="1667">
        <f>SUM(D198:D206)</f>
        <v>7214.97</v>
      </c>
      <c r="E197" s="1668">
        <f>SUM(E198:E206)</f>
        <v>6346.28</v>
      </c>
    </row>
    <row r="198" spans="1:5" ht="12.75" customHeight="1" x14ac:dyDescent="0.25">
      <c r="A198" s="39" t="s">
        <v>124</v>
      </c>
      <c r="B198" s="40" t="s">
        <v>125</v>
      </c>
      <c r="C198" s="41" t="s">
        <v>126</v>
      </c>
      <c r="D198" s="1661">
        <v>35.51</v>
      </c>
      <c r="E198" s="1662">
        <v>33.450000000000003</v>
      </c>
    </row>
    <row r="199" spans="1:5" ht="12.75" customHeight="1" x14ac:dyDescent="0.25">
      <c r="A199" s="39" t="s">
        <v>127</v>
      </c>
      <c r="B199" s="40" t="s">
        <v>128</v>
      </c>
      <c r="C199" s="41" t="s">
        <v>129</v>
      </c>
      <c r="D199" s="1661">
        <v>0</v>
      </c>
      <c r="E199" s="1662">
        <v>0</v>
      </c>
    </row>
    <row r="200" spans="1:5" ht="12.75" customHeight="1" x14ac:dyDescent="0.25">
      <c r="A200" s="39" t="s">
        <v>130</v>
      </c>
      <c r="B200" s="40" t="s">
        <v>131</v>
      </c>
      <c r="C200" s="41" t="s">
        <v>132</v>
      </c>
      <c r="D200" s="1661">
        <v>934.32</v>
      </c>
      <c r="E200" s="1662">
        <v>657.88</v>
      </c>
    </row>
    <row r="201" spans="1:5" ht="12.75" customHeight="1" x14ac:dyDescent="0.25">
      <c r="A201" s="39" t="s">
        <v>133</v>
      </c>
      <c r="B201" s="40" t="s">
        <v>134</v>
      </c>
      <c r="C201" s="41" t="s">
        <v>135</v>
      </c>
      <c r="D201" s="1661">
        <v>0</v>
      </c>
      <c r="E201" s="1662">
        <v>0</v>
      </c>
    </row>
    <row r="202" spans="1:5" ht="12.75" customHeight="1" x14ac:dyDescent="0.25">
      <c r="A202" s="39" t="s">
        <v>136</v>
      </c>
      <c r="B202" s="40" t="s">
        <v>137</v>
      </c>
      <c r="C202" s="41" t="s">
        <v>138</v>
      </c>
      <c r="D202" s="1661">
        <v>6245.14</v>
      </c>
      <c r="E202" s="1662">
        <v>5654.95</v>
      </c>
    </row>
    <row r="203" spans="1:5" ht="12.75" customHeight="1" x14ac:dyDescent="0.25">
      <c r="A203" s="39" t="s">
        <v>139</v>
      </c>
      <c r="B203" s="40" t="s">
        <v>140</v>
      </c>
      <c r="C203" s="41" t="s">
        <v>141</v>
      </c>
      <c r="D203" s="1661">
        <v>0</v>
      </c>
      <c r="E203" s="1662">
        <v>0</v>
      </c>
    </row>
    <row r="204" spans="1:5" ht="12.75" customHeight="1" x14ac:dyDescent="0.25">
      <c r="A204" s="39" t="s">
        <v>142</v>
      </c>
      <c r="B204" s="40" t="s">
        <v>143</v>
      </c>
      <c r="C204" s="41" t="s">
        <v>144</v>
      </c>
      <c r="D204" s="1661">
        <v>0</v>
      </c>
      <c r="E204" s="1662">
        <v>0</v>
      </c>
    </row>
    <row r="205" spans="1:5" ht="12.75" customHeight="1" x14ac:dyDescent="0.25">
      <c r="A205" s="39" t="s">
        <v>145</v>
      </c>
      <c r="B205" s="40" t="s">
        <v>146</v>
      </c>
      <c r="C205" s="41" t="s">
        <v>147</v>
      </c>
      <c r="D205" s="1661">
        <v>0</v>
      </c>
      <c r="E205" s="1662">
        <v>0</v>
      </c>
    </row>
    <row r="206" spans="1:5" ht="12.75" customHeight="1" x14ac:dyDescent="0.25">
      <c r="A206" s="39" t="s">
        <v>148</v>
      </c>
      <c r="B206" s="40" t="s">
        <v>149</v>
      </c>
      <c r="C206" s="41" t="s">
        <v>150</v>
      </c>
      <c r="D206" s="1661">
        <v>0</v>
      </c>
      <c r="E206" s="1662">
        <v>0</v>
      </c>
    </row>
    <row r="207" spans="1:5" ht="12.75" customHeight="1" x14ac:dyDescent="0.25">
      <c r="A207" s="1669" t="s">
        <v>151</v>
      </c>
      <c r="B207" s="1663" t="s">
        <v>152</v>
      </c>
      <c r="C207" s="1664" t="s">
        <v>153</v>
      </c>
      <c r="D207" s="1667">
        <f>SUM(D208:D226)</f>
        <v>5071.21</v>
      </c>
      <c r="E207" s="1668">
        <f>SUM(E208:E226)</f>
        <v>7129.47</v>
      </c>
    </row>
    <row r="208" spans="1:5" ht="12.75" customHeight="1" x14ac:dyDescent="0.25">
      <c r="A208" s="39" t="s">
        <v>154</v>
      </c>
      <c r="B208" s="40" t="s">
        <v>155</v>
      </c>
      <c r="C208" s="41" t="s">
        <v>156</v>
      </c>
      <c r="D208" s="1661">
        <v>2079.35</v>
      </c>
      <c r="E208" s="1662">
        <v>3436.6</v>
      </c>
    </row>
    <row r="209" spans="1:5" ht="12.75" customHeight="1" x14ac:dyDescent="0.25">
      <c r="A209" s="39" t="s">
        <v>157</v>
      </c>
      <c r="B209" s="40" t="s">
        <v>158</v>
      </c>
      <c r="C209" s="41" t="s">
        <v>159</v>
      </c>
      <c r="D209" s="1661">
        <v>0</v>
      </c>
      <c r="E209" s="1662">
        <v>0</v>
      </c>
    </row>
    <row r="210" spans="1:5" ht="12.75" customHeight="1" x14ac:dyDescent="0.25">
      <c r="A210" s="39" t="s">
        <v>160</v>
      </c>
      <c r="B210" s="40" t="s">
        <v>161</v>
      </c>
      <c r="C210" s="41" t="s">
        <v>162</v>
      </c>
      <c r="D210" s="1661">
        <v>0</v>
      </c>
      <c r="E210" s="1662">
        <v>0</v>
      </c>
    </row>
    <row r="211" spans="1:5" ht="12.75" customHeight="1" x14ac:dyDescent="0.25">
      <c r="A211" s="39" t="s">
        <v>163</v>
      </c>
      <c r="B211" s="40" t="s">
        <v>149</v>
      </c>
      <c r="C211" s="41" t="s">
        <v>164</v>
      </c>
      <c r="D211" s="1661">
        <v>1601.34</v>
      </c>
      <c r="E211" s="1662">
        <v>1351.08</v>
      </c>
    </row>
    <row r="212" spans="1:5" ht="12.75" customHeight="1" x14ac:dyDescent="0.25">
      <c r="A212" s="39" t="s">
        <v>165</v>
      </c>
      <c r="B212" s="40" t="s">
        <v>166</v>
      </c>
      <c r="C212" s="41" t="s">
        <v>167</v>
      </c>
      <c r="D212" s="1661">
        <v>418.6</v>
      </c>
      <c r="E212" s="1662">
        <v>426.06</v>
      </c>
    </row>
    <row r="213" spans="1:5" ht="12.75" customHeight="1" x14ac:dyDescent="0.25">
      <c r="A213" s="39" t="s">
        <v>168</v>
      </c>
      <c r="B213" s="40" t="s">
        <v>169</v>
      </c>
      <c r="C213" s="41" t="s">
        <v>170</v>
      </c>
      <c r="D213" s="1661">
        <v>101.71</v>
      </c>
      <c r="E213" s="1662">
        <v>38.18</v>
      </c>
    </row>
    <row r="214" spans="1:5" ht="12.75" customHeight="1" x14ac:dyDescent="0.25">
      <c r="A214" s="351" t="s">
        <v>693</v>
      </c>
      <c r="B214" s="40" t="s">
        <v>171</v>
      </c>
      <c r="C214" s="41" t="s">
        <v>172</v>
      </c>
      <c r="D214" s="1661">
        <v>0</v>
      </c>
      <c r="E214" s="1662">
        <v>0</v>
      </c>
    </row>
    <row r="215" spans="1:5" ht="12.75" customHeight="1" x14ac:dyDescent="0.25">
      <c r="A215" s="39" t="s">
        <v>173</v>
      </c>
      <c r="B215" s="40" t="s">
        <v>174</v>
      </c>
      <c r="C215" s="41" t="s">
        <v>175</v>
      </c>
      <c r="D215" s="1661">
        <v>0</v>
      </c>
      <c r="E215" s="1662">
        <v>493.95</v>
      </c>
    </row>
    <row r="216" spans="1:5" ht="12.75" customHeight="1" x14ac:dyDescent="0.25">
      <c r="A216" s="39" t="s">
        <v>176</v>
      </c>
      <c r="B216" s="40" t="s">
        <v>177</v>
      </c>
      <c r="C216" s="41" t="s">
        <v>178</v>
      </c>
      <c r="D216" s="1661">
        <v>0</v>
      </c>
      <c r="E216" s="1662">
        <v>0</v>
      </c>
    </row>
    <row r="217" spans="1:5" ht="12.75" customHeight="1" x14ac:dyDescent="0.25">
      <c r="A217" s="39" t="s">
        <v>179</v>
      </c>
      <c r="B217" s="40" t="s">
        <v>180</v>
      </c>
      <c r="C217" s="41" t="s">
        <v>181</v>
      </c>
      <c r="D217" s="1661">
        <v>0</v>
      </c>
      <c r="E217" s="1662">
        <v>0</v>
      </c>
    </row>
    <row r="218" spans="1:5" ht="12.75" customHeight="1" x14ac:dyDescent="0.25">
      <c r="A218" s="39" t="s">
        <v>182</v>
      </c>
      <c r="B218" s="40" t="s">
        <v>183</v>
      </c>
      <c r="C218" s="41" t="s">
        <v>184</v>
      </c>
      <c r="D218" s="1661">
        <v>0</v>
      </c>
      <c r="E218" s="1662">
        <v>9.49</v>
      </c>
    </row>
    <row r="219" spans="1:5" ht="12.75" customHeight="1" x14ac:dyDescent="0.25">
      <c r="A219" s="39" t="s">
        <v>185</v>
      </c>
      <c r="B219" s="40" t="s">
        <v>186</v>
      </c>
      <c r="C219" s="41" t="s">
        <v>187</v>
      </c>
      <c r="D219" s="1661">
        <v>0</v>
      </c>
      <c r="E219" s="1662">
        <v>0</v>
      </c>
    </row>
    <row r="220" spans="1:5" ht="12.75" customHeight="1" x14ac:dyDescent="0.25">
      <c r="A220" s="39" t="s">
        <v>687</v>
      </c>
      <c r="B220" s="40" t="s">
        <v>188</v>
      </c>
      <c r="C220" s="41" t="s">
        <v>189</v>
      </c>
      <c r="D220" s="1661">
        <v>0</v>
      </c>
      <c r="E220" s="1662">
        <v>0</v>
      </c>
    </row>
    <row r="221" spans="1:5" ht="12.75" customHeight="1" x14ac:dyDescent="0.25">
      <c r="A221" s="39" t="s">
        <v>190</v>
      </c>
      <c r="B221" s="40" t="s">
        <v>191</v>
      </c>
      <c r="C221" s="41" t="s">
        <v>192</v>
      </c>
      <c r="D221" s="1661">
        <v>0</v>
      </c>
      <c r="E221" s="1662">
        <v>0</v>
      </c>
    </row>
    <row r="222" spans="1:5" ht="12.75" customHeight="1" x14ac:dyDescent="0.25">
      <c r="A222" s="39" t="s">
        <v>602</v>
      </c>
      <c r="B222" s="40" t="s">
        <v>193</v>
      </c>
      <c r="C222" s="41" t="s">
        <v>194</v>
      </c>
      <c r="D222" s="1661">
        <v>0</v>
      </c>
      <c r="E222" s="1662">
        <v>0</v>
      </c>
    </row>
    <row r="223" spans="1:5" ht="12.75" customHeight="1" x14ac:dyDescent="0.25">
      <c r="A223" s="39" t="s">
        <v>603</v>
      </c>
      <c r="B223" s="40" t="s">
        <v>195</v>
      </c>
      <c r="C223" s="41" t="s">
        <v>196</v>
      </c>
      <c r="D223" s="1661">
        <v>0</v>
      </c>
      <c r="E223" s="1662">
        <v>0</v>
      </c>
    </row>
    <row r="224" spans="1:5" ht="12.75" customHeight="1" x14ac:dyDescent="0.25">
      <c r="A224" s="39" t="s">
        <v>197</v>
      </c>
      <c r="B224" s="40" t="s">
        <v>198</v>
      </c>
      <c r="C224" s="41" t="s">
        <v>199</v>
      </c>
      <c r="D224" s="1661">
        <v>797.01</v>
      </c>
      <c r="E224" s="1662">
        <v>1218.04</v>
      </c>
    </row>
    <row r="225" spans="1:5" ht="12.75" customHeight="1" x14ac:dyDescent="0.25">
      <c r="A225" s="39" t="s">
        <v>200</v>
      </c>
      <c r="B225" s="40" t="s">
        <v>201</v>
      </c>
      <c r="C225" s="41" t="s">
        <v>202</v>
      </c>
      <c r="D225" s="1661">
        <v>73.2</v>
      </c>
      <c r="E225" s="1662">
        <v>156.07</v>
      </c>
    </row>
    <row r="226" spans="1:5" ht="12.75" customHeight="1" x14ac:dyDescent="0.25">
      <c r="A226" s="39" t="s">
        <v>203</v>
      </c>
      <c r="B226" s="40" t="s">
        <v>204</v>
      </c>
      <c r="C226" s="41" t="s">
        <v>205</v>
      </c>
      <c r="D226" s="1661">
        <v>0</v>
      </c>
      <c r="E226" s="1662">
        <v>0</v>
      </c>
    </row>
    <row r="227" spans="1:5" ht="12.75" customHeight="1" x14ac:dyDescent="0.25">
      <c r="A227" s="1669" t="s">
        <v>206</v>
      </c>
      <c r="B227" s="1663" t="s">
        <v>207</v>
      </c>
      <c r="C227" s="1664" t="s">
        <v>208</v>
      </c>
      <c r="D227" s="1667">
        <f>SUM(D228:D235)</f>
        <v>171704.09000000003</v>
      </c>
      <c r="E227" s="1668">
        <f>SUM(E228:E235)</f>
        <v>174251.46</v>
      </c>
    </row>
    <row r="228" spans="1:5" ht="12.75" customHeight="1" x14ac:dyDescent="0.25">
      <c r="A228" s="39" t="s">
        <v>209</v>
      </c>
      <c r="B228" s="40" t="s">
        <v>210</v>
      </c>
      <c r="C228" s="41" t="s">
        <v>211</v>
      </c>
      <c r="D228" s="1661">
        <v>195.67</v>
      </c>
      <c r="E228" s="1662">
        <v>197.09</v>
      </c>
    </row>
    <row r="229" spans="1:5" ht="12.75" customHeight="1" x14ac:dyDescent="0.25">
      <c r="A229" s="39" t="s">
        <v>212</v>
      </c>
      <c r="B229" s="40" t="s">
        <v>213</v>
      </c>
      <c r="C229" s="41" t="s">
        <v>214</v>
      </c>
      <c r="D229" s="1661">
        <v>0</v>
      </c>
      <c r="E229" s="1662">
        <v>0</v>
      </c>
    </row>
    <row r="230" spans="1:5" ht="12.75" customHeight="1" x14ac:dyDescent="0.25">
      <c r="A230" s="39" t="s">
        <v>215</v>
      </c>
      <c r="B230" s="40" t="s">
        <v>216</v>
      </c>
      <c r="C230" s="41" t="s">
        <v>217</v>
      </c>
      <c r="D230" s="1661">
        <v>171508.42</v>
      </c>
      <c r="E230" s="1662">
        <v>174054.37</v>
      </c>
    </row>
    <row r="231" spans="1:5" ht="12.75" customHeight="1" x14ac:dyDescent="0.25">
      <c r="A231" s="39" t="s">
        <v>218</v>
      </c>
      <c r="B231" s="40" t="s">
        <v>219</v>
      </c>
      <c r="C231" s="41" t="s">
        <v>220</v>
      </c>
      <c r="D231" s="1661">
        <v>0</v>
      </c>
      <c r="E231" s="1662">
        <v>0</v>
      </c>
    </row>
    <row r="232" spans="1:5" ht="12.75" customHeight="1" x14ac:dyDescent="0.25">
      <c r="A232" s="39" t="s">
        <v>221</v>
      </c>
      <c r="B232" s="40" t="s">
        <v>222</v>
      </c>
      <c r="C232" s="41" t="s">
        <v>223</v>
      </c>
      <c r="D232" s="1661">
        <v>0</v>
      </c>
      <c r="E232" s="1662">
        <v>0</v>
      </c>
    </row>
    <row r="233" spans="1:5" ht="12.75" customHeight="1" x14ac:dyDescent="0.25">
      <c r="A233" s="39" t="s">
        <v>224</v>
      </c>
      <c r="B233" s="40" t="s">
        <v>225</v>
      </c>
      <c r="C233" s="41" t="s">
        <v>226</v>
      </c>
      <c r="D233" s="1661">
        <v>0</v>
      </c>
      <c r="E233" s="1662">
        <v>0</v>
      </c>
    </row>
    <row r="234" spans="1:5" ht="12.75" customHeight="1" x14ac:dyDescent="0.25">
      <c r="A234" s="39" t="s">
        <v>227</v>
      </c>
      <c r="B234" s="40" t="s">
        <v>228</v>
      </c>
      <c r="C234" s="41" t="s">
        <v>229</v>
      </c>
      <c r="D234" s="1661">
        <v>0</v>
      </c>
      <c r="E234" s="1662">
        <v>0</v>
      </c>
    </row>
    <row r="235" spans="1:5" ht="12.75" customHeight="1" x14ac:dyDescent="0.25">
      <c r="A235" s="39" t="s">
        <v>230</v>
      </c>
      <c r="B235" s="40" t="s">
        <v>231</v>
      </c>
      <c r="C235" s="41" t="s">
        <v>232</v>
      </c>
      <c r="D235" s="1661">
        <v>0</v>
      </c>
      <c r="E235" s="1662">
        <v>0</v>
      </c>
    </row>
    <row r="236" spans="1:5" ht="12.75" customHeight="1" x14ac:dyDescent="0.25">
      <c r="A236" s="1669" t="s">
        <v>233</v>
      </c>
      <c r="B236" s="1663" t="s">
        <v>234</v>
      </c>
      <c r="C236" s="1664" t="s">
        <v>235</v>
      </c>
      <c r="D236" s="1667">
        <f>SUM(D237:D239)</f>
        <v>1600.48</v>
      </c>
      <c r="E236" s="1668">
        <f>SUM(E237:E239)</f>
        <v>1023.5699999999999</v>
      </c>
    </row>
    <row r="237" spans="1:5" ht="12.75" customHeight="1" x14ac:dyDescent="0.25">
      <c r="A237" s="39" t="s">
        <v>236</v>
      </c>
      <c r="B237" s="40" t="s">
        <v>237</v>
      </c>
      <c r="C237" s="41" t="s">
        <v>238</v>
      </c>
      <c r="D237" s="1661">
        <v>693.03</v>
      </c>
      <c r="E237" s="1662">
        <v>765.15</v>
      </c>
    </row>
    <row r="238" spans="1:5" ht="12.75" customHeight="1" x14ac:dyDescent="0.25">
      <c r="A238" s="39" t="s">
        <v>239</v>
      </c>
      <c r="B238" s="40" t="s">
        <v>240</v>
      </c>
      <c r="C238" s="41" t="s">
        <v>241</v>
      </c>
      <c r="D238" s="1661">
        <v>907.45</v>
      </c>
      <c r="E238" s="1662">
        <v>258.42</v>
      </c>
    </row>
    <row r="239" spans="1:5" ht="12.75" customHeight="1" x14ac:dyDescent="0.25">
      <c r="A239" s="39" t="s">
        <v>242</v>
      </c>
      <c r="B239" s="40" t="s">
        <v>243</v>
      </c>
      <c r="C239" s="41" t="s">
        <v>244</v>
      </c>
      <c r="D239" s="1661">
        <v>0</v>
      </c>
      <c r="E239" s="1662">
        <v>0</v>
      </c>
    </row>
    <row r="240" spans="1:5" ht="12.75" customHeight="1" thickBot="1" x14ac:dyDescent="0.3">
      <c r="A240" s="352" t="s">
        <v>245</v>
      </c>
      <c r="B240" s="1675" t="s">
        <v>246</v>
      </c>
      <c r="C240" s="1676" t="s">
        <v>247</v>
      </c>
      <c r="D240" s="1677">
        <f>D156+D196</f>
        <v>1775148.9999999998</v>
      </c>
      <c r="E240" s="1678">
        <f>E156+E196</f>
        <v>1828877.8699999999</v>
      </c>
    </row>
    <row r="241" spans="1:5" ht="12.75" customHeight="1" thickBot="1" x14ac:dyDescent="0.3">
      <c r="A241" s="49" t="s">
        <v>248</v>
      </c>
      <c r="B241" s="2453" t="s">
        <v>249</v>
      </c>
      <c r="C241" s="2454"/>
      <c r="D241" s="198" t="s">
        <v>653</v>
      </c>
      <c r="E241" s="199" t="s">
        <v>654</v>
      </c>
    </row>
    <row r="242" spans="1:5" ht="12.75" customHeight="1" x14ac:dyDescent="0.25">
      <c r="A242" s="36" t="s">
        <v>250</v>
      </c>
      <c r="B242" s="1679" t="s">
        <v>251</v>
      </c>
      <c r="C242" s="1680" t="s">
        <v>252</v>
      </c>
      <c r="D242" s="1665">
        <f>D243+D247</f>
        <v>1720170.6300000001</v>
      </c>
      <c r="E242" s="1666">
        <f>E243+E247</f>
        <v>1773562.3800000001</v>
      </c>
    </row>
    <row r="243" spans="1:5" ht="12.75" customHeight="1" x14ac:dyDescent="0.25">
      <c r="A243" s="161" t="s">
        <v>253</v>
      </c>
      <c r="B243" s="1663" t="s">
        <v>254</v>
      </c>
      <c r="C243" s="1664" t="s">
        <v>255</v>
      </c>
      <c r="D243" s="1667">
        <f>SUM(D244:D246)</f>
        <v>1693477.07</v>
      </c>
      <c r="E243" s="1668">
        <f>SUM(E244:E246)</f>
        <v>1750780.26</v>
      </c>
    </row>
    <row r="244" spans="1:5" ht="12.75" customHeight="1" x14ac:dyDescent="0.25">
      <c r="A244" s="39" t="s">
        <v>256</v>
      </c>
      <c r="B244" s="40" t="s">
        <v>257</v>
      </c>
      <c r="C244" s="41" t="s">
        <v>258</v>
      </c>
      <c r="D244" s="1661">
        <v>1618137.07</v>
      </c>
      <c r="E244" s="1662">
        <v>1667290.21</v>
      </c>
    </row>
    <row r="245" spans="1:5" ht="12.75" customHeight="1" x14ac:dyDescent="0.25">
      <c r="A245" s="39" t="s">
        <v>259</v>
      </c>
      <c r="B245" s="40" t="s">
        <v>260</v>
      </c>
      <c r="C245" s="41" t="s">
        <v>261</v>
      </c>
      <c r="D245" s="1661">
        <v>75340</v>
      </c>
      <c r="E245" s="1662">
        <v>83490.05</v>
      </c>
    </row>
    <row r="246" spans="1:5" ht="12.75" customHeight="1" x14ac:dyDescent="0.25">
      <c r="A246" s="39" t="s">
        <v>262</v>
      </c>
      <c r="B246" s="40" t="s">
        <v>263</v>
      </c>
      <c r="C246" s="41" t="s">
        <v>264</v>
      </c>
      <c r="D246" s="1661">
        <v>0</v>
      </c>
      <c r="E246" s="1662">
        <v>0</v>
      </c>
    </row>
    <row r="247" spans="1:5" ht="12.75" customHeight="1" x14ac:dyDescent="0.25">
      <c r="A247" s="1669" t="s">
        <v>690</v>
      </c>
      <c r="B247" s="1663" t="s">
        <v>265</v>
      </c>
      <c r="C247" s="1664" t="s">
        <v>266</v>
      </c>
      <c r="D247" s="1667">
        <f>SUM(D248:D250)</f>
        <v>26693.56</v>
      </c>
      <c r="E247" s="1668">
        <f>SUM(E248:E250)</f>
        <v>22782.12</v>
      </c>
    </row>
    <row r="248" spans="1:5" ht="12.75" customHeight="1" x14ac:dyDescent="0.25">
      <c r="A248" s="39" t="s">
        <v>267</v>
      </c>
      <c r="B248" s="40" t="s">
        <v>268</v>
      </c>
      <c r="C248" s="41" t="s">
        <v>269</v>
      </c>
      <c r="D248" s="1661" t="s">
        <v>1466</v>
      </c>
      <c r="E248" s="1662">
        <v>22782.12</v>
      </c>
    </row>
    <row r="249" spans="1:5" ht="12.75" customHeight="1" x14ac:dyDescent="0.25">
      <c r="A249" s="39" t="s">
        <v>270</v>
      </c>
      <c r="B249" s="40" t="s">
        <v>271</v>
      </c>
      <c r="C249" s="41" t="s">
        <v>272</v>
      </c>
      <c r="D249" s="1661">
        <v>26693.56</v>
      </c>
      <c r="E249" s="1662" t="s">
        <v>1466</v>
      </c>
    </row>
    <row r="250" spans="1:5" ht="12.75" customHeight="1" x14ac:dyDescent="0.25">
      <c r="A250" s="39" t="s">
        <v>692</v>
      </c>
      <c r="B250" s="40" t="s">
        <v>273</v>
      </c>
      <c r="C250" s="41" t="s">
        <v>274</v>
      </c>
      <c r="D250" s="1661">
        <v>0</v>
      </c>
      <c r="E250" s="1662">
        <v>0</v>
      </c>
    </row>
    <row r="251" spans="1:5" ht="12.75" customHeight="1" x14ac:dyDescent="0.25">
      <c r="A251" s="161" t="s">
        <v>275</v>
      </c>
      <c r="B251" s="1681" t="s">
        <v>276</v>
      </c>
      <c r="C251" s="1664" t="s">
        <v>277</v>
      </c>
      <c r="D251" s="1667">
        <f>D252+D254+D262+D286</f>
        <v>54978.369999999995</v>
      </c>
      <c r="E251" s="1668">
        <f>E252+E254+E262+E286</f>
        <v>55315.490000000005</v>
      </c>
    </row>
    <row r="252" spans="1:5" ht="12.75" customHeight="1" x14ac:dyDescent="0.25">
      <c r="A252" s="39" t="s">
        <v>278</v>
      </c>
      <c r="B252" s="40" t="s">
        <v>279</v>
      </c>
      <c r="C252" s="41" t="s">
        <v>280</v>
      </c>
      <c r="D252" s="1661">
        <v>0</v>
      </c>
      <c r="E252" s="1662">
        <v>0</v>
      </c>
    </row>
    <row r="253" spans="1:5" ht="12.75" customHeight="1" x14ac:dyDescent="0.25">
      <c r="A253" s="39" t="s">
        <v>281</v>
      </c>
      <c r="B253" s="40" t="s">
        <v>282</v>
      </c>
      <c r="C253" s="41" t="s">
        <v>283</v>
      </c>
      <c r="D253" s="1661">
        <v>0</v>
      </c>
      <c r="E253" s="1662">
        <v>0</v>
      </c>
    </row>
    <row r="254" spans="1:5" ht="12.75" customHeight="1" x14ac:dyDescent="0.25">
      <c r="A254" s="161" t="s">
        <v>284</v>
      </c>
      <c r="B254" s="1663" t="s">
        <v>285</v>
      </c>
      <c r="C254" s="1664" t="s">
        <v>286</v>
      </c>
      <c r="D254" s="1667">
        <f>SUM(D255:D261)</f>
        <v>0</v>
      </c>
      <c r="E254" s="1668">
        <f>SUM(E255:E261)</f>
        <v>0</v>
      </c>
    </row>
    <row r="255" spans="1:5" ht="12.75" customHeight="1" x14ac:dyDescent="0.25">
      <c r="A255" s="39" t="s">
        <v>287</v>
      </c>
      <c r="B255" s="40" t="s">
        <v>288</v>
      </c>
      <c r="C255" s="41" t="s">
        <v>289</v>
      </c>
      <c r="D255" s="1661">
        <v>0</v>
      </c>
      <c r="E255" s="1662">
        <v>0</v>
      </c>
    </row>
    <row r="256" spans="1:5" ht="12.75" customHeight="1" x14ac:dyDescent="0.25">
      <c r="A256" s="39" t="s">
        <v>604</v>
      </c>
      <c r="B256" s="40" t="s">
        <v>290</v>
      </c>
      <c r="C256" s="41" t="s">
        <v>291</v>
      </c>
      <c r="D256" s="1661">
        <v>0</v>
      </c>
      <c r="E256" s="1662">
        <v>0</v>
      </c>
    </row>
    <row r="257" spans="1:5" ht="12.75" customHeight="1" x14ac:dyDescent="0.25">
      <c r="A257" s="39" t="s">
        <v>292</v>
      </c>
      <c r="B257" s="40" t="s">
        <v>293</v>
      </c>
      <c r="C257" s="41" t="s">
        <v>294</v>
      </c>
      <c r="D257" s="1661">
        <v>0</v>
      </c>
      <c r="E257" s="1662">
        <v>0</v>
      </c>
    </row>
    <row r="258" spans="1:5" ht="12.75" customHeight="1" x14ac:dyDescent="0.25">
      <c r="A258" s="39" t="s">
        <v>295</v>
      </c>
      <c r="B258" s="40" t="s">
        <v>296</v>
      </c>
      <c r="C258" s="41" t="s">
        <v>297</v>
      </c>
      <c r="D258" s="1661">
        <v>0</v>
      </c>
      <c r="E258" s="1662">
        <v>0</v>
      </c>
    </row>
    <row r="259" spans="1:5" ht="12.75" customHeight="1" x14ac:dyDescent="0.25">
      <c r="A259" s="39" t="s">
        <v>298</v>
      </c>
      <c r="B259" s="40" t="s">
        <v>299</v>
      </c>
      <c r="C259" s="41" t="s">
        <v>300</v>
      </c>
      <c r="D259" s="1661">
        <v>0</v>
      </c>
      <c r="E259" s="1662">
        <v>0</v>
      </c>
    </row>
    <row r="260" spans="1:5" ht="12.75" customHeight="1" x14ac:dyDescent="0.25">
      <c r="A260" s="39" t="s">
        <v>301</v>
      </c>
      <c r="B260" s="40" t="s">
        <v>302</v>
      </c>
      <c r="C260" s="41" t="s">
        <v>303</v>
      </c>
      <c r="D260" s="1661">
        <v>0</v>
      </c>
      <c r="E260" s="1662">
        <v>0</v>
      </c>
    </row>
    <row r="261" spans="1:5" ht="12.75" customHeight="1" x14ac:dyDescent="0.25">
      <c r="A261" s="39" t="s">
        <v>304</v>
      </c>
      <c r="B261" s="40" t="s">
        <v>305</v>
      </c>
      <c r="C261" s="41" t="s">
        <v>306</v>
      </c>
      <c r="D261" s="1661">
        <v>0</v>
      </c>
      <c r="E261" s="1662">
        <v>0</v>
      </c>
    </row>
    <row r="262" spans="1:5" ht="12.75" customHeight="1" x14ac:dyDescent="0.25">
      <c r="A262" s="1669" t="s">
        <v>307</v>
      </c>
      <c r="B262" s="1663" t="s">
        <v>308</v>
      </c>
      <c r="C262" s="1664" t="s">
        <v>309</v>
      </c>
      <c r="D262" s="1667">
        <f>SUM(D263:D285)</f>
        <v>32803.769999999997</v>
      </c>
      <c r="E262" s="1668">
        <f>SUM(E263:E285)</f>
        <v>37197.110000000008</v>
      </c>
    </row>
    <row r="263" spans="1:5" ht="12.75" customHeight="1" x14ac:dyDescent="0.25">
      <c r="A263" s="39" t="s">
        <v>310</v>
      </c>
      <c r="B263" s="40" t="s">
        <v>311</v>
      </c>
      <c r="C263" s="41" t="s">
        <v>312</v>
      </c>
      <c r="D263" s="1661">
        <v>2781.45</v>
      </c>
      <c r="E263" s="1662">
        <v>3336.27</v>
      </c>
    </row>
    <row r="264" spans="1:5" ht="12.75" customHeight="1" x14ac:dyDescent="0.25">
      <c r="A264" s="39" t="s">
        <v>313</v>
      </c>
      <c r="B264" s="40" t="s">
        <v>314</v>
      </c>
      <c r="C264" s="41" t="s">
        <v>315</v>
      </c>
      <c r="D264" s="1661">
        <v>0</v>
      </c>
      <c r="E264" s="1662">
        <v>0</v>
      </c>
    </row>
    <row r="265" spans="1:5" ht="12.75" customHeight="1" x14ac:dyDescent="0.25">
      <c r="A265" s="39" t="s">
        <v>316</v>
      </c>
      <c r="B265" s="40" t="s">
        <v>317</v>
      </c>
      <c r="C265" s="41" t="s">
        <v>318</v>
      </c>
      <c r="D265" s="1661">
        <v>381.81</v>
      </c>
      <c r="E265" s="1662">
        <v>172.12</v>
      </c>
    </row>
    <row r="266" spans="1:5" ht="12.75" customHeight="1" x14ac:dyDescent="0.25">
      <c r="A266" s="39" t="s">
        <v>319</v>
      </c>
      <c r="B266" s="40" t="s">
        <v>320</v>
      </c>
      <c r="C266" s="41" t="s">
        <v>321</v>
      </c>
      <c r="D266" s="1661">
        <v>225.99</v>
      </c>
      <c r="E266" s="1662">
        <v>231.79</v>
      </c>
    </row>
    <row r="267" spans="1:5" ht="12.75" customHeight="1" x14ac:dyDescent="0.25">
      <c r="A267" s="39" t="s">
        <v>322</v>
      </c>
      <c r="B267" s="40" t="s">
        <v>323</v>
      </c>
      <c r="C267" s="41" t="s">
        <v>324</v>
      </c>
      <c r="D267" s="1661">
        <v>14246.54</v>
      </c>
      <c r="E267" s="1662">
        <v>15791.83</v>
      </c>
    </row>
    <row r="268" spans="1:5" ht="12.75" customHeight="1" x14ac:dyDescent="0.25">
      <c r="A268" s="39" t="s">
        <v>325</v>
      </c>
      <c r="B268" s="40" t="s">
        <v>326</v>
      </c>
      <c r="C268" s="41" t="s">
        <v>327</v>
      </c>
      <c r="D268" s="1661">
        <v>32.78</v>
      </c>
      <c r="E268" s="1662">
        <v>26.62</v>
      </c>
    </row>
    <row r="269" spans="1:5" ht="12.75" customHeight="1" x14ac:dyDescent="0.25">
      <c r="A269" s="39" t="s">
        <v>659</v>
      </c>
      <c r="B269" s="40" t="s">
        <v>171</v>
      </c>
      <c r="C269" s="41" t="s">
        <v>328</v>
      </c>
      <c r="D269" s="1661">
        <v>7614.34</v>
      </c>
      <c r="E269" s="1662">
        <v>8466.51</v>
      </c>
    </row>
    <row r="270" spans="1:5" ht="12.75" customHeight="1" x14ac:dyDescent="0.25">
      <c r="A270" s="39" t="s">
        <v>329</v>
      </c>
      <c r="B270" s="40" t="s">
        <v>174</v>
      </c>
      <c r="C270" s="41" t="s">
        <v>330</v>
      </c>
      <c r="D270" s="1661">
        <v>827.46</v>
      </c>
      <c r="E270" s="1662">
        <v>0</v>
      </c>
    </row>
    <row r="271" spans="1:5" ht="12.75" customHeight="1" x14ac:dyDescent="0.25">
      <c r="A271" s="39" t="s">
        <v>331</v>
      </c>
      <c r="B271" s="40" t="s">
        <v>177</v>
      </c>
      <c r="C271" s="41" t="s">
        <v>332</v>
      </c>
      <c r="D271" s="1661">
        <v>2854.89</v>
      </c>
      <c r="E271" s="1662">
        <v>3212.91</v>
      </c>
    </row>
    <row r="272" spans="1:5" ht="12.75" customHeight="1" x14ac:dyDescent="0.25">
      <c r="A272" s="39" t="s">
        <v>333</v>
      </c>
      <c r="B272" s="40" t="s">
        <v>180</v>
      </c>
      <c r="C272" s="41" t="s">
        <v>334</v>
      </c>
      <c r="D272" s="1661">
        <v>1751.7</v>
      </c>
      <c r="E272" s="1662">
        <v>3671.03</v>
      </c>
    </row>
    <row r="273" spans="1:5" ht="12.75" customHeight="1" x14ac:dyDescent="0.25">
      <c r="A273" s="39" t="s">
        <v>335</v>
      </c>
      <c r="B273" s="40" t="s">
        <v>183</v>
      </c>
      <c r="C273" s="41" t="s">
        <v>336</v>
      </c>
      <c r="D273" s="1661">
        <v>0</v>
      </c>
      <c r="E273" s="1662">
        <v>0</v>
      </c>
    </row>
    <row r="274" spans="1:5" ht="12.75" customHeight="1" x14ac:dyDescent="0.25">
      <c r="A274" s="39" t="s">
        <v>337</v>
      </c>
      <c r="B274" s="40" t="s">
        <v>186</v>
      </c>
      <c r="C274" s="41" t="s">
        <v>338</v>
      </c>
      <c r="D274" s="1661">
        <v>0</v>
      </c>
      <c r="E274" s="1662">
        <v>52.05</v>
      </c>
    </row>
    <row r="275" spans="1:5" ht="12.75" customHeight="1" x14ac:dyDescent="0.25">
      <c r="A275" s="39" t="s">
        <v>686</v>
      </c>
      <c r="B275" s="40" t="s">
        <v>188</v>
      </c>
      <c r="C275" s="41" t="s">
        <v>339</v>
      </c>
      <c r="D275" s="1661">
        <v>0</v>
      </c>
      <c r="E275" s="1662">
        <v>0</v>
      </c>
    </row>
    <row r="276" spans="1:5" ht="12.75" customHeight="1" x14ac:dyDescent="0.25">
      <c r="A276" s="351" t="s">
        <v>691</v>
      </c>
      <c r="B276" s="40" t="s">
        <v>340</v>
      </c>
      <c r="C276" s="41" t="s">
        <v>341</v>
      </c>
      <c r="D276" s="1661">
        <v>0</v>
      </c>
      <c r="E276" s="1662">
        <v>0</v>
      </c>
    </row>
    <row r="277" spans="1:5" ht="12.75" customHeight="1" x14ac:dyDescent="0.25">
      <c r="A277" s="39" t="s">
        <v>342</v>
      </c>
      <c r="B277" s="40" t="s">
        <v>343</v>
      </c>
      <c r="C277" s="41" t="s">
        <v>344</v>
      </c>
      <c r="D277" s="1661">
        <v>0</v>
      </c>
      <c r="E277" s="1662">
        <v>0</v>
      </c>
    </row>
    <row r="278" spans="1:5" ht="12.75" customHeight="1" x14ac:dyDescent="0.25">
      <c r="A278" s="39" t="s">
        <v>345</v>
      </c>
      <c r="B278" s="40" t="s">
        <v>193</v>
      </c>
      <c r="C278" s="41" t="s">
        <v>346</v>
      </c>
      <c r="D278" s="1661">
        <v>0</v>
      </c>
      <c r="E278" s="1662">
        <v>0</v>
      </c>
    </row>
    <row r="279" spans="1:5" ht="12.75" customHeight="1" x14ac:dyDescent="0.25">
      <c r="A279" s="39" t="s">
        <v>347</v>
      </c>
      <c r="B279" s="40" t="s">
        <v>348</v>
      </c>
      <c r="C279" s="41" t="s">
        <v>349</v>
      </c>
      <c r="D279" s="1661">
        <v>817.22</v>
      </c>
      <c r="E279" s="1662">
        <v>751.87</v>
      </c>
    </row>
    <row r="280" spans="1:5" ht="12.75" customHeight="1" x14ac:dyDescent="0.25">
      <c r="A280" s="39" t="s">
        <v>350</v>
      </c>
      <c r="B280" s="40" t="s">
        <v>351</v>
      </c>
      <c r="C280" s="41" t="s">
        <v>352</v>
      </c>
      <c r="D280" s="1661">
        <v>0</v>
      </c>
      <c r="E280" s="1662">
        <v>0</v>
      </c>
    </row>
    <row r="281" spans="1:5" ht="12.75" customHeight="1" x14ac:dyDescent="0.25">
      <c r="A281" s="39" t="s">
        <v>353</v>
      </c>
      <c r="B281" s="40" t="s">
        <v>354</v>
      </c>
      <c r="C281" s="41" t="s">
        <v>355</v>
      </c>
      <c r="D281" s="1661">
        <v>0</v>
      </c>
      <c r="E281" s="1662">
        <v>0</v>
      </c>
    </row>
    <row r="282" spans="1:5" ht="12.75" customHeight="1" x14ac:dyDescent="0.25">
      <c r="A282" s="39" t="s">
        <v>605</v>
      </c>
      <c r="B282" s="40" t="s">
        <v>356</v>
      </c>
      <c r="C282" s="41" t="s">
        <v>357</v>
      </c>
      <c r="D282" s="1661">
        <v>0</v>
      </c>
      <c r="E282" s="1662">
        <v>0</v>
      </c>
    </row>
    <row r="283" spans="1:5" ht="12.75" customHeight="1" x14ac:dyDescent="0.25">
      <c r="A283" s="39" t="s">
        <v>358</v>
      </c>
      <c r="B283" s="40" t="s">
        <v>359</v>
      </c>
      <c r="C283" s="41" t="s">
        <v>360</v>
      </c>
      <c r="D283" s="1661">
        <v>0</v>
      </c>
      <c r="E283" s="1662">
        <v>0</v>
      </c>
    </row>
    <row r="284" spans="1:5" ht="12.75" customHeight="1" x14ac:dyDescent="0.25">
      <c r="A284" s="39" t="s">
        <v>361</v>
      </c>
      <c r="B284" s="40" t="s">
        <v>302</v>
      </c>
      <c r="C284" s="41" t="s">
        <v>362</v>
      </c>
      <c r="D284" s="1661">
        <v>1269.5899999999999</v>
      </c>
      <c r="E284" s="1662">
        <v>1484.11</v>
      </c>
    </row>
    <row r="285" spans="1:5" ht="12.75" customHeight="1" x14ac:dyDescent="0.25">
      <c r="A285" s="39" t="s">
        <v>363</v>
      </c>
      <c r="B285" s="40" t="s">
        <v>364</v>
      </c>
      <c r="C285" s="41" t="s">
        <v>365</v>
      </c>
      <c r="D285" s="1661">
        <v>0</v>
      </c>
      <c r="E285" s="1662">
        <v>0</v>
      </c>
    </row>
    <row r="286" spans="1:5" ht="12.75" customHeight="1" x14ac:dyDescent="0.25">
      <c r="A286" s="1669" t="s">
        <v>366</v>
      </c>
      <c r="B286" s="1663" t="s">
        <v>367</v>
      </c>
      <c r="C286" s="1664" t="s">
        <v>368</v>
      </c>
      <c r="D286" s="1667">
        <f>SUM(D287:D289)</f>
        <v>22174.6</v>
      </c>
      <c r="E286" s="1668">
        <f>SUM(E287:E289)</f>
        <v>18118.38</v>
      </c>
    </row>
    <row r="287" spans="1:5" ht="12.75" customHeight="1" x14ac:dyDescent="0.25">
      <c r="A287" s="39" t="s">
        <v>369</v>
      </c>
      <c r="B287" s="40" t="s">
        <v>370</v>
      </c>
      <c r="C287" s="41" t="s">
        <v>371</v>
      </c>
      <c r="D287" s="1661">
        <v>718.01</v>
      </c>
      <c r="E287" s="1662">
        <v>143.31</v>
      </c>
    </row>
    <row r="288" spans="1:5" ht="12.75" customHeight="1" x14ac:dyDescent="0.25">
      <c r="A288" s="39" t="s">
        <v>372</v>
      </c>
      <c r="B288" s="40" t="s">
        <v>373</v>
      </c>
      <c r="C288" s="41" t="s">
        <v>374</v>
      </c>
      <c r="D288" s="1661">
        <v>21456.59</v>
      </c>
      <c r="E288" s="1662">
        <v>17975.07</v>
      </c>
    </row>
    <row r="289" spans="1:5" ht="12.75" customHeight="1" x14ac:dyDescent="0.25">
      <c r="A289" s="39" t="s">
        <v>375</v>
      </c>
      <c r="B289" s="40" t="s">
        <v>376</v>
      </c>
      <c r="C289" s="41" t="s">
        <v>377</v>
      </c>
      <c r="D289" s="1661">
        <v>0</v>
      </c>
      <c r="E289" s="1662">
        <v>0</v>
      </c>
    </row>
    <row r="290" spans="1:5" ht="12.75" customHeight="1" thickBot="1" x14ac:dyDescent="0.3">
      <c r="A290" s="352" t="s">
        <v>378</v>
      </c>
      <c r="B290" s="1682" t="s">
        <v>379</v>
      </c>
      <c r="C290" s="1676" t="s">
        <v>380</v>
      </c>
      <c r="D290" s="1683">
        <f>D242+D251</f>
        <v>1775149</v>
      </c>
      <c r="E290" s="1678">
        <f>E242+E251</f>
        <v>1828877.87</v>
      </c>
    </row>
    <row r="291" spans="1:5" ht="12.75" customHeight="1" x14ac:dyDescent="0.25">
      <c r="A291" s="53"/>
      <c r="B291" s="54"/>
      <c r="C291" s="54"/>
    </row>
    <row r="292" spans="1:5" ht="12.75" customHeight="1" x14ac:dyDescent="0.25">
      <c r="A292" s="1684" t="s">
        <v>1711</v>
      </c>
      <c r="B292" s="1685"/>
      <c r="C292" s="1685"/>
      <c r="D292" s="1686"/>
      <c r="E292" s="1686"/>
    </row>
    <row r="293" spans="1:5" ht="24.95" customHeight="1" x14ac:dyDescent="0.25">
      <c r="A293" s="2459" t="s">
        <v>1920</v>
      </c>
      <c r="B293" s="2460"/>
      <c r="C293" s="2460"/>
      <c r="D293" s="2460"/>
      <c r="E293" s="2460"/>
    </row>
    <row r="294" spans="1:5" ht="24.95" customHeight="1" x14ac:dyDescent="0.25">
      <c r="A294" s="2460"/>
      <c r="B294" s="2460"/>
      <c r="C294" s="2460"/>
      <c r="D294" s="2460"/>
      <c r="E294" s="2460"/>
    </row>
    <row r="295" spans="1:5" ht="12.75" customHeight="1" x14ac:dyDescent="0.25">
      <c r="A295" s="53" t="s">
        <v>638</v>
      </c>
      <c r="B295" s="54"/>
      <c r="C295" s="54"/>
    </row>
    <row r="296" spans="1:5" ht="12.75" customHeight="1" x14ac:dyDescent="0.25">
      <c r="A296" s="55" t="s">
        <v>657</v>
      </c>
      <c r="B296" s="56"/>
      <c r="C296" s="56"/>
    </row>
    <row r="297" spans="1:5" ht="12.75" customHeight="1" x14ac:dyDescent="0.25">
      <c r="A297" s="190" t="s">
        <v>1188</v>
      </c>
    </row>
    <row r="298" spans="1:5" ht="12.75" customHeight="1" x14ac:dyDescent="0.25">
      <c r="A298" s="188" t="s">
        <v>658</v>
      </c>
    </row>
    <row r="299" spans="1:5" ht="12.75" customHeight="1" x14ac:dyDescent="0.25">
      <c r="A299" s="190" t="s">
        <v>1118</v>
      </c>
    </row>
    <row r="300" spans="1:5" ht="12.75" customHeight="1" x14ac:dyDescent="0.25">
      <c r="B300" s="1128" t="s">
        <v>1325</v>
      </c>
      <c r="C300" s="1129"/>
      <c r="D300" s="1130"/>
      <c r="E300" s="1132"/>
    </row>
    <row r="301" spans="1:5" ht="12.75" customHeight="1" x14ac:dyDescent="0.25">
      <c r="B301" s="1687" t="s">
        <v>1712</v>
      </c>
      <c r="C301" s="1131"/>
      <c r="D301" s="1132"/>
      <c r="E301" s="1132"/>
    </row>
    <row r="302" spans="1:5" ht="12.75" customHeight="1" x14ac:dyDescent="0.25">
      <c r="B302" s="1131" t="s">
        <v>1328</v>
      </c>
      <c r="C302" s="1131"/>
      <c r="D302" s="1132"/>
      <c r="E302" s="1132"/>
    </row>
    <row r="303" spans="1:5" ht="12.75" customHeight="1" x14ac:dyDescent="0.25">
      <c r="B303" s="1134" t="s">
        <v>1329</v>
      </c>
    </row>
  </sheetData>
  <customSheetViews>
    <customSheetView guid="{2AF6EA2A-E5C5-45EB-B6C4-875AD1E4E056}">
      <pane ySplit="5" topLeftCell="A6" activePane="bottomLeft" state="frozenSplit"/>
      <selection pane="bottomLeft" sqref="A1:E1"/>
      <rowBreaks count="1" manualBreakCount="1">
        <brk id="77" max="4" man="1"/>
      </rowBreaks>
      <pageMargins left="0.59055118110236227" right="0" top="0.39370078740157483" bottom="0.19685039370078741" header="0" footer="0"/>
      <pageSetup paperSize="9" scale="78" orientation="portrait" r:id="rId1"/>
      <headerFooter alignWithMargins="0"/>
    </customSheetView>
  </customSheetViews>
  <mergeCells count="13">
    <mergeCell ref="B241:C241"/>
    <mergeCell ref="A293:E294"/>
    <mergeCell ref="A150:E150"/>
    <mergeCell ref="A151:E151"/>
    <mergeCell ref="A152:E152"/>
    <mergeCell ref="A153:E153"/>
    <mergeCell ref="B155:C155"/>
    <mergeCell ref="A4:E4"/>
    <mergeCell ref="A3:E3"/>
    <mergeCell ref="B92:C92"/>
    <mergeCell ref="B6:C6"/>
    <mergeCell ref="A1:E1"/>
    <mergeCell ref="A2:E2"/>
  </mergeCells>
  <pageMargins left="0.59055118110236227" right="0" top="0.39370078740157483" bottom="0.19685039370078741" header="0" footer="0"/>
  <pageSetup paperSize="9" scale="78" orientation="portrait" r:id="rId2"/>
  <headerFooter alignWithMargins="0"/>
  <rowBreaks count="1" manualBreakCount="1">
    <brk id="77" max="4" man="1"/>
  </rowBreaks>
  <ignoredErrors>
    <ignoredError sqref="B9:B46 C7:C46 B49:C91 C47:C48 B93:C121 B122:C14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X137"/>
  <sheetViews>
    <sheetView topLeftCell="A150" zoomScale="89" zoomScaleNormal="89" workbookViewId="0">
      <selection activeCell="A50" sqref="A50"/>
    </sheetView>
  </sheetViews>
  <sheetFormatPr defaultColWidth="10.5703125" defaultRowHeight="15" x14ac:dyDescent="0.25"/>
  <cols>
    <col min="1" max="1" width="4.28515625" style="173" customWidth="1"/>
    <col min="2" max="2" width="6.7109375" style="173" customWidth="1"/>
    <col min="3" max="3" width="49.42578125" style="173" customWidth="1"/>
    <col min="4" max="4" width="12.28515625" style="173" customWidth="1"/>
    <col min="5" max="6" width="10.85546875" style="173" customWidth="1"/>
    <col min="7" max="8" width="11.28515625" style="173" customWidth="1"/>
    <col min="9" max="9" width="11.5703125" style="173" customWidth="1"/>
    <col min="10" max="10" width="9.7109375" style="173" customWidth="1"/>
    <col min="11" max="11" width="10" style="173" customWidth="1"/>
    <col min="12" max="12" width="10.140625" style="173" customWidth="1"/>
    <col min="13" max="13" width="13.7109375" style="173" customWidth="1"/>
    <col min="14" max="14" width="11.28515625" style="173" customWidth="1"/>
    <col min="15" max="15" width="12" style="173" customWidth="1"/>
    <col min="16" max="17" width="9.140625" style="173" customWidth="1"/>
    <col min="18" max="18" width="11.7109375" style="173" hidden="1" customWidth="1"/>
    <col min="19" max="24" width="9.140625" style="173" hidden="1" customWidth="1"/>
    <col min="25" max="248" width="9.140625" style="173" customWidth="1"/>
    <col min="249" max="249" width="59.7109375" style="173" customWidth="1"/>
    <col min="250" max="16384" width="10.5703125" style="173"/>
  </cols>
  <sheetData>
    <row r="2" spans="1:15" ht="15.75" hidden="1" x14ac:dyDescent="0.25">
      <c r="A2" s="476" t="s">
        <v>1144</v>
      </c>
    </row>
    <row r="3" spans="1:15" ht="15.75" hidden="1" x14ac:dyDescent="0.25">
      <c r="A3" s="476"/>
      <c r="C3" s="177" t="s">
        <v>915</v>
      </c>
    </row>
    <row r="4" spans="1:15" ht="13.5" hidden="1" customHeight="1" thickBot="1" x14ac:dyDescent="0.3">
      <c r="O4" s="492" t="s">
        <v>499</v>
      </c>
    </row>
    <row r="5" spans="1:15" ht="39" hidden="1" customHeight="1" x14ac:dyDescent="0.25">
      <c r="A5" s="2551" t="s">
        <v>479</v>
      </c>
      <c r="B5" s="2569" t="s">
        <v>776</v>
      </c>
      <c r="C5" s="2570"/>
      <c r="D5" s="2575" t="s">
        <v>721</v>
      </c>
      <c r="E5" s="2558"/>
      <c r="F5" s="2558" t="s">
        <v>722</v>
      </c>
      <c r="G5" s="2558"/>
      <c r="H5" s="2558" t="s">
        <v>723</v>
      </c>
      <c r="I5" s="2558"/>
      <c r="J5" s="2560" t="s">
        <v>1105</v>
      </c>
      <c r="K5" s="2561"/>
      <c r="L5" s="2562"/>
      <c r="M5" s="2567" t="s">
        <v>739</v>
      </c>
      <c r="N5" s="2565" t="s">
        <v>1103</v>
      </c>
      <c r="O5" s="2563" t="s">
        <v>724</v>
      </c>
    </row>
    <row r="6" spans="1:15" ht="13.5" hidden="1" customHeight="1" x14ac:dyDescent="0.25">
      <c r="A6" s="2552"/>
      <c r="B6" s="2571"/>
      <c r="C6" s="2572"/>
      <c r="D6" s="477" t="s">
        <v>777</v>
      </c>
      <c r="E6" s="426" t="s">
        <v>778</v>
      </c>
      <c r="F6" s="469" t="s">
        <v>640</v>
      </c>
      <c r="G6" s="426" t="s">
        <v>645</v>
      </c>
      <c r="H6" s="469" t="s">
        <v>640</v>
      </c>
      <c r="I6" s="426" t="s">
        <v>645</v>
      </c>
      <c r="J6" s="478" t="s">
        <v>753</v>
      </c>
      <c r="K6" s="478" t="s">
        <v>754</v>
      </c>
      <c r="L6" s="478" t="s">
        <v>755</v>
      </c>
      <c r="M6" s="2568"/>
      <c r="N6" s="2566"/>
      <c r="O6" s="2564"/>
    </row>
    <row r="7" spans="1:15" ht="15" hidden="1" customHeight="1" thickBot="1" x14ac:dyDescent="0.3">
      <c r="A7" s="2553"/>
      <c r="B7" s="2573"/>
      <c r="C7" s="2574"/>
      <c r="D7" s="479" t="s">
        <v>558</v>
      </c>
      <c r="E7" s="428" t="s">
        <v>559</v>
      </c>
      <c r="F7" s="428" t="s">
        <v>560</v>
      </c>
      <c r="G7" s="428" t="s">
        <v>561</v>
      </c>
      <c r="H7" s="428" t="s">
        <v>642</v>
      </c>
      <c r="I7" s="428" t="s">
        <v>643</v>
      </c>
      <c r="J7" s="429" t="s">
        <v>564</v>
      </c>
      <c r="K7" s="480" t="s">
        <v>565</v>
      </c>
      <c r="L7" s="480" t="s">
        <v>566</v>
      </c>
      <c r="M7" s="430" t="s">
        <v>865</v>
      </c>
      <c r="N7" s="470" t="s">
        <v>610</v>
      </c>
      <c r="O7" s="430" t="s">
        <v>756</v>
      </c>
    </row>
    <row r="8" spans="1:15" s="179" customFormat="1" ht="16.5" hidden="1" customHeight="1" x14ac:dyDescent="0.25">
      <c r="A8" s="498">
        <f t="shared" ref="A8:A35" si="0">+A7+1</f>
        <v>1</v>
      </c>
      <c r="B8" s="495" t="s">
        <v>644</v>
      </c>
      <c r="C8" s="499"/>
      <c r="D8" s="613">
        <f>+D9+D18</f>
        <v>0</v>
      </c>
      <c r="E8" s="613">
        <f t="shared" ref="E8:M8" si="1">+E9+E18</f>
        <v>0</v>
      </c>
      <c r="F8" s="613">
        <f t="shared" si="1"/>
        <v>0</v>
      </c>
      <c r="G8" s="613">
        <f t="shared" si="1"/>
        <v>0</v>
      </c>
      <c r="H8" s="613">
        <f t="shared" si="1"/>
        <v>0</v>
      </c>
      <c r="I8" s="613">
        <f t="shared" si="1"/>
        <v>0</v>
      </c>
      <c r="J8" s="613">
        <f t="shared" si="1"/>
        <v>0</v>
      </c>
      <c r="K8" s="613">
        <f t="shared" si="1"/>
        <v>0</v>
      </c>
      <c r="L8" s="613">
        <f t="shared" si="1"/>
        <v>0</v>
      </c>
      <c r="M8" s="614">
        <f t="shared" si="1"/>
        <v>0</v>
      </c>
      <c r="N8" s="615">
        <f>+N9+N18</f>
        <v>0</v>
      </c>
      <c r="O8" s="614">
        <f>+O9+O18</f>
        <v>0</v>
      </c>
    </row>
    <row r="9" spans="1:15" s="177" customFormat="1" ht="14.25" hidden="1" customHeight="1" x14ac:dyDescent="0.25">
      <c r="A9" s="494">
        <f t="shared" si="0"/>
        <v>2</v>
      </c>
      <c r="B9" s="2554" t="s">
        <v>878</v>
      </c>
      <c r="C9" s="2555"/>
      <c r="D9" s="616">
        <f>SUM(D10:D17)</f>
        <v>0</v>
      </c>
      <c r="E9" s="616">
        <f t="shared" ref="E9:M9" si="2">SUM(E10:E17)</f>
        <v>0</v>
      </c>
      <c r="F9" s="616">
        <f t="shared" si="2"/>
        <v>0</v>
      </c>
      <c r="G9" s="616">
        <f t="shared" si="2"/>
        <v>0</v>
      </c>
      <c r="H9" s="616">
        <f t="shared" si="2"/>
        <v>0</v>
      </c>
      <c r="I9" s="616">
        <f t="shared" si="2"/>
        <v>0</v>
      </c>
      <c r="J9" s="616">
        <f t="shared" si="2"/>
        <v>0</v>
      </c>
      <c r="K9" s="616">
        <f t="shared" si="2"/>
        <v>0</v>
      </c>
      <c r="L9" s="616">
        <f t="shared" si="2"/>
        <v>0</v>
      </c>
      <c r="M9" s="617">
        <f t="shared" si="2"/>
        <v>0</v>
      </c>
      <c r="N9" s="618">
        <f>SUM(N10:N17)</f>
        <v>0</v>
      </c>
      <c r="O9" s="617">
        <f>SUM(O10:O17)</f>
        <v>0</v>
      </c>
    </row>
    <row r="10" spans="1:15" ht="12.75" hidden="1" customHeight="1" x14ac:dyDescent="0.25">
      <c r="A10" s="500">
        <f t="shared" si="0"/>
        <v>3</v>
      </c>
      <c r="B10" s="481" t="s">
        <v>775</v>
      </c>
      <c r="C10" s="482" t="s">
        <v>785</v>
      </c>
      <c r="D10" s="619"/>
      <c r="E10" s="619"/>
      <c r="F10" s="619"/>
      <c r="G10" s="619"/>
      <c r="H10" s="619">
        <f t="shared" ref="H10:H34" si="3">+D10+F10</f>
        <v>0</v>
      </c>
      <c r="I10" s="619">
        <f t="shared" ref="I10:I34" si="4">+E10+G10</f>
        <v>0</v>
      </c>
      <c r="J10" s="619"/>
      <c r="K10" s="619"/>
      <c r="L10" s="619"/>
      <c r="M10" s="620">
        <f t="shared" ref="M10:M34" si="5">+H10-I10</f>
        <v>0</v>
      </c>
      <c r="N10" s="621"/>
      <c r="O10" s="620">
        <f t="shared" ref="O10:O17" si="6">+I10+N10</f>
        <v>0</v>
      </c>
    </row>
    <row r="11" spans="1:15" ht="12.75" hidden="1" customHeight="1" x14ac:dyDescent="0.25">
      <c r="A11" s="500">
        <f>A10+1</f>
        <v>4</v>
      </c>
      <c r="B11" s="481" t="s">
        <v>757</v>
      </c>
      <c r="C11" s="482" t="s">
        <v>758</v>
      </c>
      <c r="D11" s="619"/>
      <c r="E11" s="619"/>
      <c r="F11" s="619"/>
      <c r="G11" s="619"/>
      <c r="H11" s="619">
        <f t="shared" si="3"/>
        <v>0</v>
      </c>
      <c r="I11" s="619">
        <f t="shared" si="4"/>
        <v>0</v>
      </c>
      <c r="J11" s="619"/>
      <c r="K11" s="619"/>
      <c r="L11" s="619"/>
      <c r="M11" s="620">
        <f t="shared" si="5"/>
        <v>0</v>
      </c>
      <c r="N11" s="621"/>
      <c r="O11" s="620">
        <f t="shared" si="6"/>
        <v>0</v>
      </c>
    </row>
    <row r="12" spans="1:15" ht="12.75" hidden="1" customHeight="1" x14ac:dyDescent="0.25">
      <c r="A12" s="500">
        <f t="shared" si="0"/>
        <v>5</v>
      </c>
      <c r="B12" s="570" t="s">
        <v>759</v>
      </c>
      <c r="C12" s="571" t="s">
        <v>760</v>
      </c>
      <c r="D12" s="619"/>
      <c r="E12" s="619"/>
      <c r="F12" s="619"/>
      <c r="G12" s="619"/>
      <c r="H12" s="619">
        <f t="shared" si="3"/>
        <v>0</v>
      </c>
      <c r="I12" s="619">
        <f t="shared" si="4"/>
        <v>0</v>
      </c>
      <c r="J12" s="619"/>
      <c r="K12" s="619"/>
      <c r="L12" s="619"/>
      <c r="M12" s="620">
        <f t="shared" si="5"/>
        <v>0</v>
      </c>
      <c r="N12" s="621"/>
      <c r="O12" s="620">
        <f t="shared" si="6"/>
        <v>0</v>
      </c>
    </row>
    <row r="13" spans="1:15" ht="13.5" hidden="1" customHeight="1" x14ac:dyDescent="0.25">
      <c r="A13" s="500">
        <f t="shared" si="0"/>
        <v>6</v>
      </c>
      <c r="B13" s="481" t="s">
        <v>761</v>
      </c>
      <c r="C13" s="482" t="s">
        <v>762</v>
      </c>
      <c r="D13" s="619"/>
      <c r="E13" s="619"/>
      <c r="F13" s="619"/>
      <c r="G13" s="619"/>
      <c r="H13" s="619">
        <f t="shared" si="3"/>
        <v>0</v>
      </c>
      <c r="I13" s="619">
        <f t="shared" si="4"/>
        <v>0</v>
      </c>
      <c r="J13" s="619"/>
      <c r="K13" s="619"/>
      <c r="L13" s="619"/>
      <c r="M13" s="620">
        <f t="shared" si="5"/>
        <v>0</v>
      </c>
      <c r="N13" s="621"/>
      <c r="O13" s="620">
        <f t="shared" si="6"/>
        <v>0</v>
      </c>
    </row>
    <row r="14" spans="1:15" ht="12.75" hidden="1" customHeight="1" x14ac:dyDescent="0.25">
      <c r="A14" s="500">
        <f>A13+1</f>
        <v>7</v>
      </c>
      <c r="B14" s="481" t="s">
        <v>763</v>
      </c>
      <c r="C14" s="482" t="s">
        <v>764</v>
      </c>
      <c r="D14" s="619"/>
      <c r="E14" s="619"/>
      <c r="F14" s="619"/>
      <c r="G14" s="619"/>
      <c r="H14" s="619">
        <f t="shared" si="3"/>
        <v>0</v>
      </c>
      <c r="I14" s="619">
        <f t="shared" si="4"/>
        <v>0</v>
      </c>
      <c r="J14" s="619"/>
      <c r="K14" s="619"/>
      <c r="L14" s="619"/>
      <c r="M14" s="620">
        <f t="shared" si="5"/>
        <v>0</v>
      </c>
      <c r="N14" s="621"/>
      <c r="O14" s="620">
        <f t="shared" si="6"/>
        <v>0</v>
      </c>
    </row>
    <row r="15" spans="1:15" ht="12.75" hidden="1" customHeight="1" x14ac:dyDescent="0.25">
      <c r="A15" s="500">
        <f t="shared" si="0"/>
        <v>8</v>
      </c>
      <c r="B15" s="481" t="s">
        <v>765</v>
      </c>
      <c r="C15" s="483" t="s">
        <v>766</v>
      </c>
      <c r="D15" s="619"/>
      <c r="E15" s="619"/>
      <c r="F15" s="619"/>
      <c r="G15" s="619"/>
      <c r="H15" s="619">
        <f t="shared" si="3"/>
        <v>0</v>
      </c>
      <c r="I15" s="619">
        <f t="shared" si="4"/>
        <v>0</v>
      </c>
      <c r="J15" s="619"/>
      <c r="K15" s="619"/>
      <c r="L15" s="619"/>
      <c r="M15" s="620">
        <f t="shared" si="5"/>
        <v>0</v>
      </c>
      <c r="N15" s="621"/>
      <c r="O15" s="620">
        <f t="shared" si="6"/>
        <v>0</v>
      </c>
    </row>
    <row r="16" spans="1:15" ht="12.75" hidden="1" customHeight="1" x14ac:dyDescent="0.25">
      <c r="A16" s="500">
        <f t="shared" si="0"/>
        <v>9</v>
      </c>
      <c r="B16" s="484" t="s">
        <v>767</v>
      </c>
      <c r="C16" s="485" t="s">
        <v>768</v>
      </c>
      <c r="D16" s="619"/>
      <c r="E16" s="619"/>
      <c r="F16" s="619"/>
      <c r="G16" s="619"/>
      <c r="H16" s="619">
        <f t="shared" si="3"/>
        <v>0</v>
      </c>
      <c r="I16" s="619">
        <f t="shared" si="4"/>
        <v>0</v>
      </c>
      <c r="J16" s="619"/>
      <c r="K16" s="619"/>
      <c r="L16" s="619"/>
      <c r="M16" s="620">
        <f t="shared" si="5"/>
        <v>0</v>
      </c>
      <c r="N16" s="621"/>
      <c r="O16" s="620">
        <f t="shared" si="6"/>
        <v>0</v>
      </c>
    </row>
    <row r="17" spans="1:15" ht="12.75" hidden="1" customHeight="1" x14ac:dyDescent="0.25">
      <c r="A17" s="500">
        <f t="shared" si="0"/>
        <v>10</v>
      </c>
      <c r="B17" s="484"/>
      <c r="C17" s="486" t="s">
        <v>779</v>
      </c>
      <c r="D17" s="619"/>
      <c r="E17" s="619"/>
      <c r="F17" s="619"/>
      <c r="G17" s="619"/>
      <c r="H17" s="619">
        <f t="shared" si="3"/>
        <v>0</v>
      </c>
      <c r="I17" s="619">
        <f t="shared" si="4"/>
        <v>0</v>
      </c>
      <c r="J17" s="619"/>
      <c r="K17" s="619"/>
      <c r="L17" s="619"/>
      <c r="M17" s="620">
        <f t="shared" si="5"/>
        <v>0</v>
      </c>
      <c r="N17" s="621"/>
      <c r="O17" s="620">
        <f t="shared" si="6"/>
        <v>0</v>
      </c>
    </row>
    <row r="18" spans="1:15" s="177" customFormat="1" ht="12.75" hidden="1" customHeight="1" x14ac:dyDescent="0.25">
      <c r="A18" s="494">
        <f t="shared" si="0"/>
        <v>11</v>
      </c>
      <c r="B18" s="2559" t="s">
        <v>879</v>
      </c>
      <c r="C18" s="2550"/>
      <c r="D18" s="616">
        <f>SUM(D19:D25)</f>
        <v>0</v>
      </c>
      <c r="E18" s="616">
        <f t="shared" ref="E18:O18" si="7">SUM(E19:E25)</f>
        <v>0</v>
      </c>
      <c r="F18" s="616">
        <f t="shared" si="7"/>
        <v>0</v>
      </c>
      <c r="G18" s="616">
        <f t="shared" si="7"/>
        <v>0</v>
      </c>
      <c r="H18" s="616">
        <f t="shared" si="7"/>
        <v>0</v>
      </c>
      <c r="I18" s="616">
        <f t="shared" si="7"/>
        <v>0</v>
      </c>
      <c r="J18" s="616">
        <f t="shared" si="7"/>
        <v>0</v>
      </c>
      <c r="K18" s="616">
        <f t="shared" si="7"/>
        <v>0</v>
      </c>
      <c r="L18" s="616">
        <f t="shared" si="7"/>
        <v>0</v>
      </c>
      <c r="M18" s="617">
        <f t="shared" si="7"/>
        <v>0</v>
      </c>
      <c r="N18" s="618">
        <f t="shared" si="7"/>
        <v>0</v>
      </c>
      <c r="O18" s="617">
        <f t="shared" si="7"/>
        <v>0</v>
      </c>
    </row>
    <row r="19" spans="1:15" s="177" customFormat="1" ht="12.75" hidden="1" customHeight="1" x14ac:dyDescent="0.25">
      <c r="A19" s="575">
        <f>A18+1</f>
        <v>12</v>
      </c>
      <c r="B19" s="570" t="s">
        <v>759</v>
      </c>
      <c r="C19" s="571" t="s">
        <v>760</v>
      </c>
      <c r="D19" s="619"/>
      <c r="E19" s="619"/>
      <c r="F19" s="619"/>
      <c r="G19" s="619"/>
      <c r="H19" s="619">
        <f t="shared" si="3"/>
        <v>0</v>
      </c>
      <c r="I19" s="619">
        <f t="shared" si="4"/>
        <v>0</v>
      </c>
      <c r="J19" s="619"/>
      <c r="K19" s="619"/>
      <c r="L19" s="619"/>
      <c r="M19" s="620">
        <f t="shared" si="5"/>
        <v>0</v>
      </c>
      <c r="N19" s="621"/>
      <c r="O19" s="620">
        <f t="shared" ref="O19:O25" si="8">+I19+N19</f>
        <v>0</v>
      </c>
    </row>
    <row r="20" spans="1:15" ht="12.75" hidden="1" customHeight="1" x14ac:dyDescent="0.25">
      <c r="A20" s="500">
        <f>A19+1</f>
        <v>13</v>
      </c>
      <c r="B20" s="481" t="s">
        <v>761</v>
      </c>
      <c r="C20" s="482" t="s">
        <v>762</v>
      </c>
      <c r="D20" s="619"/>
      <c r="E20" s="619"/>
      <c r="F20" s="619"/>
      <c r="G20" s="619"/>
      <c r="H20" s="619">
        <f t="shared" si="3"/>
        <v>0</v>
      </c>
      <c r="I20" s="619">
        <f t="shared" si="4"/>
        <v>0</v>
      </c>
      <c r="J20" s="619"/>
      <c r="K20" s="619"/>
      <c r="L20" s="619"/>
      <c r="M20" s="620">
        <f t="shared" si="5"/>
        <v>0</v>
      </c>
      <c r="N20" s="621"/>
      <c r="O20" s="620">
        <f t="shared" si="8"/>
        <v>0</v>
      </c>
    </row>
    <row r="21" spans="1:15" ht="12.75" hidden="1" customHeight="1" x14ac:dyDescent="0.25">
      <c r="A21" s="500">
        <f t="shared" si="0"/>
        <v>14</v>
      </c>
      <c r="B21" s="481" t="s">
        <v>769</v>
      </c>
      <c r="C21" s="482" t="s">
        <v>770</v>
      </c>
      <c r="D21" s="619"/>
      <c r="E21" s="619"/>
      <c r="F21" s="619"/>
      <c r="G21" s="619"/>
      <c r="H21" s="619">
        <f t="shared" si="3"/>
        <v>0</v>
      </c>
      <c r="I21" s="619">
        <f t="shared" si="4"/>
        <v>0</v>
      </c>
      <c r="J21" s="619"/>
      <c r="K21" s="619"/>
      <c r="L21" s="619"/>
      <c r="M21" s="620">
        <f t="shared" si="5"/>
        <v>0</v>
      </c>
      <c r="N21" s="621"/>
      <c r="O21" s="620">
        <f t="shared" si="8"/>
        <v>0</v>
      </c>
    </row>
    <row r="22" spans="1:15" ht="12.75" hidden="1" customHeight="1" x14ac:dyDescent="0.25">
      <c r="A22" s="500">
        <f t="shared" si="0"/>
        <v>15</v>
      </c>
      <c r="B22" s="481" t="s">
        <v>771</v>
      </c>
      <c r="C22" s="482" t="s">
        <v>772</v>
      </c>
      <c r="D22" s="619"/>
      <c r="E22" s="619"/>
      <c r="F22" s="619"/>
      <c r="G22" s="619"/>
      <c r="H22" s="619">
        <f t="shared" si="3"/>
        <v>0</v>
      </c>
      <c r="I22" s="619">
        <f t="shared" si="4"/>
        <v>0</v>
      </c>
      <c r="J22" s="619"/>
      <c r="K22" s="619"/>
      <c r="L22" s="619"/>
      <c r="M22" s="620">
        <f t="shared" si="5"/>
        <v>0</v>
      </c>
      <c r="N22" s="621"/>
      <c r="O22" s="620">
        <f t="shared" si="8"/>
        <v>0</v>
      </c>
    </row>
    <row r="23" spans="1:15" ht="12.75" hidden="1" customHeight="1" x14ac:dyDescent="0.25">
      <c r="A23" s="500">
        <f t="shared" si="0"/>
        <v>16</v>
      </c>
      <c r="B23" s="481" t="s">
        <v>773</v>
      </c>
      <c r="C23" s="482" t="s">
        <v>774</v>
      </c>
      <c r="D23" s="619"/>
      <c r="E23" s="619"/>
      <c r="F23" s="619"/>
      <c r="G23" s="619"/>
      <c r="H23" s="619">
        <f t="shared" si="3"/>
        <v>0</v>
      </c>
      <c r="I23" s="619">
        <f t="shared" si="4"/>
        <v>0</v>
      </c>
      <c r="J23" s="619"/>
      <c r="K23" s="619"/>
      <c r="L23" s="619"/>
      <c r="M23" s="620">
        <f t="shared" si="5"/>
        <v>0</v>
      </c>
      <c r="N23" s="621"/>
      <c r="O23" s="620">
        <f t="shared" si="8"/>
        <v>0</v>
      </c>
    </row>
    <row r="24" spans="1:15" ht="12.75" hidden="1" customHeight="1" x14ac:dyDescent="0.25">
      <c r="A24" s="500">
        <f t="shared" si="0"/>
        <v>17</v>
      </c>
      <c r="B24" s="484" t="s">
        <v>763</v>
      </c>
      <c r="C24" s="485" t="s">
        <v>764</v>
      </c>
      <c r="D24" s="619"/>
      <c r="E24" s="619"/>
      <c r="F24" s="619"/>
      <c r="G24" s="619"/>
      <c r="H24" s="619">
        <f t="shared" si="3"/>
        <v>0</v>
      </c>
      <c r="I24" s="619">
        <f t="shared" si="4"/>
        <v>0</v>
      </c>
      <c r="J24" s="619"/>
      <c r="K24" s="619"/>
      <c r="L24" s="619"/>
      <c r="M24" s="620">
        <f t="shared" si="5"/>
        <v>0</v>
      </c>
      <c r="N24" s="621"/>
      <c r="O24" s="620">
        <f t="shared" si="8"/>
        <v>0</v>
      </c>
    </row>
    <row r="25" spans="1:15" ht="12.75" hidden="1" customHeight="1" x14ac:dyDescent="0.25">
      <c r="A25" s="500">
        <f>A24+1</f>
        <v>18</v>
      </c>
      <c r="B25" s="484"/>
      <c r="C25" s="486" t="s">
        <v>779</v>
      </c>
      <c r="D25" s="619"/>
      <c r="E25" s="619"/>
      <c r="F25" s="619"/>
      <c r="G25" s="619"/>
      <c r="H25" s="619">
        <f t="shared" si="3"/>
        <v>0</v>
      </c>
      <c r="I25" s="619">
        <f t="shared" si="4"/>
        <v>0</v>
      </c>
      <c r="J25" s="619"/>
      <c r="K25" s="619"/>
      <c r="L25" s="619"/>
      <c r="M25" s="620">
        <f t="shared" si="5"/>
        <v>0</v>
      </c>
      <c r="N25" s="621"/>
      <c r="O25" s="620">
        <f t="shared" si="8"/>
        <v>0</v>
      </c>
    </row>
    <row r="26" spans="1:15" s="179" customFormat="1" ht="12.75" hidden="1" customHeight="1" x14ac:dyDescent="0.25">
      <c r="A26" s="498">
        <f t="shared" si="0"/>
        <v>19</v>
      </c>
      <c r="B26" s="2556" t="s">
        <v>788</v>
      </c>
      <c r="C26" s="2557"/>
      <c r="D26" s="622">
        <f>+D27</f>
        <v>0</v>
      </c>
      <c r="E26" s="622">
        <f t="shared" ref="E26:O27" si="9">+E27</f>
        <v>0</v>
      </c>
      <c r="F26" s="622">
        <f t="shared" si="9"/>
        <v>0</v>
      </c>
      <c r="G26" s="622">
        <f t="shared" si="9"/>
        <v>0</v>
      </c>
      <c r="H26" s="622">
        <f t="shared" si="9"/>
        <v>0</v>
      </c>
      <c r="I26" s="622">
        <f t="shared" si="9"/>
        <v>0</v>
      </c>
      <c r="J26" s="622">
        <f t="shared" si="9"/>
        <v>0</v>
      </c>
      <c r="K26" s="622">
        <f t="shared" si="9"/>
        <v>0</v>
      </c>
      <c r="L26" s="622">
        <f t="shared" si="9"/>
        <v>0</v>
      </c>
      <c r="M26" s="623">
        <f t="shared" si="9"/>
        <v>0</v>
      </c>
      <c r="N26" s="624">
        <f t="shared" si="9"/>
        <v>0</v>
      </c>
      <c r="O26" s="623">
        <f t="shared" si="9"/>
        <v>0</v>
      </c>
    </row>
    <row r="27" spans="1:15" s="181" customFormat="1" ht="12.75" hidden="1" customHeight="1" x14ac:dyDescent="0.25">
      <c r="A27" s="494">
        <f t="shared" si="0"/>
        <v>20</v>
      </c>
      <c r="B27" s="2549" t="s">
        <v>880</v>
      </c>
      <c r="C27" s="2550"/>
      <c r="D27" s="616">
        <f>+D28</f>
        <v>0</v>
      </c>
      <c r="E27" s="616">
        <f t="shared" si="9"/>
        <v>0</v>
      </c>
      <c r="F27" s="616">
        <f t="shared" si="9"/>
        <v>0</v>
      </c>
      <c r="G27" s="616">
        <f t="shared" si="9"/>
        <v>0</v>
      </c>
      <c r="H27" s="616">
        <f t="shared" si="9"/>
        <v>0</v>
      </c>
      <c r="I27" s="616">
        <f t="shared" si="9"/>
        <v>0</v>
      </c>
      <c r="J27" s="616">
        <f t="shared" si="9"/>
        <v>0</v>
      </c>
      <c r="K27" s="616">
        <f t="shared" si="9"/>
        <v>0</v>
      </c>
      <c r="L27" s="616">
        <f t="shared" si="9"/>
        <v>0</v>
      </c>
      <c r="M27" s="617">
        <f t="shared" si="9"/>
        <v>0</v>
      </c>
      <c r="N27" s="618">
        <f t="shared" si="9"/>
        <v>0</v>
      </c>
      <c r="O27" s="617">
        <f t="shared" si="9"/>
        <v>0</v>
      </c>
    </row>
    <row r="28" spans="1:15" ht="12.75" hidden="1" customHeight="1" x14ac:dyDescent="0.25">
      <c r="A28" s="500">
        <f t="shared" si="0"/>
        <v>21</v>
      </c>
      <c r="B28" s="481"/>
      <c r="C28" s="486" t="s">
        <v>779</v>
      </c>
      <c r="D28" s="619"/>
      <c r="E28" s="619"/>
      <c r="F28" s="619"/>
      <c r="G28" s="619"/>
      <c r="H28" s="619">
        <f t="shared" si="3"/>
        <v>0</v>
      </c>
      <c r="I28" s="619">
        <f t="shared" si="4"/>
        <v>0</v>
      </c>
      <c r="J28" s="619"/>
      <c r="K28" s="619"/>
      <c r="L28" s="619"/>
      <c r="M28" s="620">
        <f t="shared" si="5"/>
        <v>0</v>
      </c>
      <c r="N28" s="621"/>
      <c r="O28" s="620">
        <f>+I28+N28</f>
        <v>0</v>
      </c>
    </row>
    <row r="29" spans="1:15" ht="12.75" hidden="1" customHeight="1" x14ac:dyDescent="0.25">
      <c r="A29" s="498">
        <f t="shared" si="0"/>
        <v>22</v>
      </c>
      <c r="B29" s="2556" t="s">
        <v>786</v>
      </c>
      <c r="C29" s="2557"/>
      <c r="D29" s="622">
        <f>+D30</f>
        <v>0</v>
      </c>
      <c r="E29" s="622">
        <f t="shared" ref="E29:O30" si="10">+E30</f>
        <v>0</v>
      </c>
      <c r="F29" s="622">
        <f t="shared" si="10"/>
        <v>0</v>
      </c>
      <c r="G29" s="622">
        <f t="shared" si="10"/>
        <v>0</v>
      </c>
      <c r="H29" s="622">
        <f t="shared" si="10"/>
        <v>0</v>
      </c>
      <c r="I29" s="622">
        <f t="shared" si="10"/>
        <v>0</v>
      </c>
      <c r="J29" s="622">
        <f t="shared" si="10"/>
        <v>0</v>
      </c>
      <c r="K29" s="622">
        <f t="shared" si="10"/>
        <v>0</v>
      </c>
      <c r="L29" s="622">
        <f t="shared" si="10"/>
        <v>0</v>
      </c>
      <c r="M29" s="623">
        <f t="shared" si="10"/>
        <v>0</v>
      </c>
      <c r="N29" s="624">
        <f t="shared" si="10"/>
        <v>0</v>
      </c>
      <c r="O29" s="623">
        <f t="shared" si="10"/>
        <v>0</v>
      </c>
    </row>
    <row r="30" spans="1:15" ht="12.75" hidden="1" customHeight="1" x14ac:dyDescent="0.25">
      <c r="A30" s="494">
        <f t="shared" si="0"/>
        <v>23</v>
      </c>
      <c r="B30" s="2549" t="s">
        <v>880</v>
      </c>
      <c r="C30" s="2550"/>
      <c r="D30" s="616">
        <f>+D31</f>
        <v>0</v>
      </c>
      <c r="E30" s="616">
        <f t="shared" si="10"/>
        <v>0</v>
      </c>
      <c r="F30" s="616">
        <f t="shared" si="10"/>
        <v>0</v>
      </c>
      <c r="G30" s="616">
        <f t="shared" si="10"/>
        <v>0</v>
      </c>
      <c r="H30" s="616">
        <f t="shared" si="10"/>
        <v>0</v>
      </c>
      <c r="I30" s="616">
        <f t="shared" si="10"/>
        <v>0</v>
      </c>
      <c r="J30" s="616">
        <f t="shared" si="10"/>
        <v>0</v>
      </c>
      <c r="K30" s="616">
        <f t="shared" si="10"/>
        <v>0</v>
      </c>
      <c r="L30" s="616">
        <f t="shared" si="10"/>
        <v>0</v>
      </c>
      <c r="M30" s="617">
        <f t="shared" si="10"/>
        <v>0</v>
      </c>
      <c r="N30" s="618">
        <f t="shared" si="10"/>
        <v>0</v>
      </c>
      <c r="O30" s="617">
        <f t="shared" si="10"/>
        <v>0</v>
      </c>
    </row>
    <row r="31" spans="1:15" ht="12.75" hidden="1" customHeight="1" x14ac:dyDescent="0.25">
      <c r="A31" s="500">
        <f t="shared" si="0"/>
        <v>24</v>
      </c>
      <c r="B31" s="503"/>
      <c r="C31" s="504"/>
      <c r="D31" s="619"/>
      <c r="E31" s="619"/>
      <c r="F31" s="619"/>
      <c r="G31" s="619"/>
      <c r="H31" s="619">
        <f t="shared" si="3"/>
        <v>0</v>
      </c>
      <c r="I31" s="619">
        <f t="shared" si="4"/>
        <v>0</v>
      </c>
      <c r="J31" s="619"/>
      <c r="K31" s="619"/>
      <c r="L31" s="619"/>
      <c r="M31" s="620">
        <f t="shared" si="5"/>
        <v>0</v>
      </c>
      <c r="N31" s="621"/>
      <c r="O31" s="620">
        <f>+I31+N31</f>
        <v>0</v>
      </c>
    </row>
    <row r="32" spans="1:15" ht="12.75" hidden="1" customHeight="1" x14ac:dyDescent="0.25">
      <c r="A32" s="498">
        <f t="shared" si="0"/>
        <v>25</v>
      </c>
      <c r="B32" s="2556" t="s">
        <v>789</v>
      </c>
      <c r="C32" s="2557"/>
      <c r="D32" s="622">
        <f>+D33</f>
        <v>0</v>
      </c>
      <c r="E32" s="622">
        <f t="shared" ref="E32:O33" si="11">+E33</f>
        <v>0</v>
      </c>
      <c r="F32" s="622">
        <f t="shared" si="11"/>
        <v>0</v>
      </c>
      <c r="G32" s="622">
        <f t="shared" si="11"/>
        <v>0</v>
      </c>
      <c r="H32" s="622">
        <f t="shared" si="11"/>
        <v>0</v>
      </c>
      <c r="I32" s="622">
        <f t="shared" si="11"/>
        <v>0</v>
      </c>
      <c r="J32" s="622">
        <f t="shared" si="11"/>
        <v>0</v>
      </c>
      <c r="K32" s="622">
        <f t="shared" si="11"/>
        <v>0</v>
      </c>
      <c r="L32" s="622">
        <f t="shared" si="11"/>
        <v>0</v>
      </c>
      <c r="M32" s="623">
        <f t="shared" si="11"/>
        <v>0</v>
      </c>
      <c r="N32" s="624">
        <f t="shared" si="11"/>
        <v>0</v>
      </c>
      <c r="O32" s="623">
        <f t="shared" si="11"/>
        <v>0</v>
      </c>
    </row>
    <row r="33" spans="1:15" ht="12.75" hidden="1" customHeight="1" x14ac:dyDescent="0.25">
      <c r="A33" s="494">
        <f t="shared" si="0"/>
        <v>26</v>
      </c>
      <c r="B33" s="2549" t="s">
        <v>880</v>
      </c>
      <c r="C33" s="2550"/>
      <c r="D33" s="616">
        <f>+D34</f>
        <v>0</v>
      </c>
      <c r="E33" s="616">
        <f t="shared" si="11"/>
        <v>0</v>
      </c>
      <c r="F33" s="616">
        <f t="shared" si="11"/>
        <v>0</v>
      </c>
      <c r="G33" s="616">
        <f t="shared" si="11"/>
        <v>0</v>
      </c>
      <c r="H33" s="616">
        <f t="shared" si="11"/>
        <v>0</v>
      </c>
      <c r="I33" s="616">
        <f t="shared" si="11"/>
        <v>0</v>
      </c>
      <c r="J33" s="616">
        <f t="shared" si="11"/>
        <v>0</v>
      </c>
      <c r="K33" s="616">
        <f t="shared" si="11"/>
        <v>0</v>
      </c>
      <c r="L33" s="616">
        <f t="shared" si="11"/>
        <v>0</v>
      </c>
      <c r="M33" s="617">
        <f t="shared" si="11"/>
        <v>0</v>
      </c>
      <c r="N33" s="618">
        <f t="shared" si="11"/>
        <v>0</v>
      </c>
      <c r="O33" s="617">
        <f t="shared" si="11"/>
        <v>0</v>
      </c>
    </row>
    <row r="34" spans="1:15" ht="12.75" hidden="1" customHeight="1" thickBot="1" x14ac:dyDescent="0.3">
      <c r="A34" s="501">
        <f t="shared" si="0"/>
        <v>27</v>
      </c>
      <c r="B34" s="487"/>
      <c r="C34" s="488"/>
      <c r="D34" s="619"/>
      <c r="E34" s="619"/>
      <c r="F34" s="619"/>
      <c r="G34" s="619"/>
      <c r="H34" s="619">
        <f t="shared" si="3"/>
        <v>0</v>
      </c>
      <c r="I34" s="619">
        <f t="shared" si="4"/>
        <v>0</v>
      </c>
      <c r="J34" s="619"/>
      <c r="K34" s="619"/>
      <c r="L34" s="619"/>
      <c r="M34" s="620">
        <f t="shared" si="5"/>
        <v>0</v>
      </c>
      <c r="N34" s="621"/>
      <c r="O34" s="620">
        <f>+I34+N34</f>
        <v>0</v>
      </c>
    </row>
    <row r="35" spans="1:15" s="493" customFormat="1" ht="13.5" hidden="1" customHeight="1" thickBot="1" x14ac:dyDescent="0.3">
      <c r="A35" s="502">
        <f t="shared" si="0"/>
        <v>28</v>
      </c>
      <c r="B35" s="489" t="s">
        <v>738</v>
      </c>
      <c r="C35" s="490"/>
      <c r="D35" s="625">
        <f>+D8+D26+D29+D32</f>
        <v>0</v>
      </c>
      <c r="E35" s="625">
        <f t="shared" ref="E35:O35" si="12">+E8+E26+E29+E32</f>
        <v>0</v>
      </c>
      <c r="F35" s="625">
        <f t="shared" si="12"/>
        <v>0</v>
      </c>
      <c r="G35" s="625">
        <f t="shared" si="12"/>
        <v>0</v>
      </c>
      <c r="H35" s="625">
        <f t="shared" si="12"/>
        <v>0</v>
      </c>
      <c r="I35" s="625">
        <f t="shared" si="12"/>
        <v>0</v>
      </c>
      <c r="J35" s="625">
        <f t="shared" si="12"/>
        <v>0</v>
      </c>
      <c r="K35" s="625">
        <f t="shared" si="12"/>
        <v>0</v>
      </c>
      <c r="L35" s="625">
        <f t="shared" si="12"/>
        <v>0</v>
      </c>
      <c r="M35" s="626">
        <f t="shared" si="12"/>
        <v>0</v>
      </c>
      <c r="N35" s="627">
        <f t="shared" si="12"/>
        <v>0</v>
      </c>
      <c r="O35" s="626">
        <f t="shared" si="12"/>
        <v>0</v>
      </c>
    </row>
    <row r="36" spans="1:15" s="517" customFormat="1" ht="13.5" hidden="1" customHeight="1" x14ac:dyDescent="0.25">
      <c r="A36" s="551"/>
      <c r="B36" s="558"/>
      <c r="C36" s="559"/>
      <c r="D36" s="496"/>
      <c r="E36" s="496"/>
      <c r="F36" s="496"/>
      <c r="G36" s="496"/>
      <c r="H36" s="496"/>
      <c r="I36" s="496"/>
      <c r="J36" s="496"/>
      <c r="K36" s="496"/>
      <c r="L36" s="496"/>
      <c r="M36" s="496"/>
      <c r="N36" s="496"/>
      <c r="O36" s="496"/>
    </row>
    <row r="37" spans="1:15" ht="22.5" hidden="1" customHeight="1" x14ac:dyDescent="0.25">
      <c r="A37" s="177" t="s">
        <v>638</v>
      </c>
    </row>
    <row r="38" spans="1:15" ht="57" hidden="1" customHeight="1" x14ac:dyDescent="0.25">
      <c r="A38" s="2548" t="s">
        <v>823</v>
      </c>
      <c r="B38" s="2548"/>
      <c r="C38" s="2548"/>
      <c r="D38" s="2548"/>
      <c r="E38" s="2548"/>
      <c r="F38" s="2548"/>
      <c r="G38" s="2548"/>
      <c r="H38" s="2548"/>
      <c r="I38" s="2548"/>
      <c r="J38" s="2548"/>
      <c r="K38" s="2548"/>
      <c r="L38" s="2548"/>
      <c r="M38" s="2548"/>
      <c r="N38" s="2548"/>
      <c r="O38" s="2548"/>
    </row>
    <row r="39" spans="1:15" ht="18" hidden="1" customHeight="1" x14ac:dyDescent="0.25">
      <c r="A39" s="2548" t="s">
        <v>919</v>
      </c>
      <c r="B39" s="2548"/>
      <c r="C39" s="2548"/>
      <c r="D39" s="2548"/>
      <c r="E39" s="2548"/>
      <c r="F39" s="2548"/>
      <c r="G39" s="2548"/>
      <c r="H39" s="2548"/>
      <c r="I39" s="2548"/>
      <c r="J39" s="2548"/>
      <c r="K39" s="2548"/>
      <c r="L39" s="2548"/>
      <c r="M39" s="2548"/>
      <c r="N39" s="2548"/>
      <c r="O39" s="2548"/>
    </row>
    <row r="40" spans="1:15" ht="33.75" hidden="1" customHeight="1" x14ac:dyDescent="0.25">
      <c r="A40" s="2548" t="s">
        <v>867</v>
      </c>
      <c r="B40" s="2548"/>
      <c r="C40" s="2548"/>
      <c r="D40" s="2548"/>
      <c r="E40" s="2548"/>
      <c r="F40" s="2548"/>
      <c r="G40" s="2548"/>
      <c r="H40" s="2548"/>
      <c r="I40" s="2548"/>
      <c r="J40" s="2548"/>
      <c r="K40" s="2548"/>
      <c r="L40" s="2548"/>
      <c r="M40" s="2548"/>
      <c r="N40" s="2548"/>
      <c r="O40" s="2548"/>
    </row>
    <row r="41" spans="1:15" ht="33.75" hidden="1" customHeight="1" x14ac:dyDescent="0.25">
      <c r="A41" s="2548" t="s">
        <v>1102</v>
      </c>
      <c r="B41" s="2548"/>
      <c r="C41" s="2548"/>
      <c r="D41" s="2548"/>
      <c r="E41" s="2548"/>
      <c r="F41" s="2548"/>
      <c r="G41" s="2548"/>
      <c r="H41" s="2548"/>
      <c r="I41" s="2548"/>
      <c r="J41" s="2548"/>
      <c r="K41" s="2548"/>
      <c r="L41" s="2548"/>
      <c r="M41" s="2548"/>
      <c r="N41" s="2548"/>
      <c r="O41" s="2548"/>
    </row>
    <row r="42" spans="1:15" ht="19.5" hidden="1" customHeight="1" x14ac:dyDescent="0.25">
      <c r="A42" s="2548" t="s">
        <v>1104</v>
      </c>
      <c r="B42" s="2548"/>
      <c r="C42" s="2548"/>
      <c r="D42" s="2548"/>
      <c r="E42" s="2548"/>
      <c r="F42" s="2548"/>
      <c r="G42" s="2548"/>
      <c r="H42" s="2548"/>
      <c r="I42" s="2548"/>
      <c r="J42" s="2548"/>
      <c r="K42" s="2548"/>
      <c r="L42" s="2548"/>
      <c r="M42" s="2548"/>
      <c r="N42" s="2548"/>
      <c r="O42" s="2548"/>
    </row>
    <row r="43" spans="1:15" ht="19.5" hidden="1" customHeight="1" x14ac:dyDescent="0.25">
      <c r="A43" s="694"/>
      <c r="B43" s="694"/>
      <c r="C43" s="694"/>
      <c r="D43" s="694"/>
      <c r="E43" s="694"/>
      <c r="F43" s="694"/>
      <c r="G43" s="694"/>
      <c r="H43" s="694"/>
      <c r="I43" s="694"/>
      <c r="J43" s="694"/>
      <c r="K43" s="694"/>
      <c r="L43" s="694"/>
      <c r="M43" s="694"/>
      <c r="N43" s="694"/>
      <c r="O43" s="694"/>
    </row>
    <row r="44" spans="1:15" hidden="1" x14ac:dyDescent="0.25">
      <c r="A44" s="465" t="s">
        <v>1185</v>
      </c>
      <c r="C44" s="177"/>
    </row>
    <row r="45" spans="1:15" x14ac:dyDescent="0.25">
      <c r="C45" s="177"/>
    </row>
    <row r="46" spans="1:15" ht="18.75" x14ac:dyDescent="0.25">
      <c r="A46" s="910" t="s">
        <v>1278</v>
      </c>
    </row>
    <row r="47" spans="1:15" ht="15.75" x14ac:dyDescent="0.25">
      <c r="A47" s="476" t="s">
        <v>1144</v>
      </c>
    </row>
    <row r="48" spans="1:15" ht="15.75" x14ac:dyDescent="0.25">
      <c r="A48" s="476"/>
      <c r="C48" s="1127" t="s">
        <v>915</v>
      </c>
    </row>
    <row r="49" spans="1:23" ht="18.75" x14ac:dyDescent="0.25">
      <c r="C49" s="1147"/>
      <c r="O49" s="2373" t="s">
        <v>499</v>
      </c>
    </row>
    <row r="50" spans="1:23" ht="15.75" thickBot="1" x14ac:dyDescent="0.3"/>
    <row r="51" spans="1:23" ht="39.950000000000003" customHeight="1" x14ac:dyDescent="0.25">
      <c r="A51" s="2576" t="s">
        <v>479</v>
      </c>
      <c r="B51" s="2579" t="s">
        <v>1331</v>
      </c>
      <c r="C51" s="2580"/>
      <c r="D51" s="2585" t="s">
        <v>1308</v>
      </c>
      <c r="E51" s="2586"/>
      <c r="F51" s="2586" t="s">
        <v>1280</v>
      </c>
      <c r="G51" s="2586"/>
      <c r="H51" s="2586" t="s">
        <v>1309</v>
      </c>
      <c r="I51" s="2586"/>
      <c r="J51" s="2587" t="s">
        <v>1332</v>
      </c>
      <c r="K51" s="2587"/>
      <c r="L51" s="2587"/>
      <c r="M51" s="2587" t="s">
        <v>739</v>
      </c>
      <c r="N51" s="2587" t="s">
        <v>1333</v>
      </c>
      <c r="O51" s="2589" t="s">
        <v>724</v>
      </c>
      <c r="R51" s="2374" t="s">
        <v>1912</v>
      </c>
    </row>
    <row r="52" spans="1:23" x14ac:dyDescent="0.25">
      <c r="A52" s="2577"/>
      <c r="B52" s="2581"/>
      <c r="C52" s="2582"/>
      <c r="D52" s="1055" t="s">
        <v>1334</v>
      </c>
      <c r="E52" s="1045" t="s">
        <v>1335</v>
      </c>
      <c r="F52" s="1045" t="s">
        <v>640</v>
      </c>
      <c r="G52" s="1045" t="s">
        <v>645</v>
      </c>
      <c r="H52" s="1045" t="s">
        <v>640</v>
      </c>
      <c r="I52" s="1045" t="s">
        <v>645</v>
      </c>
      <c r="J52" s="1148" t="s">
        <v>753</v>
      </c>
      <c r="K52" s="1148" t="s">
        <v>754</v>
      </c>
      <c r="L52" s="1148" t="s">
        <v>755</v>
      </c>
      <c r="M52" s="2588"/>
      <c r="N52" s="2588"/>
      <c r="O52" s="2590"/>
      <c r="R52" s="2411" t="s">
        <v>1414</v>
      </c>
      <c r="S52" s="2411"/>
      <c r="T52" s="2412"/>
      <c r="U52" s="2412"/>
      <c r="V52" s="2412"/>
      <c r="W52" s="2412"/>
    </row>
    <row r="53" spans="1:23" ht="15.75" thickBot="1" x14ac:dyDescent="0.3">
      <c r="A53" s="2578"/>
      <c r="B53" s="2583"/>
      <c r="C53" s="2584"/>
      <c r="D53" s="1149" t="s">
        <v>558</v>
      </c>
      <c r="E53" s="1048" t="s">
        <v>559</v>
      </c>
      <c r="F53" s="1048" t="s">
        <v>560</v>
      </c>
      <c r="G53" s="1048" t="s">
        <v>561</v>
      </c>
      <c r="H53" s="1048" t="s">
        <v>642</v>
      </c>
      <c r="I53" s="1048" t="s">
        <v>643</v>
      </c>
      <c r="J53" s="1150" t="s">
        <v>564</v>
      </c>
      <c r="K53" s="1150" t="s">
        <v>565</v>
      </c>
      <c r="L53" s="1150" t="s">
        <v>566</v>
      </c>
      <c r="M53" s="1150" t="s">
        <v>865</v>
      </c>
      <c r="N53" s="1150" t="s">
        <v>610</v>
      </c>
      <c r="O53" s="1052" t="s">
        <v>756</v>
      </c>
      <c r="R53" s="2413" t="s">
        <v>1512</v>
      </c>
      <c r="S53" s="2412"/>
      <c r="T53" s="2412"/>
      <c r="U53" s="2412"/>
      <c r="V53" s="2412"/>
      <c r="W53" s="2412"/>
    </row>
    <row r="54" spans="1:23" x14ac:dyDescent="0.25">
      <c r="A54" s="1055">
        <f t="shared" ref="A54:A69" si="13">+A53+1</f>
        <v>1</v>
      </c>
      <c r="B54" s="1151" t="s">
        <v>644</v>
      </c>
      <c r="C54" s="1152"/>
      <c r="D54" s="1062">
        <f t="shared" ref="D54:O54" si="14">+D55+D63</f>
        <v>302537</v>
      </c>
      <c r="E54" s="1057">
        <f t="shared" si="14"/>
        <v>302486</v>
      </c>
      <c r="F54" s="1057">
        <f t="shared" si="14"/>
        <v>1942</v>
      </c>
      <c r="G54" s="1057">
        <f t="shared" si="14"/>
        <v>1942</v>
      </c>
      <c r="H54" s="1057">
        <f t="shared" si="14"/>
        <v>304479</v>
      </c>
      <c r="I54" s="1057">
        <f t="shared" si="14"/>
        <v>304428</v>
      </c>
      <c r="J54" s="1057">
        <f t="shared" si="14"/>
        <v>0</v>
      </c>
      <c r="K54" s="1057">
        <f t="shared" si="14"/>
        <v>10559</v>
      </c>
      <c r="L54" s="1057">
        <f t="shared" si="14"/>
        <v>2</v>
      </c>
      <c r="M54" s="1057">
        <f t="shared" si="14"/>
        <v>51</v>
      </c>
      <c r="N54" s="1057">
        <f t="shared" si="14"/>
        <v>0</v>
      </c>
      <c r="O54" s="1061">
        <f t="shared" si="14"/>
        <v>304428</v>
      </c>
      <c r="Q54" s="1222"/>
      <c r="R54" s="2414">
        <v>318543</v>
      </c>
      <c r="S54" s="2414" t="s">
        <v>1415</v>
      </c>
      <c r="T54" s="2414"/>
      <c r="U54" s="2414"/>
      <c r="V54" s="2412"/>
      <c r="W54" s="2412"/>
    </row>
    <row r="55" spans="1:23" x14ac:dyDescent="0.25">
      <c r="A55" s="1055">
        <f t="shared" si="13"/>
        <v>2</v>
      </c>
      <c r="B55" s="2591" t="s">
        <v>878</v>
      </c>
      <c r="C55" s="2592"/>
      <c r="D55" s="1069">
        <f t="shared" ref="D55:O55" si="15">SUM(D56:D62)</f>
        <v>292354</v>
      </c>
      <c r="E55" s="1063">
        <f t="shared" si="15"/>
        <v>292354</v>
      </c>
      <c r="F55" s="1063">
        <f t="shared" si="15"/>
        <v>1780</v>
      </c>
      <c r="G55" s="1063">
        <f t="shared" si="15"/>
        <v>1780</v>
      </c>
      <c r="H55" s="1063">
        <f t="shared" si="15"/>
        <v>294134</v>
      </c>
      <c r="I55" s="1063">
        <f t="shared" si="15"/>
        <v>294134</v>
      </c>
      <c r="J55" s="1063">
        <f t="shared" si="15"/>
        <v>0</v>
      </c>
      <c r="K55" s="1063">
        <f t="shared" si="15"/>
        <v>10559</v>
      </c>
      <c r="L55" s="1063">
        <f t="shared" si="15"/>
        <v>2</v>
      </c>
      <c r="M55" s="1063">
        <f t="shared" si="15"/>
        <v>0</v>
      </c>
      <c r="N55" s="1063">
        <f t="shared" si="15"/>
        <v>0</v>
      </c>
      <c r="O55" s="1068">
        <f t="shared" si="15"/>
        <v>294134</v>
      </c>
      <c r="Q55" s="1222"/>
      <c r="R55" s="2414">
        <v>48351</v>
      </c>
      <c r="S55" s="2414" t="s">
        <v>1416</v>
      </c>
      <c r="T55" s="2414"/>
      <c r="U55" s="2414"/>
      <c r="V55" s="2412"/>
      <c r="W55" s="2412"/>
    </row>
    <row r="56" spans="1:23" x14ac:dyDescent="0.25">
      <c r="A56" s="1070">
        <f t="shared" si="13"/>
        <v>3</v>
      </c>
      <c r="B56" s="1153" t="s">
        <v>1336</v>
      </c>
      <c r="C56" s="571" t="s">
        <v>1337</v>
      </c>
      <c r="D56" s="1076">
        <f>263696</f>
        <v>263696</v>
      </c>
      <c r="E56" s="929">
        <v>263696</v>
      </c>
      <c r="F56" s="929"/>
      <c r="G56" s="929"/>
      <c r="H56" s="929">
        <f t="shared" ref="H56:I69" si="16">+D56+F56</f>
        <v>263696</v>
      </c>
      <c r="I56" s="929">
        <f t="shared" si="16"/>
        <v>263696</v>
      </c>
      <c r="J56" s="929"/>
      <c r="K56" s="929">
        <f>9116</f>
        <v>9116</v>
      </c>
      <c r="L56" s="929"/>
      <c r="M56" s="929">
        <f t="shared" ref="M56:M69" si="17">+H56-I56</f>
        <v>0</v>
      </c>
      <c r="N56" s="929"/>
      <c r="O56" s="930">
        <f t="shared" ref="O56:O62" si="18">+I56+N56</f>
        <v>263696</v>
      </c>
      <c r="Q56" s="1222"/>
      <c r="R56" s="2414">
        <v>38951</v>
      </c>
      <c r="S56" s="2414" t="s">
        <v>1417</v>
      </c>
      <c r="T56" s="2414"/>
      <c r="U56" s="2414"/>
      <c r="V56" s="2412"/>
      <c r="W56" s="2412"/>
    </row>
    <row r="57" spans="1:23" x14ac:dyDescent="0.25">
      <c r="A57" s="1070">
        <f>A56+1</f>
        <v>4</v>
      </c>
      <c r="B57" s="570" t="s">
        <v>757</v>
      </c>
      <c r="C57" s="571" t="s">
        <v>758</v>
      </c>
      <c r="D57" s="1076">
        <v>4995</v>
      </c>
      <c r="E57" s="929">
        <v>4995</v>
      </c>
      <c r="F57" s="929"/>
      <c r="G57" s="929"/>
      <c r="H57" s="929">
        <f t="shared" si="16"/>
        <v>4995</v>
      </c>
      <c r="I57" s="929">
        <f t="shared" si="16"/>
        <v>4995</v>
      </c>
      <c r="J57" s="929"/>
      <c r="K57" s="929"/>
      <c r="L57" s="929"/>
      <c r="M57" s="929">
        <f t="shared" si="17"/>
        <v>0</v>
      </c>
      <c r="N57" s="929"/>
      <c r="O57" s="930">
        <f t="shared" si="18"/>
        <v>4995</v>
      </c>
      <c r="Q57" s="1222"/>
      <c r="R57" s="2415">
        <v>1332</v>
      </c>
      <c r="S57" s="2416" t="s">
        <v>1913</v>
      </c>
      <c r="T57" s="2417"/>
      <c r="U57" s="2414"/>
      <c r="V57" s="2412"/>
      <c r="W57" s="2412"/>
    </row>
    <row r="58" spans="1:23" x14ac:dyDescent="0.25">
      <c r="A58" s="1070">
        <f t="shared" si="13"/>
        <v>5</v>
      </c>
      <c r="B58" s="570" t="s">
        <v>759</v>
      </c>
      <c r="C58" s="571" t="s">
        <v>760</v>
      </c>
      <c r="D58" s="1076">
        <f>3674+633</f>
        <v>4307</v>
      </c>
      <c r="E58" s="929">
        <f>3674+633</f>
        <v>4307</v>
      </c>
      <c r="F58" s="929"/>
      <c r="G58" s="929"/>
      <c r="H58" s="929">
        <f t="shared" si="16"/>
        <v>4307</v>
      </c>
      <c r="I58" s="929">
        <f t="shared" si="16"/>
        <v>4307</v>
      </c>
      <c r="J58" s="929"/>
      <c r="K58" s="929">
        <v>1105</v>
      </c>
      <c r="L58" s="929"/>
      <c r="M58" s="929">
        <f t="shared" si="17"/>
        <v>0</v>
      </c>
      <c r="N58" s="929"/>
      <c r="O58" s="930">
        <f t="shared" si="18"/>
        <v>4307</v>
      </c>
      <c r="Q58" s="1222"/>
      <c r="R58" s="2414">
        <f>SUM(R54:R57)</f>
        <v>407177</v>
      </c>
      <c r="S58" s="2414"/>
      <c r="T58" s="2414"/>
      <c r="U58" s="2414"/>
      <c r="V58" s="2412"/>
      <c r="W58" s="2412"/>
    </row>
    <row r="59" spans="1:23" x14ac:dyDescent="0.25">
      <c r="A59" s="1070">
        <f t="shared" si="13"/>
        <v>6</v>
      </c>
      <c r="B59" s="570" t="s">
        <v>761</v>
      </c>
      <c r="C59" s="571" t="s">
        <v>762</v>
      </c>
      <c r="D59" s="1076">
        <v>3625</v>
      </c>
      <c r="E59" s="929">
        <v>3625</v>
      </c>
      <c r="F59" s="929"/>
      <c r="G59" s="929"/>
      <c r="H59" s="929">
        <f t="shared" si="16"/>
        <v>3625</v>
      </c>
      <c r="I59" s="929">
        <f t="shared" si="16"/>
        <v>3625</v>
      </c>
      <c r="J59" s="929"/>
      <c r="K59" s="929">
        <f>70+151+1</f>
        <v>222</v>
      </c>
      <c r="L59" s="929"/>
      <c r="M59" s="929">
        <f t="shared" si="17"/>
        <v>0</v>
      </c>
      <c r="N59" s="929"/>
      <c r="O59" s="930">
        <f t="shared" si="18"/>
        <v>3625</v>
      </c>
      <c r="Q59" s="1222"/>
      <c r="R59" s="2414">
        <v>-407177</v>
      </c>
      <c r="S59" s="2414"/>
      <c r="T59" s="2414"/>
      <c r="U59" s="2414"/>
      <c r="V59" s="2412"/>
      <c r="W59" s="2412"/>
    </row>
    <row r="60" spans="1:23" x14ac:dyDescent="0.25">
      <c r="A60" s="1070">
        <f>A59+1</f>
        <v>7</v>
      </c>
      <c r="B60" s="481" t="s">
        <v>771</v>
      </c>
      <c r="C60" s="482" t="s">
        <v>772</v>
      </c>
      <c r="D60" s="1076">
        <v>13047</v>
      </c>
      <c r="E60" s="929">
        <v>13047</v>
      </c>
      <c r="F60" s="929">
        <v>1780</v>
      </c>
      <c r="G60" s="929">
        <v>1780</v>
      </c>
      <c r="H60" s="929">
        <f t="shared" si="16"/>
        <v>14827</v>
      </c>
      <c r="I60" s="929">
        <f t="shared" si="16"/>
        <v>14827</v>
      </c>
      <c r="J60" s="929"/>
      <c r="K60" s="929">
        <v>92</v>
      </c>
      <c r="L60" s="929"/>
      <c r="M60" s="929">
        <f t="shared" si="17"/>
        <v>0</v>
      </c>
      <c r="N60" s="929"/>
      <c r="O60" s="930">
        <f t="shared" si="18"/>
        <v>14827</v>
      </c>
      <c r="Q60" s="1222"/>
      <c r="R60" s="2417">
        <f>SUM(R58:R59)</f>
        <v>0</v>
      </c>
      <c r="S60" s="2414"/>
      <c r="T60" s="2414"/>
      <c r="U60" s="2414"/>
      <c r="V60" s="2412"/>
      <c r="W60" s="2412"/>
    </row>
    <row r="61" spans="1:23" x14ac:dyDescent="0.25">
      <c r="A61" s="1070">
        <f t="shared" si="13"/>
        <v>8</v>
      </c>
      <c r="B61" s="570" t="s">
        <v>765</v>
      </c>
      <c r="C61" s="1154" t="s">
        <v>766</v>
      </c>
      <c r="D61" s="1076">
        <v>49</v>
      </c>
      <c r="E61" s="929">
        <v>49</v>
      </c>
      <c r="F61" s="929"/>
      <c r="G61" s="929"/>
      <c r="H61" s="929">
        <f t="shared" si="16"/>
        <v>49</v>
      </c>
      <c r="I61" s="929">
        <f t="shared" si="16"/>
        <v>49</v>
      </c>
      <c r="J61" s="929"/>
      <c r="K61" s="929">
        <v>24</v>
      </c>
      <c r="L61" s="929">
        <v>2</v>
      </c>
      <c r="M61" s="929">
        <f t="shared" si="17"/>
        <v>0</v>
      </c>
      <c r="N61" s="929"/>
      <c r="O61" s="930">
        <f t="shared" si="18"/>
        <v>49</v>
      </c>
      <c r="Q61" s="1222"/>
      <c r="R61" s="2414"/>
      <c r="S61" s="2414"/>
      <c r="T61" s="2414"/>
      <c r="U61" s="2414"/>
      <c r="V61" s="2412"/>
      <c r="W61" s="2412"/>
    </row>
    <row r="62" spans="1:23" x14ac:dyDescent="0.25">
      <c r="A62" s="1070">
        <f t="shared" si="13"/>
        <v>9</v>
      </c>
      <c r="B62" s="1155" t="s">
        <v>767</v>
      </c>
      <c r="C62" s="1156" t="s">
        <v>768</v>
      </c>
      <c r="D62" s="1076">
        <v>2635</v>
      </c>
      <c r="E62" s="929">
        <v>2635</v>
      </c>
      <c r="F62" s="929"/>
      <c r="G62" s="929"/>
      <c r="H62" s="929">
        <f t="shared" si="16"/>
        <v>2635</v>
      </c>
      <c r="I62" s="929">
        <f t="shared" si="16"/>
        <v>2635</v>
      </c>
      <c r="J62" s="929"/>
      <c r="K62" s="929"/>
      <c r="L62" s="929"/>
      <c r="M62" s="929">
        <f t="shared" si="17"/>
        <v>0</v>
      </c>
      <c r="N62" s="929"/>
      <c r="O62" s="1118">
        <f t="shared" si="18"/>
        <v>2635</v>
      </c>
      <c r="Q62" s="1222"/>
      <c r="R62" s="2418" t="s">
        <v>1419</v>
      </c>
      <c r="S62" s="2414"/>
      <c r="T62" s="2414"/>
      <c r="U62" s="2414"/>
      <c r="V62" s="2412"/>
      <c r="W62" s="2412"/>
    </row>
    <row r="63" spans="1:23" x14ac:dyDescent="0.25">
      <c r="A63" s="1055">
        <f>+A62+1</f>
        <v>10</v>
      </c>
      <c r="B63" s="2593" t="s">
        <v>879</v>
      </c>
      <c r="C63" s="2594"/>
      <c r="D63" s="1069">
        <f t="shared" ref="D63:O63" si="19">SUM(D64:D69)</f>
        <v>10183</v>
      </c>
      <c r="E63" s="1063">
        <f t="shared" si="19"/>
        <v>10132</v>
      </c>
      <c r="F63" s="1063">
        <f t="shared" si="19"/>
        <v>162</v>
      </c>
      <c r="G63" s="1063">
        <f t="shared" si="19"/>
        <v>162</v>
      </c>
      <c r="H63" s="1063">
        <f t="shared" si="19"/>
        <v>10345</v>
      </c>
      <c r="I63" s="1063">
        <f t="shared" si="19"/>
        <v>10294</v>
      </c>
      <c r="J63" s="1063">
        <f t="shared" si="19"/>
        <v>0</v>
      </c>
      <c r="K63" s="1063">
        <f t="shared" si="19"/>
        <v>0</v>
      </c>
      <c r="L63" s="1063">
        <f t="shared" si="19"/>
        <v>0</v>
      </c>
      <c r="M63" s="1063">
        <f t="shared" si="19"/>
        <v>51</v>
      </c>
      <c r="N63" s="1063">
        <f t="shared" si="19"/>
        <v>0</v>
      </c>
      <c r="O63" s="1068">
        <f t="shared" si="19"/>
        <v>10294</v>
      </c>
      <c r="Q63" s="1222"/>
      <c r="R63" s="2413" t="s">
        <v>1513</v>
      </c>
      <c r="S63" s="2414"/>
      <c r="T63" s="2414"/>
      <c r="U63" s="2414"/>
      <c r="V63" s="2412"/>
      <c r="W63" s="2412"/>
    </row>
    <row r="64" spans="1:23" x14ac:dyDescent="0.25">
      <c r="A64" s="1070">
        <f>A63+1</f>
        <v>11</v>
      </c>
      <c r="B64" s="570" t="s">
        <v>759</v>
      </c>
      <c r="C64" s="571" t="s">
        <v>760</v>
      </c>
      <c r="D64" s="1076">
        <v>794</v>
      </c>
      <c r="E64" s="929">
        <v>794</v>
      </c>
      <c r="F64" s="929"/>
      <c r="G64" s="929"/>
      <c r="H64" s="929">
        <f t="shared" si="16"/>
        <v>794</v>
      </c>
      <c r="I64" s="929">
        <f t="shared" si="16"/>
        <v>794</v>
      </c>
      <c r="J64" s="929"/>
      <c r="K64" s="929"/>
      <c r="L64" s="929"/>
      <c r="M64" s="929">
        <f t="shared" si="17"/>
        <v>0</v>
      </c>
      <c r="N64" s="929"/>
      <c r="O64" s="930">
        <f t="shared" ref="O64:O69" si="20">+I64+N64</f>
        <v>794</v>
      </c>
      <c r="Q64" s="1222"/>
      <c r="R64" s="2414">
        <f>10558+1</f>
        <v>10559</v>
      </c>
      <c r="S64" s="2419" t="s">
        <v>1515</v>
      </c>
      <c r="T64" s="2414"/>
      <c r="U64" s="2414"/>
      <c r="V64" s="2412"/>
      <c r="W64" s="2412"/>
    </row>
    <row r="65" spans="1:23" x14ac:dyDescent="0.25">
      <c r="A65" s="1070">
        <f>A64+1</f>
        <v>12</v>
      </c>
      <c r="B65" s="570" t="s">
        <v>761</v>
      </c>
      <c r="C65" s="571" t="s">
        <v>762</v>
      </c>
      <c r="D65" s="1076"/>
      <c r="E65" s="929"/>
      <c r="F65" s="929"/>
      <c r="G65" s="929"/>
      <c r="H65" s="929">
        <f t="shared" si="16"/>
        <v>0</v>
      </c>
      <c r="I65" s="929">
        <f t="shared" si="16"/>
        <v>0</v>
      </c>
      <c r="J65" s="929"/>
      <c r="K65" s="1077"/>
      <c r="L65" s="1077"/>
      <c r="M65" s="929">
        <f t="shared" si="17"/>
        <v>0</v>
      </c>
      <c r="N65" s="929"/>
      <c r="O65" s="930">
        <f t="shared" si="20"/>
        <v>0</v>
      </c>
      <c r="Q65" s="1222"/>
      <c r="R65" s="2414">
        <v>2</v>
      </c>
      <c r="S65" s="2419" t="s">
        <v>1516</v>
      </c>
      <c r="T65" s="2414"/>
      <c r="U65" s="2414"/>
      <c r="V65" s="2412"/>
      <c r="W65" s="2412"/>
    </row>
    <row r="66" spans="1:23" x14ac:dyDescent="0.25">
      <c r="A66" s="1070">
        <f t="shared" si="13"/>
        <v>13</v>
      </c>
      <c r="B66" s="570" t="s">
        <v>769</v>
      </c>
      <c r="C66" s="571" t="s">
        <v>770</v>
      </c>
      <c r="D66" s="1076"/>
      <c r="E66" s="929"/>
      <c r="F66" s="929"/>
      <c r="G66" s="929"/>
      <c r="H66" s="929">
        <f t="shared" si="16"/>
        <v>0</v>
      </c>
      <c r="I66" s="929">
        <f t="shared" si="16"/>
        <v>0</v>
      </c>
      <c r="J66" s="929"/>
      <c r="K66" s="929"/>
      <c r="L66" s="929"/>
      <c r="M66" s="929">
        <f t="shared" si="17"/>
        <v>0</v>
      </c>
      <c r="N66" s="929"/>
      <c r="O66" s="930">
        <f t="shared" si="20"/>
        <v>0</v>
      </c>
      <c r="Q66" s="1222"/>
      <c r="R66" s="2414">
        <v>1160</v>
      </c>
      <c r="S66" s="2414" t="s">
        <v>1514</v>
      </c>
      <c r="T66" s="2414">
        <v>2</v>
      </c>
      <c r="U66" s="2414"/>
      <c r="V66" s="2412"/>
      <c r="W66" s="2412"/>
    </row>
    <row r="67" spans="1:23" x14ac:dyDescent="0.25">
      <c r="A67" s="1070">
        <f t="shared" si="13"/>
        <v>14</v>
      </c>
      <c r="B67" s="570" t="s">
        <v>771</v>
      </c>
      <c r="C67" s="571" t="s">
        <v>772</v>
      </c>
      <c r="D67" s="1076">
        <v>9389</v>
      </c>
      <c r="E67" s="929">
        <f>9389-51</f>
        <v>9338</v>
      </c>
      <c r="F67" s="929">
        <v>162</v>
      </c>
      <c r="G67" s="929">
        <v>162</v>
      </c>
      <c r="H67" s="929">
        <f t="shared" si="16"/>
        <v>9551</v>
      </c>
      <c r="I67" s="929">
        <f t="shared" si="16"/>
        <v>9500</v>
      </c>
      <c r="J67" s="929"/>
      <c r="K67" s="929"/>
      <c r="L67" s="929"/>
      <c r="M67" s="929">
        <f t="shared" si="17"/>
        <v>51</v>
      </c>
      <c r="N67" s="929"/>
      <c r="O67" s="930">
        <f t="shared" si="20"/>
        <v>9500</v>
      </c>
      <c r="Q67" s="1222"/>
      <c r="R67" s="2420">
        <f>SUM(R64:R66)</f>
        <v>11721</v>
      </c>
      <c r="S67" s="2414"/>
      <c r="T67" s="2414">
        <v>1160</v>
      </c>
      <c r="U67" s="2414"/>
      <c r="V67" s="2412"/>
      <c r="W67" s="2412"/>
    </row>
    <row r="68" spans="1:23" x14ac:dyDescent="0.25">
      <c r="A68" s="1070">
        <f t="shared" si="13"/>
        <v>15</v>
      </c>
      <c r="B68" s="570" t="s">
        <v>773</v>
      </c>
      <c r="C68" s="571" t="s">
        <v>774</v>
      </c>
      <c r="D68" s="1076"/>
      <c r="E68" s="929"/>
      <c r="F68" s="929"/>
      <c r="G68" s="929"/>
      <c r="H68" s="929">
        <f t="shared" si="16"/>
        <v>0</v>
      </c>
      <c r="I68" s="929">
        <f t="shared" si="16"/>
        <v>0</v>
      </c>
      <c r="J68" s="929"/>
      <c r="K68" s="929"/>
      <c r="L68" s="929"/>
      <c r="M68" s="929">
        <f t="shared" si="17"/>
        <v>0</v>
      </c>
      <c r="N68" s="929"/>
      <c r="O68" s="930">
        <f t="shared" si="20"/>
        <v>0</v>
      </c>
      <c r="Q68" s="1222"/>
      <c r="R68" s="2414">
        <v>-11877</v>
      </c>
      <c r="S68" s="2414"/>
      <c r="T68" s="2414">
        <f>SUM(T66:T67)</f>
        <v>1162</v>
      </c>
      <c r="U68" s="2414"/>
      <c r="V68" s="2412"/>
      <c r="W68" s="2412"/>
    </row>
    <row r="69" spans="1:23" ht="15.75" thickBot="1" x14ac:dyDescent="0.3">
      <c r="A69" s="1070">
        <f t="shared" si="13"/>
        <v>16</v>
      </c>
      <c r="B69" s="1155" t="s">
        <v>763</v>
      </c>
      <c r="C69" s="1156" t="s">
        <v>764</v>
      </c>
      <c r="D69" s="1076"/>
      <c r="E69" s="929"/>
      <c r="F69" s="929"/>
      <c r="G69" s="929"/>
      <c r="H69" s="929">
        <f t="shared" si="16"/>
        <v>0</v>
      </c>
      <c r="I69" s="929">
        <f t="shared" si="16"/>
        <v>0</v>
      </c>
      <c r="J69" s="929"/>
      <c r="K69" s="929"/>
      <c r="L69" s="929"/>
      <c r="M69" s="929">
        <f t="shared" si="17"/>
        <v>0</v>
      </c>
      <c r="N69" s="929"/>
      <c r="O69" s="930">
        <f t="shared" si="20"/>
        <v>0</v>
      </c>
      <c r="Q69" s="1222"/>
      <c r="R69" s="2420">
        <f>SUM(R67:R68)</f>
        <v>-156</v>
      </c>
      <c r="S69" s="2414"/>
      <c r="T69" s="2414">
        <v>-1162</v>
      </c>
      <c r="U69" s="2414"/>
      <c r="V69" s="2412"/>
      <c r="W69" s="2412"/>
    </row>
    <row r="70" spans="1:23" x14ac:dyDescent="0.25">
      <c r="A70" s="1157">
        <f>+A69+1</f>
        <v>17</v>
      </c>
      <c r="B70" s="2595" t="s">
        <v>788</v>
      </c>
      <c r="C70" s="2596"/>
      <c r="D70" s="1158">
        <f>D71+D82+D84</f>
        <v>5622</v>
      </c>
      <c r="E70" s="1159">
        <f t="shared" ref="E70:O70" si="21">E71+E82+E84</f>
        <v>5622</v>
      </c>
      <c r="F70" s="1159">
        <f t="shared" si="21"/>
        <v>0</v>
      </c>
      <c r="G70" s="1159">
        <f t="shared" si="21"/>
        <v>0</v>
      </c>
      <c r="H70" s="1159">
        <f t="shared" si="21"/>
        <v>5622</v>
      </c>
      <c r="I70" s="1159">
        <f t="shared" si="21"/>
        <v>5622</v>
      </c>
      <c r="J70" s="1159">
        <f t="shared" si="21"/>
        <v>0</v>
      </c>
      <c r="K70" s="1159">
        <f t="shared" si="21"/>
        <v>0</v>
      </c>
      <c r="L70" s="1159">
        <f t="shared" si="21"/>
        <v>0</v>
      </c>
      <c r="M70" s="1159">
        <f t="shared" si="21"/>
        <v>0</v>
      </c>
      <c r="N70" s="1159">
        <f t="shared" si="21"/>
        <v>0</v>
      </c>
      <c r="O70" s="1160">
        <f t="shared" si="21"/>
        <v>5622</v>
      </c>
      <c r="Q70" s="1222"/>
      <c r="R70" s="2414">
        <v>51</v>
      </c>
      <c r="S70" s="2414"/>
      <c r="T70" s="2414">
        <f>SUM(T68:T69)</f>
        <v>0</v>
      </c>
      <c r="U70" s="2414"/>
      <c r="V70" s="2412"/>
      <c r="W70" s="2412"/>
    </row>
    <row r="71" spans="1:23" x14ac:dyDescent="0.25">
      <c r="A71" s="1055">
        <f>+A70+1</f>
        <v>18</v>
      </c>
      <c r="B71" s="2597" t="s">
        <v>1338</v>
      </c>
      <c r="C71" s="2598"/>
      <c r="D71" s="1161">
        <f>SUM(D72:D81)</f>
        <v>4938</v>
      </c>
      <c r="E71" s="1162">
        <f t="shared" ref="E71:O71" si="22">SUM(E72:E81)</f>
        <v>4938</v>
      </c>
      <c r="F71" s="1162">
        <f t="shared" si="22"/>
        <v>0</v>
      </c>
      <c r="G71" s="1162">
        <f t="shared" si="22"/>
        <v>0</v>
      </c>
      <c r="H71" s="1162">
        <f t="shared" si="22"/>
        <v>4938</v>
      </c>
      <c r="I71" s="1162">
        <f t="shared" si="22"/>
        <v>4938</v>
      </c>
      <c r="J71" s="1162">
        <f t="shared" si="22"/>
        <v>0</v>
      </c>
      <c r="K71" s="1162">
        <f t="shared" si="22"/>
        <v>0</v>
      </c>
      <c r="L71" s="1162">
        <f t="shared" si="22"/>
        <v>0</v>
      </c>
      <c r="M71" s="1162">
        <f t="shared" si="22"/>
        <v>0</v>
      </c>
      <c r="N71" s="1162">
        <f t="shared" si="22"/>
        <v>0</v>
      </c>
      <c r="O71" s="1163">
        <f t="shared" si="22"/>
        <v>4938</v>
      </c>
      <c r="Q71" s="1222"/>
      <c r="R71" s="2414">
        <v>105</v>
      </c>
      <c r="S71" s="2414"/>
      <c r="T71" s="2414"/>
      <c r="U71" s="2414"/>
      <c r="V71" s="2412"/>
      <c r="W71" s="2412"/>
    </row>
    <row r="72" spans="1:23" x14ac:dyDescent="0.25">
      <c r="A72" s="1164" t="s">
        <v>1339</v>
      </c>
      <c r="B72" s="1165"/>
      <c r="C72" s="1166" t="s">
        <v>1340</v>
      </c>
      <c r="D72" s="1167">
        <v>4000</v>
      </c>
      <c r="E72" s="1168">
        <v>4000</v>
      </c>
      <c r="F72" s="1169"/>
      <c r="G72" s="1169"/>
      <c r="H72" s="1170">
        <f t="shared" ref="H72:I105" si="23">D72+F72</f>
        <v>4000</v>
      </c>
      <c r="I72" s="1170">
        <f t="shared" si="23"/>
        <v>4000</v>
      </c>
      <c r="J72" s="1169"/>
      <c r="K72" s="1169"/>
      <c r="L72" s="1169"/>
      <c r="M72" s="929">
        <f t="shared" ref="M72:M81" si="24">+H72-I72</f>
        <v>0</v>
      </c>
      <c r="N72" s="1169">
        <v>0</v>
      </c>
      <c r="O72" s="1171">
        <f t="shared" ref="O72:O101" si="25">I72+N72</f>
        <v>4000</v>
      </c>
      <c r="Q72" s="1222"/>
      <c r="R72" s="2420">
        <f>SUM(R69:R71)</f>
        <v>0</v>
      </c>
      <c r="S72" s="2414"/>
      <c r="T72" s="2414"/>
      <c r="U72" s="2414"/>
      <c r="V72" s="2412"/>
      <c r="W72" s="2412"/>
    </row>
    <row r="73" spans="1:23" x14ac:dyDescent="0.25">
      <c r="A73" s="1164" t="s">
        <v>1341</v>
      </c>
      <c r="B73" s="1172"/>
      <c r="C73" s="1173" t="s">
        <v>1401</v>
      </c>
      <c r="D73" s="1167">
        <v>53</v>
      </c>
      <c r="E73" s="1168">
        <v>53</v>
      </c>
      <c r="F73" s="1169"/>
      <c r="G73" s="1169"/>
      <c r="H73" s="1170">
        <f t="shared" si="23"/>
        <v>53</v>
      </c>
      <c r="I73" s="1170">
        <f t="shared" si="23"/>
        <v>53</v>
      </c>
      <c r="J73" s="1169"/>
      <c r="K73" s="1169"/>
      <c r="L73" s="1169"/>
      <c r="M73" s="929">
        <f t="shared" si="24"/>
        <v>0</v>
      </c>
      <c r="N73" s="1169">
        <v>0</v>
      </c>
      <c r="O73" s="1171">
        <f t="shared" si="25"/>
        <v>53</v>
      </c>
      <c r="Q73" s="1222"/>
      <c r="R73" s="1222"/>
      <c r="S73" s="1222"/>
      <c r="T73" s="1222"/>
      <c r="U73" s="1222"/>
    </row>
    <row r="74" spans="1:23" x14ac:dyDescent="0.25">
      <c r="A74" s="1164" t="s">
        <v>1342</v>
      </c>
      <c r="B74" s="1174"/>
      <c r="C74" s="1213" t="s">
        <v>1404</v>
      </c>
      <c r="D74" s="1167">
        <v>280</v>
      </c>
      <c r="E74" s="1168">
        <v>280</v>
      </c>
      <c r="F74" s="1169"/>
      <c r="G74" s="1169"/>
      <c r="H74" s="1170">
        <f t="shared" si="23"/>
        <v>280</v>
      </c>
      <c r="I74" s="1170">
        <f t="shared" si="23"/>
        <v>280</v>
      </c>
      <c r="J74" s="1169"/>
      <c r="K74" s="1169"/>
      <c r="L74" s="1169"/>
      <c r="M74" s="929">
        <f t="shared" si="24"/>
        <v>0</v>
      </c>
      <c r="N74" s="1169">
        <v>0</v>
      </c>
      <c r="O74" s="1171">
        <f t="shared" si="25"/>
        <v>280</v>
      </c>
      <c r="Q74" s="1222"/>
      <c r="R74" s="1222"/>
      <c r="S74" s="1222"/>
      <c r="T74" s="1222"/>
      <c r="U74" s="1222"/>
    </row>
    <row r="75" spans="1:23" x14ac:dyDescent="0.25">
      <c r="A75" s="1164" t="s">
        <v>1343</v>
      </c>
      <c r="B75" s="1174"/>
      <c r="C75" s="1173" t="s">
        <v>1395</v>
      </c>
      <c r="D75" s="1167">
        <v>30</v>
      </c>
      <c r="E75" s="1168">
        <v>30</v>
      </c>
      <c r="F75" s="1169"/>
      <c r="G75" s="1169"/>
      <c r="H75" s="1170">
        <f t="shared" si="23"/>
        <v>30</v>
      </c>
      <c r="I75" s="1170">
        <f t="shared" si="23"/>
        <v>30</v>
      </c>
      <c r="J75" s="1169"/>
      <c r="K75" s="1169"/>
      <c r="L75" s="1169"/>
      <c r="M75" s="929">
        <f t="shared" si="24"/>
        <v>0</v>
      </c>
      <c r="N75" s="1169">
        <v>0</v>
      </c>
      <c r="O75" s="1171">
        <f t="shared" si="25"/>
        <v>30</v>
      </c>
      <c r="Q75" s="1222"/>
      <c r="R75" s="1222"/>
      <c r="S75" s="1222"/>
      <c r="T75" s="1222"/>
      <c r="U75" s="1222"/>
    </row>
    <row r="76" spans="1:23" x14ac:dyDescent="0.25">
      <c r="A76" s="1164" t="s">
        <v>1344</v>
      </c>
      <c r="B76" s="1176"/>
      <c r="C76" s="1175" t="s">
        <v>1345</v>
      </c>
      <c r="D76" s="1167">
        <v>90</v>
      </c>
      <c r="E76" s="1168">
        <v>90</v>
      </c>
      <c r="F76" s="1169"/>
      <c r="G76" s="1169"/>
      <c r="H76" s="1170">
        <f t="shared" si="23"/>
        <v>90</v>
      </c>
      <c r="I76" s="1170">
        <f t="shared" si="23"/>
        <v>90</v>
      </c>
      <c r="J76" s="1169"/>
      <c r="K76" s="1169"/>
      <c r="L76" s="1169"/>
      <c r="M76" s="929">
        <f t="shared" si="24"/>
        <v>0</v>
      </c>
      <c r="N76" s="1169">
        <v>0</v>
      </c>
      <c r="O76" s="1171">
        <f t="shared" si="25"/>
        <v>90</v>
      </c>
      <c r="Q76" s="1222"/>
      <c r="R76" s="1222"/>
      <c r="S76" s="1222"/>
      <c r="T76" s="1222"/>
      <c r="U76" s="1222"/>
    </row>
    <row r="77" spans="1:23" x14ac:dyDescent="0.25">
      <c r="A77" s="1164" t="s">
        <v>1346</v>
      </c>
      <c r="B77" s="1174"/>
      <c r="C77" s="1213" t="s">
        <v>1398</v>
      </c>
      <c r="D77" s="1167">
        <v>45</v>
      </c>
      <c r="E77" s="1168">
        <v>45</v>
      </c>
      <c r="F77" s="1169"/>
      <c r="G77" s="1169"/>
      <c r="H77" s="1170">
        <f t="shared" si="23"/>
        <v>45</v>
      </c>
      <c r="I77" s="1170">
        <f t="shared" si="23"/>
        <v>45</v>
      </c>
      <c r="J77" s="1169"/>
      <c r="K77" s="1169"/>
      <c r="L77" s="1169"/>
      <c r="M77" s="929">
        <f t="shared" si="24"/>
        <v>0</v>
      </c>
      <c r="N77" s="1169">
        <v>0</v>
      </c>
      <c r="O77" s="1171">
        <f t="shared" si="25"/>
        <v>45</v>
      </c>
      <c r="Q77" s="1222"/>
      <c r="R77" s="1222"/>
      <c r="S77" s="1222"/>
      <c r="T77" s="1222"/>
      <c r="U77" s="1222"/>
    </row>
    <row r="78" spans="1:23" x14ac:dyDescent="0.25">
      <c r="A78" s="1164" t="s">
        <v>1347</v>
      </c>
      <c r="B78" s="1174"/>
      <c r="C78" s="1175" t="s">
        <v>1399</v>
      </c>
      <c r="D78" s="1167">
        <v>140</v>
      </c>
      <c r="E78" s="1168">
        <v>140</v>
      </c>
      <c r="F78" s="1169"/>
      <c r="G78" s="1169"/>
      <c r="H78" s="1170">
        <f t="shared" si="23"/>
        <v>140</v>
      </c>
      <c r="I78" s="1170">
        <f t="shared" si="23"/>
        <v>140</v>
      </c>
      <c r="J78" s="1169"/>
      <c r="K78" s="1169"/>
      <c r="L78" s="1169"/>
      <c r="M78" s="929">
        <f t="shared" si="24"/>
        <v>0</v>
      </c>
      <c r="N78" s="1169">
        <v>0</v>
      </c>
      <c r="O78" s="1171">
        <f t="shared" si="25"/>
        <v>140</v>
      </c>
      <c r="Q78" s="1222"/>
      <c r="R78" s="1222"/>
      <c r="S78" s="1222"/>
      <c r="T78" s="1222"/>
      <c r="U78" s="1222"/>
    </row>
    <row r="79" spans="1:23" x14ac:dyDescent="0.25">
      <c r="A79" s="1164" t="s">
        <v>1348</v>
      </c>
      <c r="B79" s="1174"/>
      <c r="C79" s="1175" t="s">
        <v>1349</v>
      </c>
      <c r="D79" s="1167">
        <v>300</v>
      </c>
      <c r="E79" s="1168">
        <v>300</v>
      </c>
      <c r="F79" s="1169"/>
      <c r="G79" s="1169"/>
      <c r="H79" s="1170">
        <f t="shared" si="23"/>
        <v>300</v>
      </c>
      <c r="I79" s="1170">
        <f t="shared" si="23"/>
        <v>300</v>
      </c>
      <c r="J79" s="1169"/>
      <c r="K79" s="1169"/>
      <c r="L79" s="1169"/>
      <c r="M79" s="929">
        <f t="shared" si="24"/>
        <v>0</v>
      </c>
      <c r="N79" s="1169">
        <v>0</v>
      </c>
      <c r="O79" s="1171">
        <f t="shared" si="25"/>
        <v>300</v>
      </c>
      <c r="Q79" s="1222"/>
      <c r="R79" s="1222"/>
      <c r="S79" s="1222"/>
      <c r="T79" s="1222"/>
      <c r="U79" s="1222"/>
    </row>
    <row r="80" spans="1:23" x14ac:dyDescent="0.25">
      <c r="A80" s="1164" t="s">
        <v>1350</v>
      </c>
      <c r="B80" s="1174"/>
      <c r="C80" s="1175"/>
      <c r="D80" s="1167"/>
      <c r="E80" s="1168"/>
      <c r="F80" s="1169"/>
      <c r="G80" s="1169"/>
      <c r="H80" s="1170">
        <f t="shared" si="23"/>
        <v>0</v>
      </c>
      <c r="I80" s="1170">
        <f t="shared" si="23"/>
        <v>0</v>
      </c>
      <c r="J80" s="1169"/>
      <c r="K80" s="1169"/>
      <c r="L80" s="1169"/>
      <c r="M80" s="929">
        <f t="shared" si="24"/>
        <v>0</v>
      </c>
      <c r="N80" s="1169">
        <v>0</v>
      </c>
      <c r="O80" s="1171">
        <f t="shared" si="25"/>
        <v>0</v>
      </c>
      <c r="Q80" s="1222"/>
      <c r="R80" s="1222"/>
      <c r="S80" s="1222"/>
      <c r="T80" s="1222"/>
      <c r="U80" s="1222"/>
    </row>
    <row r="81" spans="1:21" x14ac:dyDescent="0.25">
      <c r="A81" s="1164" t="s">
        <v>1351</v>
      </c>
      <c r="B81" s="1174"/>
      <c r="C81" s="1175"/>
      <c r="D81" s="1167"/>
      <c r="E81" s="1168"/>
      <c r="F81" s="1169"/>
      <c r="G81" s="1169"/>
      <c r="H81" s="1170">
        <f t="shared" si="23"/>
        <v>0</v>
      </c>
      <c r="I81" s="1170">
        <f t="shared" si="23"/>
        <v>0</v>
      </c>
      <c r="J81" s="1169"/>
      <c r="K81" s="1169"/>
      <c r="L81" s="1169"/>
      <c r="M81" s="929">
        <f t="shared" si="24"/>
        <v>0</v>
      </c>
      <c r="N81" s="1169">
        <v>0</v>
      </c>
      <c r="O81" s="1171">
        <f t="shared" si="25"/>
        <v>0</v>
      </c>
      <c r="Q81" s="1222"/>
      <c r="R81" s="1222"/>
      <c r="S81" s="1222"/>
      <c r="T81" s="1222"/>
      <c r="U81" s="1222"/>
    </row>
    <row r="82" spans="1:21" x14ac:dyDescent="0.25">
      <c r="A82" s="1055">
        <f>A71+1</f>
        <v>19</v>
      </c>
      <c r="B82" s="2597" t="s">
        <v>1352</v>
      </c>
      <c r="C82" s="2598"/>
      <c r="D82" s="1161">
        <f>D83</f>
        <v>0</v>
      </c>
      <c r="E82" s="1162">
        <f>E83</f>
        <v>0</v>
      </c>
      <c r="F82" s="1162">
        <f>F83</f>
        <v>0</v>
      </c>
      <c r="G82" s="1162">
        <f>G83</f>
        <v>0</v>
      </c>
      <c r="H82" s="1177">
        <f t="shared" si="23"/>
        <v>0</v>
      </c>
      <c r="I82" s="1177">
        <f t="shared" si="23"/>
        <v>0</v>
      </c>
      <c r="J82" s="1162">
        <f>J83</f>
        <v>0</v>
      </c>
      <c r="K82" s="1162">
        <f>K83</f>
        <v>0</v>
      </c>
      <c r="L82" s="1162">
        <f>L83</f>
        <v>0</v>
      </c>
      <c r="M82" s="1162">
        <f>M83</f>
        <v>0</v>
      </c>
      <c r="N82" s="1162">
        <f>N83</f>
        <v>0</v>
      </c>
      <c r="O82" s="1163">
        <f t="shared" si="25"/>
        <v>0</v>
      </c>
      <c r="Q82" s="1222"/>
      <c r="R82" s="1222"/>
      <c r="S82" s="1222"/>
      <c r="T82" s="1222"/>
      <c r="U82" s="1222"/>
    </row>
    <row r="83" spans="1:21" x14ac:dyDescent="0.25">
      <c r="A83" s="1070" t="s">
        <v>1353</v>
      </c>
      <c r="B83" s="570"/>
      <c r="C83" s="1178"/>
      <c r="D83" s="1180">
        <v>0</v>
      </c>
      <c r="E83" s="1170">
        <v>0</v>
      </c>
      <c r="F83" s="1170"/>
      <c r="G83" s="1170"/>
      <c r="H83" s="1170">
        <f t="shared" si="23"/>
        <v>0</v>
      </c>
      <c r="I83" s="1170">
        <f t="shared" si="23"/>
        <v>0</v>
      </c>
      <c r="J83" s="1170">
        <v>0</v>
      </c>
      <c r="K83" s="1170">
        <v>0</v>
      </c>
      <c r="L83" s="1170">
        <v>0</v>
      </c>
      <c r="M83" s="929">
        <f>+H83-I83</f>
        <v>0</v>
      </c>
      <c r="N83" s="1170">
        <v>0</v>
      </c>
      <c r="O83" s="1171">
        <f t="shared" si="25"/>
        <v>0</v>
      </c>
      <c r="Q83" s="1222"/>
      <c r="R83" s="1222"/>
      <c r="S83" s="1222"/>
      <c r="T83" s="1222"/>
      <c r="U83" s="1222"/>
    </row>
    <row r="84" spans="1:21" x14ac:dyDescent="0.25">
      <c r="A84" s="1095">
        <v>20</v>
      </c>
      <c r="B84" s="2597" t="s">
        <v>1354</v>
      </c>
      <c r="C84" s="2598"/>
      <c r="D84" s="1161">
        <f>SUM(D85:D90)</f>
        <v>684</v>
      </c>
      <c r="E84" s="1162">
        <f t="shared" ref="E84:O84" si="26">SUM(E85:E90)</f>
        <v>684</v>
      </c>
      <c r="F84" s="1162">
        <f t="shared" si="26"/>
        <v>0</v>
      </c>
      <c r="G84" s="1162">
        <f t="shared" si="26"/>
        <v>0</v>
      </c>
      <c r="H84" s="1162">
        <f t="shared" si="26"/>
        <v>684</v>
      </c>
      <c r="I84" s="1162">
        <f t="shared" si="26"/>
        <v>684</v>
      </c>
      <c r="J84" s="1162">
        <f t="shared" si="26"/>
        <v>0</v>
      </c>
      <c r="K84" s="1162">
        <f t="shared" si="26"/>
        <v>0</v>
      </c>
      <c r="L84" s="1162">
        <f t="shared" si="26"/>
        <v>0</v>
      </c>
      <c r="M84" s="1162">
        <f t="shared" si="26"/>
        <v>0</v>
      </c>
      <c r="N84" s="1162">
        <f t="shared" si="26"/>
        <v>0</v>
      </c>
      <c r="O84" s="1163">
        <f t="shared" si="26"/>
        <v>684</v>
      </c>
      <c r="Q84" s="1222"/>
      <c r="R84" s="1222"/>
      <c r="S84" s="1222"/>
      <c r="T84" s="1222"/>
      <c r="U84" s="1222"/>
    </row>
    <row r="85" spans="1:21" x14ac:dyDescent="0.25">
      <c r="A85" s="1070" t="s">
        <v>1355</v>
      </c>
      <c r="B85" s="1174"/>
      <c r="C85" s="1212" t="s">
        <v>1405</v>
      </c>
      <c r="D85" s="1180">
        <v>150</v>
      </c>
      <c r="E85" s="1169">
        <v>150</v>
      </c>
      <c r="F85" s="1181"/>
      <c r="G85" s="1181"/>
      <c r="H85" s="1170">
        <f>D85+F85</f>
        <v>150</v>
      </c>
      <c r="I85" s="1170">
        <f>E85+G85</f>
        <v>150</v>
      </c>
      <c r="J85" s="1169"/>
      <c r="K85" s="1169"/>
      <c r="L85" s="1169"/>
      <c r="M85" s="929">
        <f t="shared" ref="M85:M90" si="27">+H85-I85</f>
        <v>0</v>
      </c>
      <c r="N85" s="1169">
        <v>0</v>
      </c>
      <c r="O85" s="1171">
        <f>I85+K85</f>
        <v>150</v>
      </c>
      <c r="Q85" s="1222"/>
      <c r="R85" s="1222"/>
      <c r="S85" s="1222"/>
      <c r="T85" s="1222"/>
      <c r="U85" s="1222"/>
    </row>
    <row r="86" spans="1:21" x14ac:dyDescent="0.25">
      <c r="A86" s="1070" t="s">
        <v>1356</v>
      </c>
      <c r="B86" s="1174"/>
      <c r="C86" s="1179" t="s">
        <v>1357</v>
      </c>
      <c r="D86" s="1180">
        <v>500</v>
      </c>
      <c r="E86" s="1169">
        <v>500</v>
      </c>
      <c r="F86" s="1181"/>
      <c r="G86" s="1181"/>
      <c r="H86" s="1170">
        <f t="shared" ref="H86:I90" si="28">D86+F86</f>
        <v>500</v>
      </c>
      <c r="I86" s="1170">
        <f t="shared" si="28"/>
        <v>500</v>
      </c>
      <c r="J86" s="1169"/>
      <c r="K86" s="1169"/>
      <c r="L86" s="1169"/>
      <c r="M86" s="929">
        <f t="shared" si="27"/>
        <v>0</v>
      </c>
      <c r="N86" s="1169">
        <v>0</v>
      </c>
      <c r="O86" s="1171">
        <f t="shared" ref="O86:O90" si="29">I86+K86</f>
        <v>500</v>
      </c>
      <c r="Q86" s="1222"/>
      <c r="R86" s="1222"/>
      <c r="S86" s="1222"/>
      <c r="T86" s="1222"/>
      <c r="U86" s="1222"/>
    </row>
    <row r="87" spans="1:21" x14ac:dyDescent="0.25">
      <c r="A87" s="1070" t="s">
        <v>1358</v>
      </c>
      <c r="B87" s="1174"/>
      <c r="C87" s="1212" t="s">
        <v>1411</v>
      </c>
      <c r="D87" s="1180">
        <v>34</v>
      </c>
      <c r="E87" s="1169">
        <v>34</v>
      </c>
      <c r="F87" s="1181"/>
      <c r="G87" s="1181"/>
      <c r="H87" s="1170">
        <f t="shared" si="28"/>
        <v>34</v>
      </c>
      <c r="I87" s="1170">
        <f t="shared" si="28"/>
        <v>34</v>
      </c>
      <c r="J87" s="1169"/>
      <c r="K87" s="1169"/>
      <c r="L87" s="1169"/>
      <c r="M87" s="929">
        <f t="shared" si="27"/>
        <v>0</v>
      </c>
      <c r="N87" s="1169">
        <v>0</v>
      </c>
      <c r="O87" s="1171">
        <f t="shared" si="29"/>
        <v>34</v>
      </c>
      <c r="Q87" s="1222"/>
      <c r="R87" s="1222"/>
      <c r="S87" s="1222"/>
      <c r="T87" s="1222"/>
      <c r="U87" s="1222"/>
    </row>
    <row r="88" spans="1:21" hidden="1" x14ac:dyDescent="0.25">
      <c r="A88" s="1070" t="s">
        <v>1359</v>
      </c>
      <c r="B88" s="1174"/>
      <c r="C88" s="1179"/>
      <c r="D88" s="1180"/>
      <c r="E88" s="1169"/>
      <c r="F88" s="1181"/>
      <c r="G88" s="1181"/>
      <c r="H88" s="1170">
        <f t="shared" si="28"/>
        <v>0</v>
      </c>
      <c r="I88" s="1170">
        <f t="shared" si="28"/>
        <v>0</v>
      </c>
      <c r="J88" s="1169"/>
      <c r="K88" s="1169"/>
      <c r="L88" s="1169"/>
      <c r="M88" s="929">
        <f t="shared" si="27"/>
        <v>0</v>
      </c>
      <c r="N88" s="1169">
        <v>0</v>
      </c>
      <c r="O88" s="1171">
        <f t="shared" si="29"/>
        <v>0</v>
      </c>
      <c r="Q88" s="1222"/>
      <c r="R88" s="1222"/>
      <c r="S88" s="1222"/>
      <c r="T88" s="1222"/>
      <c r="U88" s="1222"/>
    </row>
    <row r="89" spans="1:21" hidden="1" x14ac:dyDescent="0.25">
      <c r="A89" s="1070" t="s">
        <v>1360</v>
      </c>
      <c r="B89" s="1174"/>
      <c r="C89" s="1179"/>
      <c r="D89" s="1180"/>
      <c r="E89" s="1169"/>
      <c r="F89" s="1181"/>
      <c r="G89" s="1181"/>
      <c r="H89" s="1170">
        <f t="shared" si="28"/>
        <v>0</v>
      </c>
      <c r="I89" s="1170">
        <f t="shared" si="28"/>
        <v>0</v>
      </c>
      <c r="J89" s="1169"/>
      <c r="K89" s="1169"/>
      <c r="L89" s="1169"/>
      <c r="M89" s="929">
        <f t="shared" si="27"/>
        <v>0</v>
      </c>
      <c r="N89" s="1169">
        <v>0</v>
      </c>
      <c r="O89" s="1171">
        <f t="shared" si="29"/>
        <v>0</v>
      </c>
      <c r="Q89" s="1222"/>
      <c r="R89" s="1222"/>
      <c r="S89" s="1222"/>
      <c r="T89" s="1222"/>
      <c r="U89" s="1222"/>
    </row>
    <row r="90" spans="1:21" hidden="1" x14ac:dyDescent="0.25">
      <c r="A90" s="1070" t="s">
        <v>1361</v>
      </c>
      <c r="B90" s="1174"/>
      <c r="C90" s="1179"/>
      <c r="D90" s="1180"/>
      <c r="E90" s="1169"/>
      <c r="F90" s="1169"/>
      <c r="G90" s="1169"/>
      <c r="H90" s="1170">
        <f t="shared" si="28"/>
        <v>0</v>
      </c>
      <c r="I90" s="1170">
        <f t="shared" si="28"/>
        <v>0</v>
      </c>
      <c r="J90" s="1169"/>
      <c r="K90" s="1169"/>
      <c r="L90" s="1169"/>
      <c r="M90" s="929">
        <f t="shared" si="27"/>
        <v>0</v>
      </c>
      <c r="N90" s="1169">
        <v>0</v>
      </c>
      <c r="O90" s="1171">
        <f t="shared" si="29"/>
        <v>0</v>
      </c>
      <c r="Q90" s="1222"/>
      <c r="R90" s="1222"/>
      <c r="S90" s="1222"/>
      <c r="T90" s="1222"/>
      <c r="U90" s="1222"/>
    </row>
    <row r="91" spans="1:21" x14ac:dyDescent="0.25">
      <c r="A91" s="1055">
        <v>21</v>
      </c>
      <c r="B91" s="2593" t="s">
        <v>786</v>
      </c>
      <c r="C91" s="2594"/>
      <c r="D91" s="1161">
        <f>D92+D104+D102</f>
        <v>505</v>
      </c>
      <c r="E91" s="1162">
        <f t="shared" ref="E91:O91" si="30">E92+E104+E102</f>
        <v>505</v>
      </c>
      <c r="F91" s="1162">
        <f t="shared" si="30"/>
        <v>0</v>
      </c>
      <c r="G91" s="1162">
        <f t="shared" si="30"/>
        <v>0</v>
      </c>
      <c r="H91" s="1162">
        <f t="shared" si="30"/>
        <v>505</v>
      </c>
      <c r="I91" s="1162">
        <f t="shared" si="30"/>
        <v>505</v>
      </c>
      <c r="J91" s="1162">
        <f t="shared" si="30"/>
        <v>0</v>
      </c>
      <c r="K91" s="1162">
        <f t="shared" si="30"/>
        <v>0</v>
      </c>
      <c r="L91" s="1162">
        <f t="shared" si="30"/>
        <v>0</v>
      </c>
      <c r="M91" s="1162">
        <f t="shared" si="30"/>
        <v>0</v>
      </c>
      <c r="N91" s="1162">
        <f t="shared" si="30"/>
        <v>0</v>
      </c>
      <c r="O91" s="1163">
        <f t="shared" si="30"/>
        <v>505</v>
      </c>
      <c r="Q91" s="1222"/>
      <c r="R91" s="1222"/>
      <c r="S91" s="1222"/>
      <c r="T91" s="1222"/>
      <c r="U91" s="1222"/>
    </row>
    <row r="92" spans="1:21" x14ac:dyDescent="0.25">
      <c r="A92" s="1055">
        <f>+A91+1</f>
        <v>22</v>
      </c>
      <c r="B92" s="2597" t="s">
        <v>1362</v>
      </c>
      <c r="C92" s="2598"/>
      <c r="D92" s="1161">
        <f>SUM(D93:D101)</f>
        <v>480</v>
      </c>
      <c r="E92" s="1162">
        <f t="shared" ref="E92:O92" si="31">SUM(E93:E101)</f>
        <v>480</v>
      </c>
      <c r="F92" s="1162">
        <f t="shared" si="31"/>
        <v>0</v>
      </c>
      <c r="G92" s="1162">
        <f t="shared" si="31"/>
        <v>0</v>
      </c>
      <c r="H92" s="1162">
        <f t="shared" si="31"/>
        <v>480</v>
      </c>
      <c r="I92" s="1162">
        <f t="shared" si="31"/>
        <v>480</v>
      </c>
      <c r="J92" s="1162">
        <f t="shared" si="31"/>
        <v>0</v>
      </c>
      <c r="K92" s="1162">
        <f t="shared" si="31"/>
        <v>0</v>
      </c>
      <c r="L92" s="1162">
        <f t="shared" si="31"/>
        <v>0</v>
      </c>
      <c r="M92" s="1162">
        <f t="shared" si="31"/>
        <v>0</v>
      </c>
      <c r="N92" s="1162">
        <f t="shared" si="31"/>
        <v>0</v>
      </c>
      <c r="O92" s="1163">
        <f t="shared" si="31"/>
        <v>480</v>
      </c>
      <c r="Q92" s="1222"/>
      <c r="R92" s="1222"/>
      <c r="S92" s="1222"/>
      <c r="T92" s="1222"/>
      <c r="U92" s="1222"/>
    </row>
    <row r="93" spans="1:21" x14ac:dyDescent="0.25">
      <c r="A93" s="1070" t="s">
        <v>1363</v>
      </c>
      <c r="B93" s="1179"/>
      <c r="C93" s="1212" t="s">
        <v>1406</v>
      </c>
      <c r="D93" s="1182">
        <v>110</v>
      </c>
      <c r="E93" s="1183">
        <v>110</v>
      </c>
      <c r="F93" s="1169"/>
      <c r="G93" s="1169"/>
      <c r="H93" s="1170">
        <f t="shared" si="23"/>
        <v>110</v>
      </c>
      <c r="I93" s="1170">
        <f t="shared" si="23"/>
        <v>110</v>
      </c>
      <c r="J93" s="1169"/>
      <c r="K93" s="1169"/>
      <c r="L93" s="1169"/>
      <c r="M93" s="929">
        <f t="shared" ref="M93:M101" si="32">+H93-I93</f>
        <v>0</v>
      </c>
      <c r="N93" s="1169">
        <v>0</v>
      </c>
      <c r="O93" s="1171">
        <f t="shared" si="25"/>
        <v>110</v>
      </c>
      <c r="Q93" s="1222"/>
      <c r="R93" s="1222"/>
      <c r="S93" s="1222"/>
      <c r="T93" s="1222"/>
      <c r="U93" s="1222"/>
    </row>
    <row r="94" spans="1:21" x14ac:dyDescent="0.25">
      <c r="A94" s="1070" t="s">
        <v>1364</v>
      </c>
      <c r="B94" s="1179"/>
      <c r="C94" s="1212" t="s">
        <v>1403</v>
      </c>
      <c r="D94" s="1182">
        <v>150</v>
      </c>
      <c r="E94" s="1183">
        <v>150</v>
      </c>
      <c r="F94" s="1169"/>
      <c r="G94" s="1169"/>
      <c r="H94" s="1170">
        <f t="shared" si="23"/>
        <v>150</v>
      </c>
      <c r="I94" s="1170">
        <f t="shared" si="23"/>
        <v>150</v>
      </c>
      <c r="J94" s="1169"/>
      <c r="K94" s="1169"/>
      <c r="L94" s="1169"/>
      <c r="M94" s="929">
        <f t="shared" si="32"/>
        <v>0</v>
      </c>
      <c r="N94" s="1169">
        <v>0</v>
      </c>
      <c r="O94" s="1171">
        <f>I94+N94</f>
        <v>150</v>
      </c>
      <c r="Q94" s="1222"/>
      <c r="R94" s="1222"/>
      <c r="S94" s="1222"/>
      <c r="T94" s="1222"/>
      <c r="U94" s="1222"/>
    </row>
    <row r="95" spans="1:21" x14ac:dyDescent="0.25">
      <c r="A95" s="1070" t="s">
        <v>1365</v>
      </c>
      <c r="B95" s="1179"/>
      <c r="C95" s="1179" t="s">
        <v>1367</v>
      </c>
      <c r="D95" s="1180">
        <v>100</v>
      </c>
      <c r="E95" s="1169">
        <v>100</v>
      </c>
      <c r="F95" s="1169"/>
      <c r="G95" s="1169"/>
      <c r="H95" s="1170">
        <f t="shared" si="23"/>
        <v>100</v>
      </c>
      <c r="I95" s="1170">
        <f t="shared" si="23"/>
        <v>100</v>
      </c>
      <c r="J95" s="1169"/>
      <c r="K95" s="1169"/>
      <c r="L95" s="1169"/>
      <c r="M95" s="929">
        <f t="shared" si="32"/>
        <v>0</v>
      </c>
      <c r="N95" s="1169">
        <v>0</v>
      </c>
      <c r="O95" s="1171">
        <f>I95+N95</f>
        <v>100</v>
      </c>
      <c r="Q95" s="1222"/>
      <c r="R95" s="1222"/>
      <c r="S95" s="1222"/>
      <c r="T95" s="1222"/>
      <c r="U95" s="1222"/>
    </row>
    <row r="96" spans="1:21" x14ac:dyDescent="0.25">
      <c r="A96" s="1070" t="s">
        <v>1366</v>
      </c>
      <c r="B96" s="1179"/>
      <c r="C96" s="1212" t="s">
        <v>1394</v>
      </c>
      <c r="D96" s="1182">
        <v>90</v>
      </c>
      <c r="E96" s="1183">
        <v>90</v>
      </c>
      <c r="F96" s="1169"/>
      <c r="G96" s="1169"/>
      <c r="H96" s="1170">
        <f t="shared" si="23"/>
        <v>90</v>
      </c>
      <c r="I96" s="1170">
        <f t="shared" si="23"/>
        <v>90</v>
      </c>
      <c r="J96" s="1169"/>
      <c r="K96" s="1169"/>
      <c r="L96" s="1169"/>
      <c r="M96" s="929">
        <f t="shared" si="32"/>
        <v>0</v>
      </c>
      <c r="N96" s="1169">
        <v>0</v>
      </c>
      <c r="O96" s="1171">
        <f>I96+N96</f>
        <v>90</v>
      </c>
      <c r="Q96" s="1222"/>
      <c r="R96" s="1222"/>
      <c r="S96" s="1222"/>
      <c r="T96" s="1222"/>
      <c r="U96" s="1222"/>
    </row>
    <row r="97" spans="1:21" x14ac:dyDescent="0.25">
      <c r="A97" s="1112" t="s">
        <v>1368</v>
      </c>
      <c r="B97" s="1216"/>
      <c r="C97" s="1214" t="s">
        <v>1395</v>
      </c>
      <c r="D97" s="1193">
        <v>30</v>
      </c>
      <c r="E97" s="1215">
        <v>30</v>
      </c>
      <c r="F97" s="1217"/>
      <c r="G97" s="1217"/>
      <c r="H97" s="1217">
        <f t="shared" si="23"/>
        <v>30</v>
      </c>
      <c r="I97" s="1217">
        <f t="shared" si="23"/>
        <v>30</v>
      </c>
      <c r="J97" s="1217"/>
      <c r="K97" s="1217"/>
      <c r="L97" s="1217"/>
      <c r="M97" s="1077">
        <f t="shared" si="32"/>
        <v>0</v>
      </c>
      <c r="N97" s="1217">
        <v>0</v>
      </c>
      <c r="O97" s="1218">
        <f>I97+N97</f>
        <v>30</v>
      </c>
      <c r="P97" s="1219"/>
      <c r="Q97" s="1223"/>
      <c r="R97" s="1223"/>
      <c r="S97" s="1223"/>
      <c r="T97" s="1222"/>
      <c r="U97" s="1222"/>
    </row>
    <row r="98" spans="1:21" hidden="1" x14ac:dyDescent="0.25">
      <c r="A98" s="1070" t="s">
        <v>1369</v>
      </c>
      <c r="B98" s="1179"/>
      <c r="C98" s="1212"/>
      <c r="D98" s="1182"/>
      <c r="E98" s="1183"/>
      <c r="F98" s="1169"/>
      <c r="G98" s="1169"/>
      <c r="H98" s="1170">
        <f t="shared" si="23"/>
        <v>0</v>
      </c>
      <c r="I98" s="1170">
        <f t="shared" si="23"/>
        <v>0</v>
      </c>
      <c r="J98" s="1169"/>
      <c r="K98" s="1169"/>
      <c r="L98" s="1169"/>
      <c r="M98" s="929">
        <f t="shared" si="32"/>
        <v>0</v>
      </c>
      <c r="N98" s="1169">
        <v>0</v>
      </c>
      <c r="O98" s="1171">
        <f t="shared" si="25"/>
        <v>0</v>
      </c>
      <c r="Q98" s="1222"/>
      <c r="R98" s="1222"/>
      <c r="S98" s="1222"/>
      <c r="T98" s="1222"/>
      <c r="U98" s="1222"/>
    </row>
    <row r="99" spans="1:21" hidden="1" x14ac:dyDescent="0.25">
      <c r="A99" s="1070" t="s">
        <v>1370</v>
      </c>
      <c r="B99" s="1179"/>
      <c r="C99" s="1173"/>
      <c r="D99" s="1182"/>
      <c r="E99" s="1183"/>
      <c r="F99" s="1169"/>
      <c r="G99" s="1169"/>
      <c r="H99" s="1170">
        <f t="shared" si="23"/>
        <v>0</v>
      </c>
      <c r="I99" s="1170">
        <f t="shared" si="23"/>
        <v>0</v>
      </c>
      <c r="J99" s="1169">
        <v>0</v>
      </c>
      <c r="K99" s="1169">
        <v>0</v>
      </c>
      <c r="L99" s="1169">
        <v>0</v>
      </c>
      <c r="M99" s="929">
        <f t="shared" si="32"/>
        <v>0</v>
      </c>
      <c r="N99" s="1169">
        <v>0</v>
      </c>
      <c r="O99" s="1171">
        <f t="shared" si="25"/>
        <v>0</v>
      </c>
      <c r="Q99" s="1222"/>
      <c r="R99" s="1222"/>
      <c r="S99" s="1222"/>
      <c r="T99" s="1222"/>
      <c r="U99" s="1222"/>
    </row>
    <row r="100" spans="1:21" hidden="1" x14ac:dyDescent="0.25">
      <c r="A100" s="1070" t="s">
        <v>1371</v>
      </c>
      <c r="B100" s="1179"/>
      <c r="C100" s="1173"/>
      <c r="D100" s="1182"/>
      <c r="E100" s="1183"/>
      <c r="F100" s="1169"/>
      <c r="G100" s="1169"/>
      <c r="H100" s="1170">
        <f t="shared" si="23"/>
        <v>0</v>
      </c>
      <c r="I100" s="1170">
        <f t="shared" si="23"/>
        <v>0</v>
      </c>
      <c r="J100" s="1169">
        <v>0</v>
      </c>
      <c r="K100" s="1169">
        <v>0</v>
      </c>
      <c r="L100" s="1169">
        <v>0</v>
      </c>
      <c r="M100" s="929">
        <f t="shared" si="32"/>
        <v>0</v>
      </c>
      <c r="N100" s="1169">
        <v>0</v>
      </c>
      <c r="O100" s="1171">
        <f t="shared" si="25"/>
        <v>0</v>
      </c>
      <c r="Q100" s="1222"/>
      <c r="R100" s="1222"/>
      <c r="S100" s="1222"/>
      <c r="T100" s="1222"/>
      <c r="U100" s="1222"/>
    </row>
    <row r="101" spans="1:21" hidden="1" x14ac:dyDescent="0.25">
      <c r="A101" s="1070" t="s">
        <v>1372</v>
      </c>
      <c r="B101" s="1179"/>
      <c r="C101" s="1173"/>
      <c r="D101" s="1180"/>
      <c r="E101" s="1169"/>
      <c r="F101" s="1169"/>
      <c r="G101" s="1169"/>
      <c r="H101" s="1170">
        <f t="shared" si="23"/>
        <v>0</v>
      </c>
      <c r="I101" s="1170">
        <f t="shared" si="23"/>
        <v>0</v>
      </c>
      <c r="J101" s="1169">
        <v>0</v>
      </c>
      <c r="K101" s="1169">
        <v>0</v>
      </c>
      <c r="L101" s="1169">
        <v>0</v>
      </c>
      <c r="M101" s="929">
        <f t="shared" si="32"/>
        <v>0</v>
      </c>
      <c r="N101" s="1169">
        <v>0</v>
      </c>
      <c r="O101" s="1171">
        <f t="shared" si="25"/>
        <v>0</v>
      </c>
      <c r="Q101" s="1222"/>
      <c r="R101" s="1222"/>
      <c r="S101" s="1222"/>
      <c r="T101" s="1222"/>
      <c r="U101" s="1222"/>
    </row>
    <row r="102" spans="1:21" x14ac:dyDescent="0.25">
      <c r="A102" s="1055">
        <f>A92+1</f>
        <v>23</v>
      </c>
      <c r="B102" s="2597" t="s">
        <v>1396</v>
      </c>
      <c r="C102" s="2598"/>
      <c r="D102" s="1161">
        <f>D103</f>
        <v>10</v>
      </c>
      <c r="E102" s="1162">
        <f t="shared" ref="E102:O102" si="33">E103</f>
        <v>10</v>
      </c>
      <c r="F102" s="1162">
        <f t="shared" si="33"/>
        <v>0</v>
      </c>
      <c r="G102" s="1162">
        <f t="shared" si="33"/>
        <v>0</v>
      </c>
      <c r="H102" s="1162">
        <f t="shared" si="33"/>
        <v>10</v>
      </c>
      <c r="I102" s="1162">
        <f t="shared" si="33"/>
        <v>10</v>
      </c>
      <c r="J102" s="1162">
        <f t="shared" si="33"/>
        <v>0</v>
      </c>
      <c r="K102" s="1162">
        <f t="shared" si="33"/>
        <v>0</v>
      </c>
      <c r="L102" s="1162">
        <f t="shared" si="33"/>
        <v>0</v>
      </c>
      <c r="M102" s="1162">
        <f t="shared" si="33"/>
        <v>0</v>
      </c>
      <c r="N102" s="1162">
        <f t="shared" si="33"/>
        <v>0</v>
      </c>
      <c r="O102" s="1163">
        <f t="shared" si="33"/>
        <v>10</v>
      </c>
      <c r="Q102" s="1222"/>
      <c r="R102" s="1222"/>
      <c r="S102" s="1222"/>
      <c r="T102" s="1222"/>
      <c r="U102" s="1222"/>
    </row>
    <row r="103" spans="1:21" x14ac:dyDescent="0.25">
      <c r="A103" s="1164" t="s">
        <v>1373</v>
      </c>
      <c r="B103" s="1174"/>
      <c r="C103" s="1173" t="s">
        <v>1397</v>
      </c>
      <c r="D103" s="1180">
        <v>10</v>
      </c>
      <c r="E103" s="1169">
        <v>10</v>
      </c>
      <c r="F103" s="1169"/>
      <c r="G103" s="1169"/>
      <c r="H103" s="1170">
        <f t="shared" si="23"/>
        <v>10</v>
      </c>
      <c r="I103" s="1170">
        <f>E103+G103</f>
        <v>10</v>
      </c>
      <c r="J103" s="1169">
        <v>0</v>
      </c>
      <c r="K103" s="1169">
        <v>0</v>
      </c>
      <c r="L103" s="1169">
        <v>0</v>
      </c>
      <c r="M103" s="929">
        <f>+H103-I103</f>
        <v>0</v>
      </c>
      <c r="N103" s="1169">
        <v>0</v>
      </c>
      <c r="O103" s="1171">
        <f>I103+K103</f>
        <v>10</v>
      </c>
      <c r="Q103" s="1222"/>
      <c r="R103" s="1222"/>
      <c r="S103" s="1222"/>
      <c r="T103" s="1222"/>
      <c r="U103" s="1222"/>
    </row>
    <row r="104" spans="1:21" x14ac:dyDescent="0.25">
      <c r="A104" s="1055">
        <f>A102+1</f>
        <v>24</v>
      </c>
      <c r="B104" s="2597" t="s">
        <v>1374</v>
      </c>
      <c r="C104" s="2598"/>
      <c r="D104" s="1161">
        <f>D105</f>
        <v>15</v>
      </c>
      <c r="E104" s="1162">
        <f t="shared" ref="E104:O104" si="34">E105</f>
        <v>15</v>
      </c>
      <c r="F104" s="1162">
        <f t="shared" si="34"/>
        <v>0</v>
      </c>
      <c r="G104" s="1162">
        <f t="shared" si="34"/>
        <v>0</v>
      </c>
      <c r="H104" s="1162">
        <f t="shared" si="34"/>
        <v>15</v>
      </c>
      <c r="I104" s="1162">
        <f t="shared" si="34"/>
        <v>15</v>
      </c>
      <c r="J104" s="1162">
        <f t="shared" si="34"/>
        <v>0</v>
      </c>
      <c r="K104" s="1162">
        <f t="shared" si="34"/>
        <v>0</v>
      </c>
      <c r="L104" s="1162">
        <f t="shared" si="34"/>
        <v>0</v>
      </c>
      <c r="M104" s="1162">
        <f t="shared" si="34"/>
        <v>0</v>
      </c>
      <c r="N104" s="1162">
        <f t="shared" si="34"/>
        <v>0</v>
      </c>
      <c r="O104" s="1163">
        <f t="shared" si="34"/>
        <v>15</v>
      </c>
      <c r="Q104" s="1222"/>
      <c r="R104" s="1222"/>
      <c r="S104" s="1222"/>
      <c r="T104" s="1222"/>
      <c r="U104" s="1222"/>
    </row>
    <row r="105" spans="1:21" x14ac:dyDescent="0.25">
      <c r="A105" s="1164" t="s">
        <v>1375</v>
      </c>
      <c r="B105" s="1174"/>
      <c r="C105" s="1179" t="s">
        <v>1376</v>
      </c>
      <c r="D105" s="1180">
        <v>15</v>
      </c>
      <c r="E105" s="1169">
        <v>15</v>
      </c>
      <c r="F105" s="1169"/>
      <c r="G105" s="1169"/>
      <c r="H105" s="1170">
        <f t="shared" si="23"/>
        <v>15</v>
      </c>
      <c r="I105" s="1170">
        <f>E105+G105</f>
        <v>15</v>
      </c>
      <c r="J105" s="1169"/>
      <c r="K105" s="1169"/>
      <c r="L105" s="1169"/>
      <c r="M105" s="929">
        <f>+H105-I105</f>
        <v>0</v>
      </c>
      <c r="N105" s="1169">
        <v>0</v>
      </c>
      <c r="O105" s="1171">
        <f>I105+K105</f>
        <v>15</v>
      </c>
      <c r="Q105" s="1222"/>
      <c r="R105" s="1222"/>
      <c r="S105" s="1222"/>
      <c r="T105" s="1222"/>
      <c r="U105" s="1222"/>
    </row>
    <row r="106" spans="1:21" x14ac:dyDescent="0.25">
      <c r="A106" s="1055">
        <f>A104+1</f>
        <v>25</v>
      </c>
      <c r="B106" s="2593" t="s">
        <v>1321</v>
      </c>
      <c r="C106" s="2594"/>
      <c r="D106" s="1161">
        <f>D107+D109+D117</f>
        <v>7988</v>
      </c>
      <c r="E106" s="1162">
        <f t="shared" ref="E106:O106" si="35">E107+E109+E117</f>
        <v>7988</v>
      </c>
      <c r="F106" s="1162">
        <f t="shared" si="35"/>
        <v>0</v>
      </c>
      <c r="G106" s="1162">
        <f t="shared" si="35"/>
        <v>0</v>
      </c>
      <c r="H106" s="1162">
        <f t="shared" si="35"/>
        <v>7988</v>
      </c>
      <c r="I106" s="1162">
        <f t="shared" si="35"/>
        <v>7988</v>
      </c>
      <c r="J106" s="1162">
        <f t="shared" si="35"/>
        <v>0</v>
      </c>
      <c r="K106" s="1162">
        <f t="shared" si="35"/>
        <v>0</v>
      </c>
      <c r="L106" s="1162">
        <f t="shared" si="35"/>
        <v>0</v>
      </c>
      <c r="M106" s="1162">
        <f t="shared" si="35"/>
        <v>0</v>
      </c>
      <c r="N106" s="1162">
        <f t="shared" si="35"/>
        <v>0</v>
      </c>
      <c r="O106" s="1163">
        <f t="shared" si="35"/>
        <v>7988</v>
      </c>
      <c r="Q106" s="1222"/>
      <c r="R106" s="1222"/>
      <c r="S106" s="1222"/>
      <c r="T106" s="1222"/>
      <c r="U106" s="1222"/>
    </row>
    <row r="107" spans="1:21" x14ac:dyDescent="0.25">
      <c r="A107" s="1055">
        <f>+A106+1</f>
        <v>26</v>
      </c>
      <c r="B107" s="2597" t="s">
        <v>1377</v>
      </c>
      <c r="C107" s="2598"/>
      <c r="D107" s="1161">
        <f>D108</f>
        <v>4228</v>
      </c>
      <c r="E107" s="1162">
        <f>E108</f>
        <v>4228</v>
      </c>
      <c r="F107" s="1162">
        <f>F108</f>
        <v>0</v>
      </c>
      <c r="G107" s="1162">
        <f>G108</f>
        <v>0</v>
      </c>
      <c r="H107" s="1177">
        <f t="shared" ref="H107:I121" si="36">D107+F107</f>
        <v>4228</v>
      </c>
      <c r="I107" s="1177">
        <f t="shared" si="36"/>
        <v>4228</v>
      </c>
      <c r="J107" s="1162">
        <f>J108</f>
        <v>0</v>
      </c>
      <c r="K107" s="1162">
        <f>K108</f>
        <v>0</v>
      </c>
      <c r="L107" s="1162">
        <f>L108</f>
        <v>0</v>
      </c>
      <c r="M107" s="1184">
        <f>M108</f>
        <v>0</v>
      </c>
      <c r="N107" s="1162">
        <f>N108</f>
        <v>0</v>
      </c>
      <c r="O107" s="1163">
        <f>I107+N107</f>
        <v>4228</v>
      </c>
      <c r="Q107" s="1222"/>
      <c r="R107" s="1222"/>
      <c r="S107" s="1222"/>
      <c r="T107" s="1222"/>
      <c r="U107" s="1222"/>
    </row>
    <row r="108" spans="1:21" x14ac:dyDescent="0.25">
      <c r="A108" s="1185" t="s">
        <v>1378</v>
      </c>
      <c r="B108" s="1186"/>
      <c r="C108" s="1156" t="s">
        <v>1377</v>
      </c>
      <c r="D108" s="1187">
        <v>4228</v>
      </c>
      <c r="E108" s="1188">
        <v>4228</v>
      </c>
      <c r="F108" s="1189"/>
      <c r="G108" s="1189"/>
      <c r="H108" s="1170">
        <f t="shared" si="36"/>
        <v>4228</v>
      </c>
      <c r="I108" s="1170">
        <f t="shared" si="36"/>
        <v>4228</v>
      </c>
      <c r="J108" s="1189"/>
      <c r="K108" s="1189"/>
      <c r="L108" s="1189"/>
      <c r="M108" s="929">
        <f>+H108-I108</f>
        <v>0</v>
      </c>
      <c r="N108" s="1189">
        <v>0</v>
      </c>
      <c r="O108" s="1171">
        <f>I108+N108</f>
        <v>4228</v>
      </c>
      <c r="Q108" s="1222"/>
      <c r="R108" s="1222"/>
      <c r="S108" s="1222"/>
      <c r="T108" s="1222"/>
      <c r="U108" s="1222"/>
    </row>
    <row r="109" spans="1:21" x14ac:dyDescent="0.25">
      <c r="A109" s="1055">
        <f>+A107+1</f>
        <v>27</v>
      </c>
      <c r="B109" s="2597" t="s">
        <v>1379</v>
      </c>
      <c r="C109" s="2598"/>
      <c r="D109" s="1161">
        <f>SUM(D110:D116)</f>
        <v>913</v>
      </c>
      <c r="E109" s="1162">
        <f t="shared" ref="E109:O109" si="37">SUM(E110:E116)</f>
        <v>913</v>
      </c>
      <c r="F109" s="1162">
        <f t="shared" si="37"/>
        <v>0</v>
      </c>
      <c r="G109" s="1162">
        <f t="shared" si="37"/>
        <v>0</v>
      </c>
      <c r="H109" s="1162">
        <f t="shared" si="37"/>
        <v>913</v>
      </c>
      <c r="I109" s="1162">
        <f t="shared" si="37"/>
        <v>913</v>
      </c>
      <c r="J109" s="1162">
        <f t="shared" si="37"/>
        <v>0</v>
      </c>
      <c r="K109" s="1162">
        <f t="shared" si="37"/>
        <v>0</v>
      </c>
      <c r="L109" s="1162">
        <f t="shared" si="37"/>
        <v>0</v>
      </c>
      <c r="M109" s="1162">
        <f t="shared" si="37"/>
        <v>0</v>
      </c>
      <c r="N109" s="1162">
        <f t="shared" si="37"/>
        <v>0</v>
      </c>
      <c r="O109" s="1163">
        <f t="shared" si="37"/>
        <v>913</v>
      </c>
      <c r="Q109" s="1222"/>
      <c r="R109" s="1222"/>
      <c r="S109" s="1222"/>
      <c r="T109" s="1222"/>
      <c r="U109" s="1222"/>
    </row>
    <row r="110" spans="1:21" x14ac:dyDescent="0.25">
      <c r="A110" s="1070" t="s">
        <v>1380</v>
      </c>
      <c r="B110" s="570"/>
      <c r="C110" s="571" t="s">
        <v>1402</v>
      </c>
      <c r="D110" s="1224">
        <v>82</v>
      </c>
      <c r="E110" s="1217">
        <v>82</v>
      </c>
      <c r="F110" s="1170"/>
      <c r="G110" s="1170"/>
      <c r="H110" s="1170">
        <f t="shared" si="36"/>
        <v>82</v>
      </c>
      <c r="I110" s="1170">
        <f t="shared" si="36"/>
        <v>82</v>
      </c>
      <c r="J110" s="1170"/>
      <c r="K110" s="1170"/>
      <c r="L110" s="1170"/>
      <c r="M110" s="929">
        <f t="shared" ref="M110:M116" si="38">+H110-I110</f>
        <v>0</v>
      </c>
      <c r="N110" s="1170">
        <v>0</v>
      </c>
      <c r="O110" s="1171">
        <f t="shared" ref="O110:O116" si="39">I110+N110</f>
        <v>82</v>
      </c>
      <c r="Q110" s="1222"/>
      <c r="R110" s="1222"/>
      <c r="S110" s="1222"/>
      <c r="T110" s="1222"/>
      <c r="U110" s="1222"/>
    </row>
    <row r="111" spans="1:21" x14ac:dyDescent="0.25">
      <c r="A111" s="1070" t="s">
        <v>1381</v>
      </c>
      <c r="B111" s="570"/>
      <c r="C111" s="1213" t="s">
        <v>1410</v>
      </c>
      <c r="D111" s="1224">
        <v>50</v>
      </c>
      <c r="E111" s="1217">
        <v>50</v>
      </c>
      <c r="F111" s="1170"/>
      <c r="G111" s="1170"/>
      <c r="H111" s="1170">
        <f t="shared" si="36"/>
        <v>50</v>
      </c>
      <c r="I111" s="1170">
        <f t="shared" si="36"/>
        <v>50</v>
      </c>
      <c r="J111" s="1170"/>
      <c r="K111" s="1170"/>
      <c r="L111" s="1170"/>
      <c r="M111" s="929">
        <f t="shared" si="38"/>
        <v>0</v>
      </c>
      <c r="N111" s="1170">
        <v>0</v>
      </c>
      <c r="O111" s="1171">
        <f t="shared" si="39"/>
        <v>50</v>
      </c>
      <c r="Q111" s="1222"/>
      <c r="R111" s="1222"/>
      <c r="S111" s="1222"/>
      <c r="T111" s="1222"/>
      <c r="U111" s="1222"/>
    </row>
    <row r="112" spans="1:21" x14ac:dyDescent="0.25">
      <c r="A112" s="1070" t="s">
        <v>1382</v>
      </c>
      <c r="B112" s="570"/>
      <c r="C112" s="1213" t="s">
        <v>1407</v>
      </c>
      <c r="D112" s="1224">
        <v>460</v>
      </c>
      <c r="E112" s="1217">
        <v>460</v>
      </c>
      <c r="F112" s="1170"/>
      <c r="G112" s="1170"/>
      <c r="H112" s="1170">
        <f t="shared" si="36"/>
        <v>460</v>
      </c>
      <c r="I112" s="1170">
        <f t="shared" si="36"/>
        <v>460</v>
      </c>
      <c r="J112" s="1170"/>
      <c r="K112" s="1170"/>
      <c r="L112" s="1170"/>
      <c r="M112" s="929">
        <f t="shared" si="38"/>
        <v>0</v>
      </c>
      <c r="N112" s="1170">
        <v>0</v>
      </c>
      <c r="O112" s="1171">
        <f t="shared" si="39"/>
        <v>460</v>
      </c>
      <c r="Q112" s="1222"/>
      <c r="R112" s="1222"/>
      <c r="S112" s="1222"/>
      <c r="T112" s="1222"/>
      <c r="U112" s="1222"/>
    </row>
    <row r="113" spans="1:21" x14ac:dyDescent="0.25">
      <c r="A113" s="1070" t="s">
        <v>1383</v>
      </c>
      <c r="B113" s="570"/>
      <c r="C113" s="1213" t="s">
        <v>1409</v>
      </c>
      <c r="D113" s="1224">
        <v>113</v>
      </c>
      <c r="E113" s="1217">
        <v>113</v>
      </c>
      <c r="F113" s="1170"/>
      <c r="G113" s="1170"/>
      <c r="H113" s="1170">
        <f t="shared" si="36"/>
        <v>113</v>
      </c>
      <c r="I113" s="1170">
        <f t="shared" si="36"/>
        <v>113</v>
      </c>
      <c r="J113" s="1170"/>
      <c r="K113" s="1170"/>
      <c r="L113" s="1170"/>
      <c r="M113" s="929">
        <f t="shared" si="38"/>
        <v>0</v>
      </c>
      <c r="N113" s="1170">
        <v>0</v>
      </c>
      <c r="O113" s="1171">
        <f t="shared" si="39"/>
        <v>113</v>
      </c>
      <c r="Q113" s="1222"/>
      <c r="R113" s="1222"/>
      <c r="S113" s="1222"/>
      <c r="T113" s="1222"/>
      <c r="U113" s="1222"/>
    </row>
    <row r="114" spans="1:21" x14ac:dyDescent="0.25">
      <c r="A114" s="1070" t="s">
        <v>1384</v>
      </c>
      <c r="B114" s="570"/>
      <c r="C114" s="1213" t="s">
        <v>1404</v>
      </c>
      <c r="D114" s="1224">
        <v>77</v>
      </c>
      <c r="E114" s="1217">
        <v>77</v>
      </c>
      <c r="F114" s="1170"/>
      <c r="G114" s="1170"/>
      <c r="H114" s="1170">
        <f t="shared" si="36"/>
        <v>77</v>
      </c>
      <c r="I114" s="1170">
        <f t="shared" si="36"/>
        <v>77</v>
      </c>
      <c r="J114" s="1170"/>
      <c r="K114" s="1170"/>
      <c r="L114" s="1170"/>
      <c r="M114" s="929">
        <f t="shared" si="38"/>
        <v>0</v>
      </c>
      <c r="N114" s="1170">
        <v>0</v>
      </c>
      <c r="O114" s="1171">
        <f t="shared" si="39"/>
        <v>77</v>
      </c>
      <c r="Q114" s="1222"/>
      <c r="R114" s="1222"/>
      <c r="S114" s="1222"/>
      <c r="T114" s="1222"/>
      <c r="U114" s="1222"/>
    </row>
    <row r="115" spans="1:21" x14ac:dyDescent="0.25">
      <c r="A115" s="1070" t="s">
        <v>1385</v>
      </c>
      <c r="B115" s="570"/>
      <c r="C115" s="1213" t="s">
        <v>1400</v>
      </c>
      <c r="D115" s="1224">
        <v>107</v>
      </c>
      <c r="E115" s="1217">
        <v>107</v>
      </c>
      <c r="F115" s="1170"/>
      <c r="G115" s="1170"/>
      <c r="H115" s="1170">
        <f t="shared" si="36"/>
        <v>107</v>
      </c>
      <c r="I115" s="1170">
        <f t="shared" si="36"/>
        <v>107</v>
      </c>
      <c r="J115" s="1170"/>
      <c r="K115" s="1170"/>
      <c r="L115" s="1170"/>
      <c r="M115" s="929">
        <f t="shared" si="38"/>
        <v>0</v>
      </c>
      <c r="N115" s="1170">
        <v>0</v>
      </c>
      <c r="O115" s="1171">
        <f t="shared" si="39"/>
        <v>107</v>
      </c>
      <c r="Q115" s="1222"/>
      <c r="R115" s="1222"/>
      <c r="S115" s="1222"/>
      <c r="T115" s="1222"/>
      <c r="U115" s="1222"/>
    </row>
    <row r="116" spans="1:21" x14ac:dyDescent="0.25">
      <c r="A116" s="1070" t="s">
        <v>1386</v>
      </c>
      <c r="B116" s="570"/>
      <c r="C116" s="1213" t="s">
        <v>1408</v>
      </c>
      <c r="D116" s="1224">
        <v>24</v>
      </c>
      <c r="E116" s="1217">
        <v>24</v>
      </c>
      <c r="F116" s="1170"/>
      <c r="G116" s="1170"/>
      <c r="H116" s="1170">
        <f t="shared" si="36"/>
        <v>24</v>
      </c>
      <c r="I116" s="1170">
        <f t="shared" si="36"/>
        <v>24</v>
      </c>
      <c r="J116" s="1170">
        <v>0</v>
      </c>
      <c r="K116" s="1170">
        <v>0</v>
      </c>
      <c r="L116" s="1170">
        <v>0</v>
      </c>
      <c r="M116" s="929">
        <f t="shared" si="38"/>
        <v>0</v>
      </c>
      <c r="N116" s="1170">
        <v>0</v>
      </c>
      <c r="O116" s="1171">
        <f t="shared" si="39"/>
        <v>24</v>
      </c>
      <c r="Q116" s="1222"/>
      <c r="R116" s="1222"/>
      <c r="S116" s="1222"/>
      <c r="T116" s="1222"/>
      <c r="U116" s="1222"/>
    </row>
    <row r="117" spans="1:21" x14ac:dyDescent="0.25">
      <c r="A117" s="1190">
        <f>+A109+1</f>
        <v>28</v>
      </c>
      <c r="B117" s="2597" t="s">
        <v>1387</v>
      </c>
      <c r="C117" s="2598"/>
      <c r="D117" s="1161">
        <f>SUM(D118:D122)</f>
        <v>2847</v>
      </c>
      <c r="E117" s="1162">
        <f t="shared" ref="E117:O117" si="40">SUM(E118:E122)</f>
        <v>2847</v>
      </c>
      <c r="F117" s="1162">
        <f t="shared" si="40"/>
        <v>0</v>
      </c>
      <c r="G117" s="1162">
        <f t="shared" si="40"/>
        <v>0</v>
      </c>
      <c r="H117" s="1162">
        <f t="shared" si="40"/>
        <v>2847</v>
      </c>
      <c r="I117" s="1162">
        <f t="shared" si="40"/>
        <v>2847</v>
      </c>
      <c r="J117" s="1162">
        <f t="shared" si="40"/>
        <v>0</v>
      </c>
      <c r="K117" s="1162">
        <f t="shared" si="40"/>
        <v>0</v>
      </c>
      <c r="L117" s="1162">
        <f t="shared" si="40"/>
        <v>0</v>
      </c>
      <c r="M117" s="1162">
        <f t="shared" si="40"/>
        <v>0</v>
      </c>
      <c r="N117" s="1162">
        <f t="shared" si="40"/>
        <v>0</v>
      </c>
      <c r="O117" s="1163">
        <f t="shared" si="40"/>
        <v>2847</v>
      </c>
      <c r="Q117" s="1222"/>
      <c r="R117" s="1222"/>
      <c r="S117" s="1222"/>
      <c r="T117" s="1222"/>
      <c r="U117" s="1222"/>
    </row>
    <row r="118" spans="1:21" x14ac:dyDescent="0.25">
      <c r="A118" s="1191" t="s">
        <v>1388</v>
      </c>
      <c r="B118" s="1192"/>
      <c r="C118" s="1220" t="s">
        <v>1412</v>
      </c>
      <c r="D118" s="1193">
        <v>1884</v>
      </c>
      <c r="E118" s="1189">
        <v>1884</v>
      </c>
      <c r="F118" s="1189"/>
      <c r="G118" s="1189"/>
      <c r="H118" s="1189">
        <f t="shared" si="36"/>
        <v>1884</v>
      </c>
      <c r="I118" s="1189">
        <f t="shared" si="36"/>
        <v>1884</v>
      </c>
      <c r="J118" s="1189"/>
      <c r="K118" s="1189"/>
      <c r="L118" s="1189"/>
      <c r="M118" s="1189">
        <v>0</v>
      </c>
      <c r="N118" s="1189">
        <v>0</v>
      </c>
      <c r="O118" s="1194">
        <f>I118+N118</f>
        <v>1884</v>
      </c>
      <c r="Q118" s="1222"/>
      <c r="R118" s="1222"/>
      <c r="S118" s="1222"/>
      <c r="T118" s="1222"/>
      <c r="U118" s="1222"/>
    </row>
    <row r="119" spans="1:21" x14ac:dyDescent="0.25">
      <c r="A119" s="1195" t="s">
        <v>1389</v>
      </c>
      <c r="B119" s="1192"/>
      <c r="C119" s="1166" t="s">
        <v>1390</v>
      </c>
      <c r="D119" s="1180">
        <v>234</v>
      </c>
      <c r="E119" s="1170">
        <v>234</v>
      </c>
      <c r="F119" s="1189"/>
      <c r="G119" s="1189"/>
      <c r="H119" s="1189">
        <f t="shared" si="36"/>
        <v>234</v>
      </c>
      <c r="I119" s="1189">
        <f t="shared" si="36"/>
        <v>234</v>
      </c>
      <c r="J119" s="1189"/>
      <c r="K119" s="1189"/>
      <c r="L119" s="1189"/>
      <c r="M119" s="1189">
        <v>0</v>
      </c>
      <c r="N119" s="1189">
        <v>0</v>
      </c>
      <c r="O119" s="1194">
        <f t="shared" ref="O119:O120" si="41">I119+N119</f>
        <v>234</v>
      </c>
      <c r="Q119" s="1222"/>
      <c r="R119" s="1222"/>
      <c r="S119" s="1222"/>
      <c r="T119" s="1222"/>
      <c r="U119" s="1222"/>
    </row>
    <row r="120" spans="1:21" x14ac:dyDescent="0.25">
      <c r="A120" s="1196" t="s">
        <v>1391</v>
      </c>
      <c r="B120" s="1197"/>
      <c r="C120" s="1198" t="s">
        <v>1392</v>
      </c>
      <c r="D120" s="1199">
        <v>280</v>
      </c>
      <c r="E120" s="1188">
        <v>280</v>
      </c>
      <c r="F120" s="1189"/>
      <c r="G120" s="1189"/>
      <c r="H120" s="1189">
        <f t="shared" si="36"/>
        <v>280</v>
      </c>
      <c r="I120" s="1189">
        <f t="shared" si="36"/>
        <v>280</v>
      </c>
      <c r="J120" s="1189"/>
      <c r="K120" s="1189"/>
      <c r="L120" s="1189"/>
      <c r="M120" s="1189">
        <v>0</v>
      </c>
      <c r="N120" s="1189">
        <v>0</v>
      </c>
      <c r="O120" s="1194">
        <f t="shared" si="41"/>
        <v>280</v>
      </c>
      <c r="Q120" s="1222"/>
      <c r="R120" s="1222"/>
      <c r="S120" s="1222"/>
      <c r="T120" s="1222"/>
      <c r="U120" s="1222"/>
    </row>
    <row r="121" spans="1:21" ht="15.75" thickBot="1" x14ac:dyDescent="0.3">
      <c r="A121" s="1195" t="s">
        <v>1393</v>
      </c>
      <c r="B121" s="1192"/>
      <c r="C121" s="1220" t="s">
        <v>1413</v>
      </c>
      <c r="D121" s="1180">
        <v>449</v>
      </c>
      <c r="E121" s="1170">
        <v>449</v>
      </c>
      <c r="F121" s="1189"/>
      <c r="G121" s="1189"/>
      <c r="H121" s="1189">
        <f t="shared" si="36"/>
        <v>449</v>
      </c>
      <c r="I121" s="1189">
        <f t="shared" si="36"/>
        <v>449</v>
      </c>
      <c r="J121" s="1189"/>
      <c r="K121" s="1189"/>
      <c r="L121" s="1189"/>
      <c r="M121" s="1189">
        <v>0</v>
      </c>
      <c r="N121" s="1189">
        <v>0</v>
      </c>
      <c r="O121" s="1194">
        <f>I121+N121</f>
        <v>449</v>
      </c>
      <c r="Q121" s="1222"/>
      <c r="R121" s="1222"/>
      <c r="S121" s="1222"/>
      <c r="T121" s="1222"/>
      <c r="U121" s="1222"/>
    </row>
    <row r="122" spans="1:21" ht="15.75" hidden="1" thickBot="1" x14ac:dyDescent="0.3">
      <c r="A122" s="1200"/>
      <c r="B122" s="1201"/>
      <c r="C122" s="1202"/>
      <c r="D122" s="1203"/>
      <c r="E122" s="1204"/>
      <c r="F122" s="1189"/>
      <c r="G122" s="1189"/>
      <c r="H122" s="1189">
        <f>D122+F122</f>
        <v>0</v>
      </c>
      <c r="I122" s="1189">
        <f>E122+G122</f>
        <v>0</v>
      </c>
      <c r="J122" s="1189"/>
      <c r="K122" s="1189"/>
      <c r="L122" s="1189"/>
      <c r="M122" s="929">
        <v>0</v>
      </c>
      <c r="N122" s="1189">
        <v>0</v>
      </c>
      <c r="O122" s="1194">
        <f>I122+N122</f>
        <v>0</v>
      </c>
      <c r="Q122" s="1222"/>
      <c r="R122" s="1222"/>
      <c r="S122" s="1222"/>
      <c r="T122" s="1222"/>
      <c r="U122" s="1222"/>
    </row>
    <row r="123" spans="1:21" ht="15.75" thickBot="1" x14ac:dyDescent="0.3">
      <c r="A123" s="1205">
        <f>A117+1</f>
        <v>29</v>
      </c>
      <c r="B123" s="1206" t="s">
        <v>738</v>
      </c>
      <c r="C123" s="1207"/>
      <c r="D123" s="1208">
        <f t="shared" ref="D123:O123" si="42">D54+D70+D91+D106</f>
        <v>316652</v>
      </c>
      <c r="E123" s="1209">
        <f t="shared" si="42"/>
        <v>316601</v>
      </c>
      <c r="F123" s="1209">
        <f t="shared" si="42"/>
        <v>1942</v>
      </c>
      <c r="G123" s="1209">
        <f t="shared" si="42"/>
        <v>1942</v>
      </c>
      <c r="H123" s="1209">
        <f t="shared" si="42"/>
        <v>318594</v>
      </c>
      <c r="I123" s="1209">
        <f t="shared" si="42"/>
        <v>318543</v>
      </c>
      <c r="J123" s="1209">
        <f t="shared" si="42"/>
        <v>0</v>
      </c>
      <c r="K123" s="1209">
        <f t="shared" si="42"/>
        <v>10559</v>
      </c>
      <c r="L123" s="1209">
        <f t="shared" si="42"/>
        <v>2</v>
      </c>
      <c r="M123" s="1209">
        <f t="shared" si="42"/>
        <v>51</v>
      </c>
      <c r="N123" s="1209">
        <f t="shared" si="42"/>
        <v>0</v>
      </c>
      <c r="O123" s="1210">
        <f t="shared" si="42"/>
        <v>318543</v>
      </c>
      <c r="Q123" s="1222"/>
      <c r="R123" s="1222"/>
      <c r="S123" s="1222"/>
      <c r="T123" s="1222"/>
      <c r="U123" s="1222"/>
    </row>
    <row r="124" spans="1:21" x14ac:dyDescent="0.25">
      <c r="D124" s="1221"/>
      <c r="E124" s="1221"/>
      <c r="Q124" s="1222"/>
      <c r="R124" s="1222"/>
      <c r="S124" s="1222"/>
      <c r="T124" s="1222"/>
      <c r="U124" s="1222"/>
    </row>
    <row r="125" spans="1:21" x14ac:dyDescent="0.25">
      <c r="A125" s="1467" t="s">
        <v>1711</v>
      </c>
      <c r="B125" s="1211"/>
      <c r="C125" s="1211"/>
      <c r="D125" s="1211"/>
      <c r="Q125" s="1222"/>
      <c r="R125" s="1222"/>
      <c r="S125" s="1222"/>
      <c r="T125" s="1222"/>
      <c r="U125" s="1222"/>
    </row>
    <row r="126" spans="1:21" x14ac:dyDescent="0.25">
      <c r="A126" s="1467" t="s">
        <v>1914</v>
      </c>
      <c r="B126" s="1211"/>
      <c r="C126" s="1211"/>
      <c r="D126" s="1211"/>
      <c r="Q126" s="1222"/>
      <c r="R126" s="1222"/>
      <c r="S126" s="1222"/>
      <c r="T126" s="1222"/>
      <c r="U126" s="1222"/>
    </row>
    <row r="127" spans="1:21" ht="30" customHeight="1" x14ac:dyDescent="0.25">
      <c r="A127" s="1127" t="s">
        <v>638</v>
      </c>
      <c r="Q127" s="1222"/>
      <c r="R127" s="1222"/>
      <c r="S127" s="1222"/>
      <c r="T127" s="1222"/>
      <c r="U127" s="1222"/>
    </row>
    <row r="128" spans="1:21" ht="50.1" customHeight="1" x14ac:dyDescent="0.25">
      <c r="A128" s="2548" t="s">
        <v>823</v>
      </c>
      <c r="B128" s="2548"/>
      <c r="C128" s="2548"/>
      <c r="D128" s="2548"/>
      <c r="E128" s="2548"/>
      <c r="F128" s="2548"/>
      <c r="G128" s="2548"/>
      <c r="H128" s="2548"/>
      <c r="I128" s="2548"/>
      <c r="J128" s="2548"/>
      <c r="K128" s="2548"/>
      <c r="L128" s="2548"/>
      <c r="M128" s="2548"/>
      <c r="N128" s="2548"/>
      <c r="O128" s="2548"/>
      <c r="Q128" s="1222"/>
      <c r="R128" s="1222"/>
      <c r="S128" s="1222"/>
      <c r="T128" s="1222"/>
      <c r="U128" s="1222"/>
    </row>
    <row r="129" spans="1:21" ht="30" customHeight="1" x14ac:dyDescent="0.25">
      <c r="A129" s="2548" t="s">
        <v>919</v>
      </c>
      <c r="B129" s="2548"/>
      <c r="C129" s="2548"/>
      <c r="D129" s="2548"/>
      <c r="E129" s="2548"/>
      <c r="F129" s="2548"/>
      <c r="G129" s="2548"/>
      <c r="H129" s="2548"/>
      <c r="I129" s="2548"/>
      <c r="J129" s="2548"/>
      <c r="K129" s="2548"/>
      <c r="L129" s="2548"/>
      <c r="M129" s="2548"/>
      <c r="N129" s="2548"/>
      <c r="O129" s="2548"/>
      <c r="Q129" s="1222"/>
      <c r="R129" s="1222"/>
      <c r="S129" s="1222"/>
      <c r="T129" s="1222"/>
      <c r="U129" s="1222"/>
    </row>
    <row r="130" spans="1:21" ht="30" customHeight="1" x14ac:dyDescent="0.25">
      <c r="A130" s="2548" t="s">
        <v>867</v>
      </c>
      <c r="B130" s="2548"/>
      <c r="C130" s="2548"/>
      <c r="D130" s="2548"/>
      <c r="E130" s="2548"/>
      <c r="F130" s="2548"/>
      <c r="G130" s="2548"/>
      <c r="H130" s="2548"/>
      <c r="I130" s="2548"/>
      <c r="J130" s="2548"/>
      <c r="K130" s="2548"/>
      <c r="L130" s="2548"/>
      <c r="M130" s="2548"/>
      <c r="N130" s="2548"/>
      <c r="O130" s="2548"/>
      <c r="Q130" s="1222"/>
      <c r="R130" s="1222"/>
      <c r="S130" s="1222"/>
      <c r="T130" s="1222"/>
      <c r="U130" s="1222"/>
    </row>
    <row r="131" spans="1:21" ht="30" customHeight="1" x14ac:dyDescent="0.25">
      <c r="A131" s="2548" t="s">
        <v>1102</v>
      </c>
      <c r="B131" s="2548"/>
      <c r="C131" s="2548"/>
      <c r="D131" s="2548"/>
      <c r="E131" s="2548"/>
      <c r="F131" s="2548"/>
      <c r="G131" s="2548"/>
      <c r="H131" s="2548"/>
      <c r="I131" s="2548"/>
      <c r="J131" s="2548"/>
      <c r="K131" s="2548"/>
      <c r="L131" s="2548"/>
      <c r="M131" s="2548"/>
      <c r="N131" s="2548"/>
      <c r="O131" s="2548"/>
      <c r="Q131" s="1222"/>
      <c r="R131" s="1222"/>
      <c r="S131" s="1222"/>
      <c r="T131" s="1222"/>
      <c r="U131" s="1222"/>
    </row>
    <row r="132" spans="1:21" ht="30" customHeight="1" x14ac:dyDescent="0.25">
      <c r="A132" s="2548" t="s">
        <v>1104</v>
      </c>
      <c r="B132" s="2548"/>
      <c r="C132" s="2548"/>
      <c r="D132" s="2548"/>
      <c r="E132" s="2548"/>
      <c r="F132" s="2548"/>
      <c r="G132" s="2548"/>
      <c r="H132" s="2548"/>
      <c r="I132" s="2548"/>
      <c r="J132" s="2548"/>
      <c r="K132" s="2548"/>
      <c r="L132" s="2548"/>
      <c r="M132" s="2548"/>
      <c r="N132" s="2548"/>
      <c r="O132" s="2548"/>
      <c r="Q132" s="1222"/>
      <c r="R132" s="1222"/>
      <c r="S132" s="1222"/>
      <c r="T132" s="1222"/>
      <c r="U132" s="1222"/>
    </row>
    <row r="133" spans="1:21" x14ac:dyDescent="0.25">
      <c r="Q133" s="1222"/>
      <c r="R133" s="1222"/>
      <c r="S133" s="1222"/>
      <c r="T133" s="1222"/>
      <c r="U133" s="1222"/>
    </row>
    <row r="134" spans="1:21" ht="15.75" x14ac:dyDescent="0.25">
      <c r="M134" s="1128" t="s">
        <v>1325</v>
      </c>
      <c r="N134" s="1129"/>
      <c r="O134" s="1130"/>
      <c r="Q134" s="1222"/>
      <c r="R134" s="1222"/>
      <c r="S134" s="1222"/>
      <c r="T134" s="1222"/>
      <c r="U134" s="1222"/>
    </row>
    <row r="135" spans="1:21" x14ac:dyDescent="0.25">
      <c r="M135" s="1131" t="s">
        <v>1327</v>
      </c>
      <c r="N135" s="1131"/>
      <c r="O135" s="1132"/>
      <c r="Q135" s="1222"/>
      <c r="R135" s="1222"/>
      <c r="S135" s="1222"/>
      <c r="T135" s="1222"/>
      <c r="U135" s="1222"/>
    </row>
    <row r="136" spans="1:21" x14ac:dyDescent="0.25">
      <c r="M136" s="1131" t="s">
        <v>1328</v>
      </c>
      <c r="N136" s="1131"/>
      <c r="O136" s="1132"/>
    </row>
    <row r="137" spans="1:21" x14ac:dyDescent="0.25">
      <c r="M137" s="1134" t="s">
        <v>1329</v>
      </c>
    </row>
  </sheetData>
  <customSheetViews>
    <customSheetView guid="{2AF6EA2A-E5C5-45EB-B6C4-875AD1E4E056}" scale="89">
      <pageMargins left="0.19685039370078741" right="0.19685039370078741" top="0.59055118110236227" bottom="0.59055118110236227" header="0.31496062992125984" footer="0.31496062992125984"/>
      <printOptions horizontalCentered="1"/>
      <pageSetup paperSize="9" scale="71" orientation="landscape" r:id="rId1"/>
    </customSheetView>
  </customSheetViews>
  <mergeCells count="50">
    <mergeCell ref="A130:O130"/>
    <mergeCell ref="A131:O131"/>
    <mergeCell ref="A132:O132"/>
    <mergeCell ref="B107:C107"/>
    <mergeCell ref="B109:C109"/>
    <mergeCell ref="B117:C117"/>
    <mergeCell ref="A128:O128"/>
    <mergeCell ref="A129:O129"/>
    <mergeCell ref="B91:C91"/>
    <mergeCell ref="B92:C92"/>
    <mergeCell ref="B102:C102"/>
    <mergeCell ref="B104:C104"/>
    <mergeCell ref="B106:C106"/>
    <mergeCell ref="B63:C63"/>
    <mergeCell ref="B70:C70"/>
    <mergeCell ref="B71:C71"/>
    <mergeCell ref="B82:C82"/>
    <mergeCell ref="B84:C84"/>
    <mergeCell ref="J51:L51"/>
    <mergeCell ref="M51:M52"/>
    <mergeCell ref="N51:N52"/>
    <mergeCell ref="O51:O52"/>
    <mergeCell ref="B55:C55"/>
    <mergeCell ref="A51:A53"/>
    <mergeCell ref="B51:C53"/>
    <mergeCell ref="D51:E51"/>
    <mergeCell ref="F51:G51"/>
    <mergeCell ref="H51:I51"/>
    <mergeCell ref="A41:O41"/>
    <mergeCell ref="B26:C26"/>
    <mergeCell ref="B5:C7"/>
    <mergeCell ref="B29:C29"/>
    <mergeCell ref="D5:E5"/>
    <mergeCell ref="A38:O38"/>
    <mergeCell ref="A42:O42"/>
    <mergeCell ref="B27:C27"/>
    <mergeCell ref="B30:C30"/>
    <mergeCell ref="B33:C33"/>
    <mergeCell ref="A5:A7"/>
    <mergeCell ref="B9:C9"/>
    <mergeCell ref="B32:C32"/>
    <mergeCell ref="F5:G5"/>
    <mergeCell ref="A40:O40"/>
    <mergeCell ref="H5:I5"/>
    <mergeCell ref="B18:C18"/>
    <mergeCell ref="J5:L5"/>
    <mergeCell ref="O5:O6"/>
    <mergeCell ref="N5:N6"/>
    <mergeCell ref="M5:M6"/>
    <mergeCell ref="A39:O39"/>
  </mergeCells>
  <printOptions horizontalCentered="1" verticalCentered="1"/>
  <pageMargins left="0" right="0" top="0" bottom="0" header="0" footer="0"/>
  <pageSetup paperSize="9" scale="49" orientation="portrait" r:id="rId2"/>
  <ignoredErrors>
    <ignoredError sqref="A11 A14 A2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O108"/>
  <sheetViews>
    <sheetView zoomScale="89" zoomScaleNormal="89" workbookViewId="0">
      <selection activeCell="A52" sqref="A52"/>
    </sheetView>
  </sheetViews>
  <sheetFormatPr defaultRowHeight="15" x14ac:dyDescent="0.25"/>
  <cols>
    <col min="1" max="1" width="5" style="493" customWidth="1"/>
    <col min="2" max="2" width="45.85546875" style="493" customWidth="1"/>
    <col min="3" max="3" width="12.7109375" style="493" customWidth="1"/>
    <col min="4" max="4" width="11.5703125" style="493" customWidth="1"/>
    <col min="5" max="5" width="11.28515625" style="493" customWidth="1"/>
    <col min="6" max="6" width="11.5703125" style="493" customWidth="1"/>
    <col min="7" max="7" width="10.85546875" style="493" customWidth="1"/>
    <col min="8" max="9" width="10.42578125" style="493" customWidth="1"/>
    <col min="10" max="10" width="12.5703125" style="493" customWidth="1"/>
    <col min="11" max="11" width="10.5703125" style="493" customWidth="1"/>
    <col min="12" max="12" width="10.7109375" style="493" customWidth="1"/>
    <col min="13" max="13" width="10.7109375" style="496" customWidth="1"/>
    <col min="14" max="14" width="11" style="493" customWidth="1"/>
    <col min="15" max="15" width="10.85546875" style="493" customWidth="1"/>
    <col min="16" max="242" width="9.140625" style="493"/>
    <col min="243" max="243" width="59.7109375" style="493" customWidth="1"/>
    <col min="244" max="250" width="10.5703125" style="493" customWidth="1"/>
    <col min="251" max="16384" width="9.140625" style="493"/>
  </cols>
  <sheetData>
    <row r="2" spans="1:15" ht="15.75" hidden="1" x14ac:dyDescent="0.25">
      <c r="A2" s="178" t="s">
        <v>1145</v>
      </c>
    </row>
    <row r="3" spans="1:15" ht="15.75" hidden="1" x14ac:dyDescent="0.25">
      <c r="A3" s="178"/>
      <c r="B3" s="177" t="s">
        <v>916</v>
      </c>
    </row>
    <row r="4" spans="1:15" ht="13.5" hidden="1" customHeight="1" thickBot="1" x14ac:dyDescent="0.3">
      <c r="B4" s="491"/>
      <c r="O4" s="497" t="s">
        <v>499</v>
      </c>
    </row>
    <row r="5" spans="1:15" s="177" customFormat="1" ht="38.25" hidden="1" customHeight="1" x14ac:dyDescent="0.25">
      <c r="A5" s="2608" t="s">
        <v>479</v>
      </c>
      <c r="B5" s="2611" t="s">
        <v>790</v>
      </c>
      <c r="C5" s="2614" t="s">
        <v>721</v>
      </c>
      <c r="D5" s="2615"/>
      <c r="E5" s="2615" t="s">
        <v>722</v>
      </c>
      <c r="F5" s="2615"/>
      <c r="G5" s="2601" t="s">
        <v>723</v>
      </c>
      <c r="H5" s="2602"/>
      <c r="I5" s="2603" t="s">
        <v>825</v>
      </c>
      <c r="J5" s="2603" t="s">
        <v>1106</v>
      </c>
      <c r="K5" s="2599" t="s">
        <v>906</v>
      </c>
      <c r="L5" s="2616" t="s">
        <v>780</v>
      </c>
      <c r="M5" s="431"/>
      <c r="N5" s="2618" t="s">
        <v>918</v>
      </c>
      <c r="O5" s="2605" t="s">
        <v>724</v>
      </c>
    </row>
    <row r="6" spans="1:15" s="177" customFormat="1" ht="13.5" hidden="1" customHeight="1" x14ac:dyDescent="0.25">
      <c r="A6" s="2609"/>
      <c r="B6" s="2612"/>
      <c r="C6" s="432" t="s">
        <v>791</v>
      </c>
      <c r="D6" s="433" t="s">
        <v>792</v>
      </c>
      <c r="E6" s="432" t="s">
        <v>640</v>
      </c>
      <c r="F6" s="433" t="s">
        <v>645</v>
      </c>
      <c r="G6" s="433" t="s">
        <v>640</v>
      </c>
      <c r="H6" s="525" t="s">
        <v>645</v>
      </c>
      <c r="I6" s="2604"/>
      <c r="J6" s="2604"/>
      <c r="K6" s="2600"/>
      <c r="L6" s="2617"/>
      <c r="M6" s="431"/>
      <c r="N6" s="2619"/>
      <c r="O6" s="2606"/>
    </row>
    <row r="7" spans="1:15" s="177" customFormat="1" ht="15" hidden="1" customHeight="1" thickBot="1" x14ac:dyDescent="0.3">
      <c r="A7" s="2610"/>
      <c r="B7" s="2613"/>
      <c r="C7" s="434" t="s">
        <v>558</v>
      </c>
      <c r="D7" s="435" t="s">
        <v>559</v>
      </c>
      <c r="E7" s="435" t="s">
        <v>560</v>
      </c>
      <c r="F7" s="435" t="s">
        <v>561</v>
      </c>
      <c r="G7" s="435" t="s">
        <v>642</v>
      </c>
      <c r="H7" s="526" t="s">
        <v>643</v>
      </c>
      <c r="I7" s="550" t="s">
        <v>787</v>
      </c>
      <c r="J7" s="550" t="s">
        <v>798</v>
      </c>
      <c r="K7" s="524" t="s">
        <v>564</v>
      </c>
      <c r="L7" s="436" t="s">
        <v>726</v>
      </c>
      <c r="M7" s="431"/>
      <c r="N7" s="549" t="s">
        <v>566</v>
      </c>
      <c r="O7" s="436" t="s">
        <v>794</v>
      </c>
    </row>
    <row r="8" spans="1:15" s="179" customFormat="1" ht="15" hidden="1" customHeight="1" x14ac:dyDescent="0.25">
      <c r="A8" s="498">
        <v>1</v>
      </c>
      <c r="B8" s="530" t="s">
        <v>644</v>
      </c>
      <c r="C8" s="613">
        <f>+C9+C14</f>
        <v>0</v>
      </c>
      <c r="D8" s="613">
        <f t="shared" ref="D8:O8" si="0">+D9+D14</f>
        <v>0</v>
      </c>
      <c r="E8" s="613">
        <f t="shared" si="0"/>
        <v>0</v>
      </c>
      <c r="F8" s="613">
        <f t="shared" si="0"/>
        <v>0</v>
      </c>
      <c r="G8" s="613">
        <f t="shared" si="0"/>
        <v>0</v>
      </c>
      <c r="H8" s="628">
        <f t="shared" si="0"/>
        <v>0</v>
      </c>
      <c r="I8" s="629">
        <f t="shared" si="0"/>
        <v>0</v>
      </c>
      <c r="J8" s="629">
        <f t="shared" si="0"/>
        <v>0</v>
      </c>
      <c r="K8" s="657">
        <f t="shared" si="0"/>
        <v>0</v>
      </c>
      <c r="L8" s="614">
        <f t="shared" si="0"/>
        <v>0</v>
      </c>
      <c r="M8" s="630"/>
      <c r="N8" s="615">
        <f t="shared" si="0"/>
        <v>0</v>
      </c>
      <c r="O8" s="613">
        <f t="shared" si="0"/>
        <v>0</v>
      </c>
    </row>
    <row r="9" spans="1:15" s="179" customFormat="1" ht="13.5" hidden="1" customHeight="1" x14ac:dyDescent="0.25">
      <c r="A9" s="563">
        <f>A8+1</f>
        <v>2</v>
      </c>
      <c r="B9" s="527" t="s">
        <v>881</v>
      </c>
      <c r="C9" s="616">
        <f>SUM(C10:C13)</f>
        <v>0</v>
      </c>
      <c r="D9" s="616">
        <f t="shared" ref="D9:O9" si="1">SUM(D10:D13)</f>
        <v>0</v>
      </c>
      <c r="E9" s="616">
        <f t="shared" si="1"/>
        <v>0</v>
      </c>
      <c r="F9" s="616">
        <f t="shared" si="1"/>
        <v>0</v>
      </c>
      <c r="G9" s="616">
        <f t="shared" si="1"/>
        <v>0</v>
      </c>
      <c r="H9" s="631">
        <f t="shared" si="1"/>
        <v>0</v>
      </c>
      <c r="I9" s="632">
        <f t="shared" si="1"/>
        <v>0</v>
      </c>
      <c r="J9" s="635">
        <f t="shared" si="1"/>
        <v>0</v>
      </c>
      <c r="K9" s="658">
        <f t="shared" si="1"/>
        <v>0</v>
      </c>
      <c r="L9" s="617">
        <f t="shared" si="1"/>
        <v>0</v>
      </c>
      <c r="M9" s="630"/>
      <c r="N9" s="618">
        <f t="shared" si="1"/>
        <v>0</v>
      </c>
      <c r="O9" s="617">
        <f t="shared" si="1"/>
        <v>0</v>
      </c>
    </row>
    <row r="10" spans="1:15" s="177" customFormat="1" ht="12.75" hidden="1" customHeight="1" x14ac:dyDescent="0.25">
      <c r="A10" s="500">
        <f>A9+1</f>
        <v>3</v>
      </c>
      <c r="B10" s="528" t="s">
        <v>908</v>
      </c>
      <c r="C10" s="619"/>
      <c r="D10" s="619"/>
      <c r="E10" s="619"/>
      <c r="F10" s="619"/>
      <c r="G10" s="619">
        <f t="shared" ref="G10:H13" si="2">+C10+E10</f>
        <v>0</v>
      </c>
      <c r="H10" s="633">
        <f t="shared" si="2"/>
        <v>0</v>
      </c>
      <c r="I10" s="634"/>
      <c r="J10" s="662"/>
      <c r="K10" s="659"/>
      <c r="L10" s="620">
        <f>+G10-H10</f>
        <v>0</v>
      </c>
      <c r="M10" s="630"/>
      <c r="N10" s="621"/>
      <c r="O10" s="620">
        <f>H10+N10</f>
        <v>0</v>
      </c>
    </row>
    <row r="11" spans="1:15" s="177" customFormat="1" ht="12.75" hidden="1" customHeight="1" x14ac:dyDescent="0.25">
      <c r="A11" s="500">
        <f t="shared" ref="A11:A38" si="3">+A10+1</f>
        <v>4</v>
      </c>
      <c r="B11" s="528" t="s">
        <v>890</v>
      </c>
      <c r="C11" s="619"/>
      <c r="D11" s="619"/>
      <c r="E11" s="619"/>
      <c r="F11" s="619"/>
      <c r="G11" s="619">
        <f t="shared" si="2"/>
        <v>0</v>
      </c>
      <c r="H11" s="633">
        <f t="shared" si="2"/>
        <v>0</v>
      </c>
      <c r="I11" s="634"/>
      <c r="J11" s="662"/>
      <c r="K11" s="659"/>
      <c r="L11" s="620">
        <f>+G11-H11</f>
        <v>0</v>
      </c>
      <c r="M11" s="630"/>
      <c r="N11" s="621"/>
      <c r="O11" s="620">
        <f>H11+N11</f>
        <v>0</v>
      </c>
    </row>
    <row r="12" spans="1:15" s="177" customFormat="1" ht="12.75" hidden="1" customHeight="1" x14ac:dyDescent="0.25">
      <c r="A12" s="500">
        <f t="shared" si="3"/>
        <v>5</v>
      </c>
      <c r="B12" s="528" t="s">
        <v>882</v>
      </c>
      <c r="C12" s="619"/>
      <c r="D12" s="619"/>
      <c r="E12" s="619"/>
      <c r="F12" s="619"/>
      <c r="G12" s="619">
        <f t="shared" si="2"/>
        <v>0</v>
      </c>
      <c r="H12" s="633">
        <f t="shared" si="2"/>
        <v>0</v>
      </c>
      <c r="I12" s="634"/>
      <c r="J12" s="662"/>
      <c r="K12" s="659"/>
      <c r="L12" s="620">
        <f>+G12-H12</f>
        <v>0</v>
      </c>
      <c r="M12" s="630"/>
      <c r="N12" s="621"/>
      <c r="O12" s="620">
        <f>H12+N12</f>
        <v>0</v>
      </c>
    </row>
    <row r="13" spans="1:15" s="177" customFormat="1" ht="12.75" hidden="1" customHeight="1" x14ac:dyDescent="0.25">
      <c r="A13" s="500">
        <f t="shared" si="3"/>
        <v>6</v>
      </c>
      <c r="B13" s="529" t="s">
        <v>795</v>
      </c>
      <c r="C13" s="619"/>
      <c r="D13" s="619"/>
      <c r="E13" s="619"/>
      <c r="F13" s="619"/>
      <c r="G13" s="619">
        <f t="shared" si="2"/>
        <v>0</v>
      </c>
      <c r="H13" s="633">
        <f t="shared" si="2"/>
        <v>0</v>
      </c>
      <c r="I13" s="634"/>
      <c r="J13" s="662"/>
      <c r="K13" s="659"/>
      <c r="L13" s="620">
        <f>+G13-H13</f>
        <v>0</v>
      </c>
      <c r="M13" s="630"/>
      <c r="N13" s="621"/>
      <c r="O13" s="620">
        <f>H13+N13</f>
        <v>0</v>
      </c>
    </row>
    <row r="14" spans="1:15" s="179" customFormat="1" ht="13.5" hidden="1" customHeight="1" x14ac:dyDescent="0.25">
      <c r="A14" s="563">
        <f t="shared" si="3"/>
        <v>7</v>
      </c>
      <c r="B14" s="527" t="s">
        <v>914</v>
      </c>
      <c r="C14" s="616"/>
      <c r="D14" s="616"/>
      <c r="E14" s="616"/>
      <c r="F14" s="616"/>
      <c r="G14" s="616"/>
      <c r="H14" s="631"/>
      <c r="I14" s="635"/>
      <c r="J14" s="635"/>
      <c r="K14" s="658"/>
      <c r="L14" s="617"/>
      <c r="M14" s="630"/>
      <c r="N14" s="618"/>
      <c r="O14" s="617"/>
    </row>
    <row r="15" spans="1:15" s="179" customFormat="1" ht="13.5" hidden="1" customHeight="1" x14ac:dyDescent="0.25">
      <c r="A15" s="518">
        <f>A14+1</f>
        <v>8</v>
      </c>
      <c r="B15" s="531" t="s">
        <v>907</v>
      </c>
      <c r="C15" s="636"/>
      <c r="D15" s="637"/>
      <c r="E15" s="637"/>
      <c r="F15" s="637"/>
      <c r="G15" s="619">
        <f>+C15+E15</f>
        <v>0</v>
      </c>
      <c r="H15" s="633">
        <f>+D15+F15</f>
        <v>0</v>
      </c>
      <c r="I15" s="634"/>
      <c r="J15" s="644"/>
      <c r="K15" s="636"/>
      <c r="L15" s="620">
        <f>+G15-H15</f>
        <v>0</v>
      </c>
      <c r="M15" s="638"/>
      <c r="N15" s="639"/>
      <c r="O15" s="620">
        <f>H15+N15</f>
        <v>0</v>
      </c>
    </row>
    <row r="16" spans="1:15" s="179" customFormat="1" ht="13.5" hidden="1" customHeight="1" x14ac:dyDescent="0.25">
      <c r="A16" s="500">
        <f t="shared" si="3"/>
        <v>9</v>
      </c>
      <c r="B16" s="529" t="s">
        <v>795</v>
      </c>
      <c r="C16" s="640"/>
      <c r="D16" s="641"/>
      <c r="E16" s="641"/>
      <c r="F16" s="641"/>
      <c r="G16" s="619">
        <f>+C16+E16</f>
        <v>0</v>
      </c>
      <c r="H16" s="633">
        <f>+D16+F16</f>
        <v>0</v>
      </c>
      <c r="I16" s="642"/>
      <c r="J16" s="642"/>
      <c r="K16" s="640"/>
      <c r="L16" s="620">
        <f>+G16-H16</f>
        <v>0</v>
      </c>
      <c r="M16" s="630"/>
      <c r="N16" s="643"/>
      <c r="O16" s="620">
        <f t="shared" ref="O16:O37" si="4">H16+N16</f>
        <v>0</v>
      </c>
    </row>
    <row r="17" spans="1:15" s="179" customFormat="1" ht="12.75" hidden="1" customHeight="1" x14ac:dyDescent="0.25">
      <c r="A17" s="518">
        <f>A16+1</f>
        <v>10</v>
      </c>
      <c r="B17" s="531" t="s">
        <v>883</v>
      </c>
      <c r="C17" s="636"/>
      <c r="D17" s="637"/>
      <c r="E17" s="637"/>
      <c r="F17" s="637"/>
      <c r="G17" s="619">
        <f t="shared" ref="G17:G24" si="5">+C17+E17</f>
        <v>0</v>
      </c>
      <c r="H17" s="633">
        <f t="shared" ref="H17:H24" si="6">+D17+F17</f>
        <v>0</v>
      </c>
      <c r="I17" s="634"/>
      <c r="J17" s="644"/>
      <c r="K17" s="636"/>
      <c r="L17" s="620">
        <f t="shared" ref="L17:L24" si="7">+G17-H17</f>
        <v>0</v>
      </c>
      <c r="M17" s="638"/>
      <c r="N17" s="639"/>
      <c r="O17" s="620">
        <f t="shared" si="4"/>
        <v>0</v>
      </c>
    </row>
    <row r="18" spans="1:15" s="177" customFormat="1" ht="12.75" hidden="1" customHeight="1" x14ac:dyDescent="0.25">
      <c r="A18" s="500">
        <f t="shared" si="3"/>
        <v>11</v>
      </c>
      <c r="B18" s="529" t="s">
        <v>795</v>
      </c>
      <c r="C18" s="640"/>
      <c r="D18" s="641"/>
      <c r="E18" s="641"/>
      <c r="F18" s="641"/>
      <c r="G18" s="619">
        <f t="shared" si="5"/>
        <v>0</v>
      </c>
      <c r="H18" s="633">
        <f t="shared" si="6"/>
        <v>0</v>
      </c>
      <c r="I18" s="642"/>
      <c r="J18" s="642"/>
      <c r="K18" s="640"/>
      <c r="L18" s="620">
        <f t="shared" si="7"/>
        <v>0</v>
      </c>
      <c r="M18" s="630"/>
      <c r="N18" s="643"/>
      <c r="O18" s="620">
        <f t="shared" si="4"/>
        <v>0</v>
      </c>
    </row>
    <row r="19" spans="1:15" s="179" customFormat="1" ht="12.75" hidden="1" customHeight="1" x14ac:dyDescent="0.25">
      <c r="A19" s="518">
        <f t="shared" si="3"/>
        <v>12</v>
      </c>
      <c r="B19" s="531" t="s">
        <v>884</v>
      </c>
      <c r="C19" s="636"/>
      <c r="D19" s="637"/>
      <c r="E19" s="637"/>
      <c r="F19" s="637"/>
      <c r="G19" s="619">
        <f t="shared" si="5"/>
        <v>0</v>
      </c>
      <c r="H19" s="633">
        <f t="shared" si="6"/>
        <v>0</v>
      </c>
      <c r="I19" s="644"/>
      <c r="J19" s="644"/>
      <c r="K19" s="636"/>
      <c r="L19" s="620">
        <f t="shared" si="7"/>
        <v>0</v>
      </c>
      <c r="M19" s="638"/>
      <c r="N19" s="639"/>
      <c r="O19" s="620">
        <f t="shared" si="4"/>
        <v>0</v>
      </c>
    </row>
    <row r="20" spans="1:15" s="177" customFormat="1" ht="12.75" hidden="1" customHeight="1" x14ac:dyDescent="0.25">
      <c r="A20" s="500">
        <f t="shared" si="3"/>
        <v>13</v>
      </c>
      <c r="B20" s="529" t="s">
        <v>795</v>
      </c>
      <c r="C20" s="640"/>
      <c r="D20" s="641"/>
      <c r="E20" s="641"/>
      <c r="F20" s="641"/>
      <c r="G20" s="619">
        <f t="shared" si="5"/>
        <v>0</v>
      </c>
      <c r="H20" s="633">
        <f t="shared" si="6"/>
        <v>0</v>
      </c>
      <c r="I20" s="642"/>
      <c r="J20" s="642"/>
      <c r="K20" s="640"/>
      <c r="L20" s="620">
        <f t="shared" si="7"/>
        <v>0</v>
      </c>
      <c r="M20" s="630"/>
      <c r="N20" s="643"/>
      <c r="O20" s="620">
        <f t="shared" si="4"/>
        <v>0</v>
      </c>
    </row>
    <row r="21" spans="1:15" s="179" customFormat="1" ht="12.75" hidden="1" customHeight="1" x14ac:dyDescent="0.25">
      <c r="A21" s="518">
        <f>A20+1</f>
        <v>14</v>
      </c>
      <c r="B21" s="531" t="s">
        <v>885</v>
      </c>
      <c r="C21" s="636"/>
      <c r="D21" s="637"/>
      <c r="E21" s="637"/>
      <c r="F21" s="637"/>
      <c r="G21" s="619">
        <f t="shared" si="5"/>
        <v>0</v>
      </c>
      <c r="H21" s="633">
        <f t="shared" si="6"/>
        <v>0</v>
      </c>
      <c r="I21" s="644"/>
      <c r="J21" s="644"/>
      <c r="K21" s="636"/>
      <c r="L21" s="620">
        <f t="shared" si="7"/>
        <v>0</v>
      </c>
      <c r="M21" s="638"/>
      <c r="N21" s="639"/>
      <c r="O21" s="620">
        <f t="shared" si="4"/>
        <v>0</v>
      </c>
    </row>
    <row r="22" spans="1:15" s="179" customFormat="1" ht="12.75" hidden="1" customHeight="1" x14ac:dyDescent="0.25">
      <c r="A22" s="518">
        <f t="shared" si="3"/>
        <v>15</v>
      </c>
      <c r="B22" s="532" t="s">
        <v>886</v>
      </c>
      <c r="C22" s="636"/>
      <c r="D22" s="637"/>
      <c r="E22" s="637"/>
      <c r="F22" s="637"/>
      <c r="G22" s="619">
        <f t="shared" si="5"/>
        <v>0</v>
      </c>
      <c r="H22" s="633">
        <f t="shared" si="6"/>
        <v>0</v>
      </c>
      <c r="I22" s="644"/>
      <c r="J22" s="644"/>
      <c r="K22" s="636"/>
      <c r="L22" s="620">
        <f t="shared" si="7"/>
        <v>0</v>
      </c>
      <c r="M22" s="638"/>
      <c r="N22" s="639"/>
      <c r="O22" s="620">
        <f t="shared" si="4"/>
        <v>0</v>
      </c>
    </row>
    <row r="23" spans="1:15" s="177" customFormat="1" ht="12.75" hidden="1" customHeight="1" x14ac:dyDescent="0.25">
      <c r="A23" s="500">
        <f t="shared" si="3"/>
        <v>16</v>
      </c>
      <c r="B23" s="529" t="s">
        <v>795</v>
      </c>
      <c r="C23" s="640"/>
      <c r="D23" s="641"/>
      <c r="E23" s="641"/>
      <c r="F23" s="641"/>
      <c r="G23" s="619">
        <f t="shared" si="5"/>
        <v>0</v>
      </c>
      <c r="H23" s="633">
        <f t="shared" si="6"/>
        <v>0</v>
      </c>
      <c r="I23" s="642"/>
      <c r="J23" s="642"/>
      <c r="K23" s="640"/>
      <c r="L23" s="620">
        <f t="shared" si="7"/>
        <v>0</v>
      </c>
      <c r="M23" s="630"/>
      <c r="N23" s="643"/>
      <c r="O23" s="620">
        <f t="shared" si="4"/>
        <v>0</v>
      </c>
    </row>
    <row r="24" spans="1:15" s="177" customFormat="1" ht="12.75" hidden="1" customHeight="1" x14ac:dyDescent="0.25">
      <c r="A24" s="500">
        <f t="shared" si="3"/>
        <v>17</v>
      </c>
      <c r="B24" s="529"/>
      <c r="C24" s="645"/>
      <c r="D24" s="646"/>
      <c r="E24" s="646"/>
      <c r="F24" s="646"/>
      <c r="G24" s="619">
        <f t="shared" si="5"/>
        <v>0</v>
      </c>
      <c r="H24" s="633">
        <f t="shared" si="6"/>
        <v>0</v>
      </c>
      <c r="I24" s="647"/>
      <c r="J24" s="647"/>
      <c r="K24" s="645"/>
      <c r="L24" s="620">
        <f t="shared" si="7"/>
        <v>0</v>
      </c>
      <c r="M24" s="630"/>
      <c r="N24" s="648"/>
      <c r="O24" s="620">
        <f t="shared" si="4"/>
        <v>0</v>
      </c>
    </row>
    <row r="25" spans="1:15" s="179" customFormat="1" ht="13.5" hidden="1" customHeight="1" x14ac:dyDescent="0.25">
      <c r="A25" s="498">
        <f t="shared" si="3"/>
        <v>18</v>
      </c>
      <c r="B25" s="530" t="s">
        <v>788</v>
      </c>
      <c r="C25" s="624"/>
      <c r="D25" s="622"/>
      <c r="E25" s="622"/>
      <c r="F25" s="622"/>
      <c r="G25" s="622"/>
      <c r="H25" s="649"/>
      <c r="I25" s="650"/>
      <c r="J25" s="650"/>
      <c r="K25" s="660"/>
      <c r="L25" s="623"/>
      <c r="M25" s="630"/>
      <c r="N25" s="624"/>
      <c r="O25" s="623"/>
    </row>
    <row r="26" spans="1:15" s="179" customFormat="1" ht="12.75" hidden="1" customHeight="1" x14ac:dyDescent="0.25">
      <c r="A26" s="561">
        <f t="shared" si="3"/>
        <v>19</v>
      </c>
      <c r="B26" s="548" t="s">
        <v>912</v>
      </c>
      <c r="C26" s="616">
        <f>+C27</f>
        <v>0</v>
      </c>
      <c r="D26" s="616">
        <f t="shared" ref="D26:N26" si="8">+D27</f>
        <v>0</v>
      </c>
      <c r="E26" s="616">
        <f t="shared" si="8"/>
        <v>0</v>
      </c>
      <c r="F26" s="616">
        <f t="shared" si="8"/>
        <v>0</v>
      </c>
      <c r="G26" s="616">
        <f t="shared" si="8"/>
        <v>0</v>
      </c>
      <c r="H26" s="631">
        <f t="shared" si="8"/>
        <v>0</v>
      </c>
      <c r="I26" s="635">
        <f t="shared" si="8"/>
        <v>0</v>
      </c>
      <c r="J26" s="635">
        <f t="shared" si="8"/>
        <v>0</v>
      </c>
      <c r="K26" s="658">
        <f t="shared" si="8"/>
        <v>0</v>
      </c>
      <c r="L26" s="617">
        <f t="shared" si="8"/>
        <v>0</v>
      </c>
      <c r="M26" s="630"/>
      <c r="N26" s="618">
        <f t="shared" si="8"/>
        <v>0</v>
      </c>
      <c r="O26" s="617">
        <f t="shared" si="4"/>
        <v>0</v>
      </c>
    </row>
    <row r="27" spans="1:15" s="177" customFormat="1" ht="12.75" hidden="1" customHeight="1" x14ac:dyDescent="0.25">
      <c r="A27" s="500">
        <f t="shared" si="3"/>
        <v>20</v>
      </c>
      <c r="B27" s="529" t="s">
        <v>899</v>
      </c>
      <c r="C27" s="640"/>
      <c r="D27" s="641"/>
      <c r="E27" s="641"/>
      <c r="F27" s="641"/>
      <c r="G27" s="619">
        <f>+C27+E27</f>
        <v>0</v>
      </c>
      <c r="H27" s="633">
        <f>+D27+F27</f>
        <v>0</v>
      </c>
      <c r="I27" s="642"/>
      <c r="J27" s="642"/>
      <c r="K27" s="640"/>
      <c r="L27" s="620">
        <f>+G27-H27</f>
        <v>0</v>
      </c>
      <c r="M27" s="630"/>
      <c r="N27" s="643"/>
      <c r="O27" s="620">
        <f t="shared" si="4"/>
        <v>0</v>
      </c>
    </row>
    <row r="28" spans="1:15" s="177" customFormat="1" ht="12.75" hidden="1" customHeight="1" x14ac:dyDescent="0.25">
      <c r="A28" s="561">
        <f t="shared" si="3"/>
        <v>21</v>
      </c>
      <c r="B28" s="562" t="s">
        <v>887</v>
      </c>
      <c r="C28" s="616">
        <f>+C29</f>
        <v>0</v>
      </c>
      <c r="D28" s="616">
        <f t="shared" ref="D28:N28" si="9">+D29</f>
        <v>0</v>
      </c>
      <c r="E28" s="616">
        <f t="shared" si="9"/>
        <v>0</v>
      </c>
      <c r="F28" s="616">
        <f t="shared" si="9"/>
        <v>0</v>
      </c>
      <c r="G28" s="616">
        <f t="shared" si="9"/>
        <v>0</v>
      </c>
      <c r="H28" s="631">
        <f t="shared" si="9"/>
        <v>0</v>
      </c>
      <c r="I28" s="635">
        <f t="shared" si="9"/>
        <v>0</v>
      </c>
      <c r="J28" s="635">
        <f t="shared" si="9"/>
        <v>0</v>
      </c>
      <c r="K28" s="658">
        <f t="shared" si="9"/>
        <v>0</v>
      </c>
      <c r="L28" s="617">
        <f t="shared" si="9"/>
        <v>0</v>
      </c>
      <c r="M28" s="630"/>
      <c r="N28" s="618">
        <f t="shared" si="9"/>
        <v>0</v>
      </c>
      <c r="O28" s="617">
        <f t="shared" si="4"/>
        <v>0</v>
      </c>
    </row>
    <row r="29" spans="1:15" s="177" customFormat="1" ht="12.75" hidden="1" customHeight="1" x14ac:dyDescent="0.25">
      <c r="A29" s="500">
        <f t="shared" si="3"/>
        <v>22</v>
      </c>
      <c r="B29" s="529" t="s">
        <v>899</v>
      </c>
      <c r="C29" s="640"/>
      <c r="D29" s="641"/>
      <c r="E29" s="641"/>
      <c r="F29" s="641"/>
      <c r="G29" s="619">
        <f>+C29+E29</f>
        <v>0</v>
      </c>
      <c r="H29" s="633">
        <f>+D29+F29</f>
        <v>0</v>
      </c>
      <c r="I29" s="642"/>
      <c r="J29" s="642"/>
      <c r="K29" s="640"/>
      <c r="L29" s="620">
        <f>+G29-H29</f>
        <v>0</v>
      </c>
      <c r="M29" s="630"/>
      <c r="N29" s="643"/>
      <c r="O29" s="620">
        <f t="shared" si="4"/>
        <v>0</v>
      </c>
    </row>
    <row r="30" spans="1:15" s="177" customFormat="1" ht="12.75" hidden="1" customHeight="1" x14ac:dyDescent="0.25">
      <c r="A30" s="561">
        <f t="shared" si="3"/>
        <v>23</v>
      </c>
      <c r="B30" s="562" t="s">
        <v>888</v>
      </c>
      <c r="C30" s="616">
        <f>+C31</f>
        <v>0</v>
      </c>
      <c r="D30" s="616">
        <f t="shared" ref="D30:N30" si="10">+D31</f>
        <v>0</v>
      </c>
      <c r="E30" s="616">
        <f t="shared" si="10"/>
        <v>0</v>
      </c>
      <c r="F30" s="616">
        <f t="shared" si="10"/>
        <v>0</v>
      </c>
      <c r="G30" s="616">
        <f t="shared" si="10"/>
        <v>0</v>
      </c>
      <c r="H30" s="631">
        <f t="shared" si="10"/>
        <v>0</v>
      </c>
      <c r="I30" s="635">
        <f t="shared" si="10"/>
        <v>0</v>
      </c>
      <c r="J30" s="635">
        <f t="shared" si="10"/>
        <v>0</v>
      </c>
      <c r="K30" s="658">
        <f t="shared" si="10"/>
        <v>0</v>
      </c>
      <c r="L30" s="617">
        <f t="shared" si="10"/>
        <v>0</v>
      </c>
      <c r="M30" s="630"/>
      <c r="N30" s="618">
        <f t="shared" si="10"/>
        <v>0</v>
      </c>
      <c r="O30" s="617">
        <f t="shared" si="4"/>
        <v>0</v>
      </c>
    </row>
    <row r="31" spans="1:15" s="177" customFormat="1" ht="12.75" hidden="1" customHeight="1" x14ac:dyDescent="0.25">
      <c r="A31" s="500">
        <f t="shared" si="3"/>
        <v>24</v>
      </c>
      <c r="B31" s="529" t="s">
        <v>899</v>
      </c>
      <c r="C31" s="645"/>
      <c r="D31" s="646"/>
      <c r="E31" s="646"/>
      <c r="F31" s="646"/>
      <c r="G31" s="619">
        <f>+C31+E31</f>
        <v>0</v>
      </c>
      <c r="H31" s="633">
        <f>+D31+F31</f>
        <v>0</v>
      </c>
      <c r="I31" s="647"/>
      <c r="J31" s="647"/>
      <c r="K31" s="645"/>
      <c r="L31" s="620">
        <f>+G31-H31</f>
        <v>0</v>
      </c>
      <c r="M31" s="630"/>
      <c r="N31" s="648"/>
      <c r="O31" s="620">
        <f t="shared" si="4"/>
        <v>0</v>
      </c>
    </row>
    <row r="32" spans="1:15" s="179" customFormat="1" ht="12.75" hidden="1" customHeight="1" x14ac:dyDescent="0.25">
      <c r="A32" s="498">
        <f t="shared" si="3"/>
        <v>25</v>
      </c>
      <c r="B32" s="530" t="s">
        <v>786</v>
      </c>
      <c r="C32" s="624"/>
      <c r="D32" s="622"/>
      <c r="E32" s="622"/>
      <c r="F32" s="622"/>
      <c r="G32" s="622"/>
      <c r="H32" s="649"/>
      <c r="I32" s="650"/>
      <c r="J32" s="650"/>
      <c r="K32" s="660"/>
      <c r="L32" s="623"/>
      <c r="M32" s="630"/>
      <c r="N32" s="624"/>
      <c r="O32" s="623"/>
    </row>
    <row r="33" spans="1:15" s="177" customFormat="1" ht="12.75" hidden="1" customHeight="1" x14ac:dyDescent="0.25">
      <c r="A33" s="518">
        <f t="shared" si="3"/>
        <v>26</v>
      </c>
      <c r="B33" s="548" t="s">
        <v>877</v>
      </c>
      <c r="C33" s="616">
        <f>+C34</f>
        <v>0</v>
      </c>
      <c r="D33" s="616">
        <f t="shared" ref="D33:N33" si="11">+D34</f>
        <v>0</v>
      </c>
      <c r="E33" s="616">
        <f t="shared" si="11"/>
        <v>0</v>
      </c>
      <c r="F33" s="616">
        <f t="shared" si="11"/>
        <v>0</v>
      </c>
      <c r="G33" s="616">
        <f t="shared" si="11"/>
        <v>0</v>
      </c>
      <c r="H33" s="631">
        <f t="shared" si="11"/>
        <v>0</v>
      </c>
      <c r="I33" s="635">
        <f t="shared" si="11"/>
        <v>0</v>
      </c>
      <c r="J33" s="635">
        <f t="shared" si="11"/>
        <v>0</v>
      </c>
      <c r="K33" s="658">
        <f t="shared" si="11"/>
        <v>0</v>
      </c>
      <c r="L33" s="617">
        <f t="shared" si="11"/>
        <v>0</v>
      </c>
      <c r="M33" s="630"/>
      <c r="N33" s="618">
        <f t="shared" si="11"/>
        <v>0</v>
      </c>
      <c r="O33" s="617">
        <f t="shared" si="4"/>
        <v>0</v>
      </c>
    </row>
    <row r="34" spans="1:15" s="177" customFormat="1" ht="12.75" hidden="1" customHeight="1" x14ac:dyDescent="0.25">
      <c r="A34" s="500">
        <f t="shared" si="3"/>
        <v>27</v>
      </c>
      <c r="B34" s="533"/>
      <c r="C34" s="645"/>
      <c r="D34" s="646"/>
      <c r="E34" s="646"/>
      <c r="F34" s="646"/>
      <c r="G34" s="619">
        <f>+C34+E34</f>
        <v>0</v>
      </c>
      <c r="H34" s="633">
        <f>+D34+F34</f>
        <v>0</v>
      </c>
      <c r="I34" s="647"/>
      <c r="J34" s="647"/>
      <c r="K34" s="645"/>
      <c r="L34" s="620">
        <f>+G34-H34</f>
        <v>0</v>
      </c>
      <c r="M34" s="630"/>
      <c r="N34" s="648"/>
      <c r="O34" s="620">
        <f t="shared" si="4"/>
        <v>0</v>
      </c>
    </row>
    <row r="35" spans="1:15" s="179" customFormat="1" ht="13.5" hidden="1" customHeight="1" x14ac:dyDescent="0.25">
      <c r="A35" s="498">
        <f t="shared" si="3"/>
        <v>28</v>
      </c>
      <c r="B35" s="530" t="s">
        <v>807</v>
      </c>
      <c r="C35" s="624"/>
      <c r="D35" s="622"/>
      <c r="E35" s="622"/>
      <c r="F35" s="622"/>
      <c r="G35" s="622"/>
      <c r="H35" s="649"/>
      <c r="I35" s="650"/>
      <c r="J35" s="650"/>
      <c r="K35" s="660"/>
      <c r="L35" s="623"/>
      <c r="M35" s="630"/>
      <c r="N35" s="624"/>
      <c r="O35" s="623"/>
    </row>
    <row r="36" spans="1:15" s="177" customFormat="1" ht="12.75" hidden="1" customHeight="1" x14ac:dyDescent="0.25">
      <c r="A36" s="561">
        <f t="shared" si="3"/>
        <v>29</v>
      </c>
      <c r="B36" s="562" t="s">
        <v>889</v>
      </c>
      <c r="C36" s="616">
        <f>+C37</f>
        <v>0</v>
      </c>
      <c r="D36" s="616">
        <f t="shared" ref="D36:N36" si="12">+D37</f>
        <v>0</v>
      </c>
      <c r="E36" s="616">
        <f t="shared" si="12"/>
        <v>0</v>
      </c>
      <c r="F36" s="616">
        <f t="shared" si="12"/>
        <v>0</v>
      </c>
      <c r="G36" s="616">
        <f t="shared" si="12"/>
        <v>0</v>
      </c>
      <c r="H36" s="631">
        <f t="shared" si="12"/>
        <v>0</v>
      </c>
      <c r="I36" s="635">
        <f t="shared" si="12"/>
        <v>0</v>
      </c>
      <c r="J36" s="635">
        <f t="shared" si="12"/>
        <v>0</v>
      </c>
      <c r="K36" s="658">
        <f t="shared" si="12"/>
        <v>0</v>
      </c>
      <c r="L36" s="617">
        <f t="shared" si="12"/>
        <v>0</v>
      </c>
      <c r="M36" s="630"/>
      <c r="N36" s="618">
        <f t="shared" si="12"/>
        <v>0</v>
      </c>
      <c r="O36" s="617">
        <f t="shared" si="4"/>
        <v>0</v>
      </c>
    </row>
    <row r="37" spans="1:15" s="177" customFormat="1" ht="12.75" hidden="1" customHeight="1" thickBot="1" x14ac:dyDescent="0.3">
      <c r="A37" s="500">
        <f t="shared" si="3"/>
        <v>30</v>
      </c>
      <c r="B37" s="519"/>
      <c r="C37" s="640"/>
      <c r="D37" s="641"/>
      <c r="E37" s="641"/>
      <c r="F37" s="641"/>
      <c r="G37" s="619">
        <f>+C37+E37</f>
        <v>0</v>
      </c>
      <c r="H37" s="633">
        <f>+D37+F37</f>
        <v>0</v>
      </c>
      <c r="I37" s="642"/>
      <c r="J37" s="642"/>
      <c r="K37" s="640"/>
      <c r="L37" s="620">
        <f>+G37-H37</f>
        <v>0</v>
      </c>
      <c r="M37" s="630"/>
      <c r="N37" s="643"/>
      <c r="O37" s="620">
        <f t="shared" si="4"/>
        <v>0</v>
      </c>
    </row>
    <row r="38" spans="1:15" s="177" customFormat="1" ht="13.5" hidden="1" customHeight="1" thickBot="1" x14ac:dyDescent="0.3">
      <c r="A38" s="521">
        <f t="shared" si="3"/>
        <v>31</v>
      </c>
      <c r="B38" s="534" t="s">
        <v>738</v>
      </c>
      <c r="C38" s="651">
        <f>+C8+C25+C32+C35</f>
        <v>0</v>
      </c>
      <c r="D38" s="652">
        <f t="shared" ref="D38:O38" si="13">+D8+D25+D32+D35</f>
        <v>0</v>
      </c>
      <c r="E38" s="652">
        <f t="shared" si="13"/>
        <v>0</v>
      </c>
      <c r="F38" s="652">
        <f t="shared" si="13"/>
        <v>0</v>
      </c>
      <c r="G38" s="652">
        <f t="shared" si="13"/>
        <v>0</v>
      </c>
      <c r="H38" s="653">
        <f t="shared" si="13"/>
        <v>0</v>
      </c>
      <c r="I38" s="654">
        <f t="shared" si="13"/>
        <v>0</v>
      </c>
      <c r="J38" s="654">
        <f t="shared" si="13"/>
        <v>0</v>
      </c>
      <c r="K38" s="661">
        <f t="shared" si="13"/>
        <v>0</v>
      </c>
      <c r="L38" s="655">
        <f t="shared" si="13"/>
        <v>0</v>
      </c>
      <c r="M38" s="656"/>
      <c r="N38" s="651">
        <f t="shared" si="13"/>
        <v>0</v>
      </c>
      <c r="O38" s="655">
        <f t="shared" si="13"/>
        <v>0</v>
      </c>
    </row>
    <row r="39" spans="1:15" s="517" customFormat="1" ht="13.5" hidden="1" customHeight="1" x14ac:dyDescent="0.25">
      <c r="A39" s="515"/>
      <c r="B39" s="516"/>
      <c r="C39" s="496"/>
      <c r="D39" s="496"/>
      <c r="E39" s="496"/>
      <c r="F39" s="496"/>
      <c r="G39" s="496"/>
      <c r="H39" s="496"/>
      <c r="I39" s="496"/>
      <c r="J39" s="496"/>
      <c r="K39" s="496"/>
      <c r="L39" s="496"/>
      <c r="M39" s="496"/>
      <c r="N39" s="496"/>
      <c r="O39" s="496"/>
    </row>
    <row r="40" spans="1:15" ht="22.5" hidden="1" customHeight="1" x14ac:dyDescent="0.25">
      <c r="A40" s="177" t="s">
        <v>638</v>
      </c>
      <c r="M40" s="493"/>
    </row>
    <row r="41" spans="1:15" ht="56.25" hidden="1" customHeight="1" x14ac:dyDescent="0.25">
      <c r="A41" s="2548" t="s">
        <v>909</v>
      </c>
      <c r="B41" s="2607"/>
      <c r="C41" s="2607"/>
      <c r="D41" s="2607"/>
      <c r="E41" s="2607"/>
      <c r="F41" s="2607"/>
      <c r="G41" s="2607"/>
      <c r="H41" s="2607"/>
      <c r="I41" s="2607"/>
      <c r="J41" s="2607"/>
      <c r="K41" s="2607"/>
      <c r="L41" s="2607"/>
      <c r="M41" s="2607"/>
      <c r="N41" s="2607"/>
      <c r="O41" s="2607"/>
    </row>
    <row r="42" spans="1:15" ht="30" hidden="1" customHeight="1" x14ac:dyDescent="0.25">
      <c r="A42" s="2548" t="s">
        <v>793</v>
      </c>
      <c r="B42" s="2607"/>
      <c r="C42" s="2607"/>
      <c r="D42" s="2607"/>
      <c r="E42" s="2607"/>
      <c r="F42" s="2607"/>
      <c r="G42" s="2607"/>
      <c r="H42" s="2607"/>
      <c r="I42" s="2607"/>
      <c r="J42" s="2607"/>
      <c r="K42" s="2607"/>
      <c r="L42" s="2607"/>
      <c r="M42" s="2607"/>
      <c r="N42" s="2607"/>
      <c r="O42" s="2607"/>
    </row>
    <row r="43" spans="1:15" ht="34.5" hidden="1" customHeight="1" x14ac:dyDescent="0.25">
      <c r="A43" s="2548" t="s">
        <v>868</v>
      </c>
      <c r="B43" s="2607"/>
      <c r="C43" s="2607"/>
      <c r="D43" s="2607"/>
      <c r="E43" s="2607"/>
      <c r="F43" s="2607"/>
      <c r="G43" s="2607"/>
      <c r="H43" s="2607"/>
      <c r="I43" s="2607"/>
      <c r="J43" s="2607"/>
      <c r="K43" s="2607"/>
      <c r="L43" s="2607"/>
      <c r="M43" s="2607"/>
      <c r="N43" s="2607"/>
      <c r="O43" s="2607"/>
    </row>
    <row r="44" spans="1:15" ht="27.75" hidden="1" customHeight="1" x14ac:dyDescent="0.25">
      <c r="A44" s="2548" t="s">
        <v>824</v>
      </c>
      <c r="B44" s="2607"/>
      <c r="C44" s="2607"/>
      <c r="D44" s="2607"/>
      <c r="E44" s="2607"/>
      <c r="F44" s="2607"/>
      <c r="G44" s="2607"/>
      <c r="H44" s="2607"/>
      <c r="I44" s="2607"/>
      <c r="J44" s="2607"/>
      <c r="K44" s="2607"/>
      <c r="L44" s="2607"/>
      <c r="M44" s="2607"/>
      <c r="N44" s="2607"/>
      <c r="O44" s="2607"/>
    </row>
    <row r="45" spans="1:15" hidden="1" x14ac:dyDescent="0.25">
      <c r="A45" s="2548" t="s">
        <v>910</v>
      </c>
      <c r="B45" s="2607"/>
      <c r="C45" s="2607"/>
      <c r="D45" s="2607"/>
      <c r="E45" s="2607"/>
      <c r="F45" s="2607"/>
      <c r="G45" s="2607"/>
      <c r="H45" s="2607"/>
      <c r="I45" s="2607"/>
      <c r="J45" s="2607"/>
      <c r="K45" s="2607"/>
      <c r="L45" s="2607"/>
      <c r="M45" s="2607"/>
      <c r="N45" s="2607"/>
      <c r="O45" s="2607"/>
    </row>
    <row r="46" spans="1:15" ht="26.25" hidden="1" customHeight="1" x14ac:dyDescent="0.25">
      <c r="A46" s="2548" t="s">
        <v>911</v>
      </c>
      <c r="B46" s="2607"/>
      <c r="C46" s="2607"/>
      <c r="D46" s="2607"/>
      <c r="E46" s="2607"/>
      <c r="F46" s="2607"/>
      <c r="G46" s="2607"/>
      <c r="H46" s="2607"/>
      <c r="I46" s="2607"/>
      <c r="J46" s="2607"/>
      <c r="K46" s="2607"/>
      <c r="L46" s="2607"/>
      <c r="M46" s="2607"/>
      <c r="N46" s="2607"/>
      <c r="O46" s="2607"/>
    </row>
    <row r="47" spans="1:15" ht="19.5" hidden="1" customHeight="1" x14ac:dyDescent="0.25">
      <c r="A47" s="2548" t="s">
        <v>920</v>
      </c>
      <c r="B47" s="2607"/>
      <c r="C47" s="2607"/>
      <c r="D47" s="2607"/>
      <c r="E47" s="2607"/>
      <c r="F47" s="2607"/>
      <c r="G47" s="2607"/>
      <c r="H47" s="2607"/>
      <c r="I47" s="2607"/>
      <c r="J47" s="2607"/>
      <c r="K47" s="2607"/>
      <c r="L47" s="2607"/>
      <c r="M47" s="2607"/>
      <c r="N47" s="2607"/>
      <c r="O47" s="2607"/>
    </row>
    <row r="48" spans="1:15" ht="17.25" hidden="1" customHeight="1" x14ac:dyDescent="0.25">
      <c r="A48" s="2548" t="s">
        <v>913</v>
      </c>
      <c r="B48" s="2548"/>
      <c r="C48" s="2548"/>
      <c r="D48" s="2548"/>
      <c r="E48" s="2548"/>
      <c r="F48" s="2548"/>
      <c r="G48" s="2548"/>
      <c r="H48" s="2548"/>
      <c r="I48" s="2548"/>
      <c r="J48" s="2548"/>
      <c r="K48" s="2548"/>
      <c r="L48" s="2548"/>
      <c r="M48" s="2548"/>
      <c r="N48" s="2548"/>
      <c r="O48" s="2548"/>
    </row>
    <row r="49" spans="1:14" s="177" customFormat="1" ht="12.75" hidden="1" x14ac:dyDescent="0.25">
      <c r="M49" s="520"/>
    </row>
    <row r="50" spans="1:14" s="177" customFormat="1" ht="12.75" hidden="1" x14ac:dyDescent="0.25">
      <c r="A50" s="177" t="s">
        <v>1185</v>
      </c>
      <c r="M50" s="520"/>
    </row>
    <row r="51" spans="1:14" s="177" customFormat="1" ht="12.75" x14ac:dyDescent="0.25">
      <c r="M51" s="520"/>
    </row>
    <row r="52" spans="1:14" ht="18.75" x14ac:dyDescent="0.25">
      <c r="A52" s="910" t="s">
        <v>1278</v>
      </c>
      <c r="M52" s="493"/>
    </row>
    <row r="53" spans="1:14" ht="15.75" x14ac:dyDescent="0.25">
      <c r="A53" s="1038" t="s">
        <v>1145</v>
      </c>
      <c r="B53" s="1039"/>
      <c r="C53" s="1039"/>
      <c r="D53" s="1039"/>
      <c r="E53" s="1039"/>
      <c r="F53" s="1039"/>
      <c r="G53" s="1039"/>
      <c r="H53" s="1039"/>
      <c r="I53" s="1039"/>
      <c r="J53" s="1039"/>
      <c r="K53" s="1039"/>
      <c r="L53" s="1039"/>
      <c r="M53" s="1039"/>
      <c r="N53" s="1039"/>
    </row>
    <row r="54" spans="1:14" ht="15.75" x14ac:dyDescent="0.25">
      <c r="A54" s="1038"/>
      <c r="B54" s="1040" t="s">
        <v>916</v>
      </c>
      <c r="C54" s="1039"/>
      <c r="D54" s="1039"/>
      <c r="E54" s="1041"/>
      <c r="F54" s="1041"/>
      <c r="G54" s="1041"/>
      <c r="H54" s="1039"/>
      <c r="I54" s="1039"/>
      <c r="J54" s="1039"/>
      <c r="K54" s="1039"/>
      <c r="L54" s="1039"/>
      <c r="M54" s="1039"/>
      <c r="N54" s="1039"/>
    </row>
    <row r="55" spans="1:14" ht="16.5" thickBot="1" x14ac:dyDescent="0.3">
      <c r="A55" s="1039"/>
      <c r="B55" s="1042"/>
      <c r="C55" s="1039"/>
      <c r="D55" s="1039"/>
      <c r="E55" s="1039"/>
      <c r="F55" s="1039"/>
      <c r="G55" s="1039"/>
      <c r="H55" s="1039"/>
      <c r="I55" s="1039"/>
      <c r="J55" s="1039"/>
      <c r="K55" s="1039"/>
      <c r="L55" s="1039"/>
      <c r="M55" s="1039"/>
      <c r="N55" s="1043" t="s">
        <v>499</v>
      </c>
    </row>
    <row r="56" spans="1:14" ht="30" customHeight="1" x14ac:dyDescent="0.25">
      <c r="A56" s="2626" t="s">
        <v>479</v>
      </c>
      <c r="B56" s="2629" t="s">
        <v>1307</v>
      </c>
      <c r="C56" s="2632" t="s">
        <v>1308</v>
      </c>
      <c r="D56" s="2586"/>
      <c r="E56" s="2586" t="s">
        <v>1280</v>
      </c>
      <c r="F56" s="2586"/>
      <c r="G56" s="2633" t="s">
        <v>1309</v>
      </c>
      <c r="H56" s="2634"/>
      <c r="I56" s="2620" t="s">
        <v>1310</v>
      </c>
      <c r="J56" s="2620" t="s">
        <v>1311</v>
      </c>
      <c r="K56" s="2622" t="s">
        <v>1312</v>
      </c>
      <c r="L56" s="2589" t="s">
        <v>780</v>
      </c>
      <c r="M56" s="2624" t="s">
        <v>1313</v>
      </c>
      <c r="N56" s="2589" t="s">
        <v>724</v>
      </c>
    </row>
    <row r="57" spans="1:14" ht="30" customHeight="1" x14ac:dyDescent="0.25">
      <c r="A57" s="2627"/>
      <c r="B57" s="2630"/>
      <c r="C57" s="1044" t="s">
        <v>1314</v>
      </c>
      <c r="D57" s="1045" t="s">
        <v>1315</v>
      </c>
      <c r="E57" s="1044" t="s">
        <v>640</v>
      </c>
      <c r="F57" s="1045" t="s">
        <v>645</v>
      </c>
      <c r="G57" s="1045" t="s">
        <v>640</v>
      </c>
      <c r="H57" s="1046" t="s">
        <v>645</v>
      </c>
      <c r="I57" s="2621"/>
      <c r="J57" s="2621"/>
      <c r="K57" s="2623"/>
      <c r="L57" s="2590"/>
      <c r="M57" s="2625"/>
      <c r="N57" s="2590"/>
    </row>
    <row r="58" spans="1:14" ht="15.75" thickBot="1" x14ac:dyDescent="0.3">
      <c r="A58" s="2628"/>
      <c r="B58" s="2631"/>
      <c r="C58" s="1047" t="s">
        <v>558</v>
      </c>
      <c r="D58" s="1048" t="s">
        <v>559</v>
      </c>
      <c r="E58" s="1048" t="s">
        <v>560</v>
      </c>
      <c r="F58" s="1048" t="s">
        <v>561</v>
      </c>
      <c r="G58" s="1048" t="s">
        <v>642</v>
      </c>
      <c r="H58" s="1049" t="s">
        <v>643</v>
      </c>
      <c r="I58" s="1050" t="s">
        <v>787</v>
      </c>
      <c r="J58" s="1050" t="s">
        <v>798</v>
      </c>
      <c r="K58" s="1051" t="s">
        <v>564</v>
      </c>
      <c r="L58" s="1052" t="s">
        <v>726</v>
      </c>
      <c r="M58" s="1053" t="s">
        <v>566</v>
      </c>
      <c r="N58" s="1054" t="s">
        <v>794</v>
      </c>
    </row>
    <row r="59" spans="1:14" x14ac:dyDescent="0.25">
      <c r="A59" s="1055">
        <v>1</v>
      </c>
      <c r="B59" s="1056" t="s">
        <v>644</v>
      </c>
      <c r="C59" s="1057">
        <f>+C60+C65</f>
        <v>17247</v>
      </c>
      <c r="D59" s="1057">
        <f t="shared" ref="D59:N59" si="14">+D60+D65</f>
        <v>17247</v>
      </c>
      <c r="E59" s="1057">
        <f t="shared" si="14"/>
        <v>300</v>
      </c>
      <c r="F59" s="1057">
        <f t="shared" si="14"/>
        <v>300</v>
      </c>
      <c r="G59" s="1057">
        <f t="shared" si="14"/>
        <v>17547</v>
      </c>
      <c r="H59" s="1058">
        <f t="shared" si="14"/>
        <v>17547</v>
      </c>
      <c r="I59" s="1059">
        <f t="shared" si="14"/>
        <v>0</v>
      </c>
      <c r="J59" s="1059">
        <f t="shared" si="14"/>
        <v>0</v>
      </c>
      <c r="K59" s="1060">
        <f t="shared" si="14"/>
        <v>855</v>
      </c>
      <c r="L59" s="1061">
        <f t="shared" si="14"/>
        <v>0</v>
      </c>
      <c r="M59" s="1062">
        <f t="shared" si="14"/>
        <v>0</v>
      </c>
      <c r="N59" s="1057">
        <f t="shared" si="14"/>
        <v>17547</v>
      </c>
    </row>
    <row r="60" spans="1:14" x14ac:dyDescent="0.25">
      <c r="A60" s="1055">
        <f>A59+1</f>
        <v>2</v>
      </c>
      <c r="B60" s="1056" t="s">
        <v>881</v>
      </c>
      <c r="C60" s="1063">
        <f>SUM(C61:C64)</f>
        <v>13267</v>
      </c>
      <c r="D60" s="1063">
        <f t="shared" ref="D60:N60" si="15">SUM(D61:D64)</f>
        <v>13267</v>
      </c>
      <c r="E60" s="1063">
        <f t="shared" si="15"/>
        <v>300</v>
      </c>
      <c r="F60" s="1063">
        <f t="shared" si="15"/>
        <v>300</v>
      </c>
      <c r="G60" s="1063">
        <f t="shared" si="15"/>
        <v>13567</v>
      </c>
      <c r="H60" s="1064">
        <f t="shared" si="15"/>
        <v>13567</v>
      </c>
      <c r="I60" s="1065">
        <f t="shared" si="15"/>
        <v>0</v>
      </c>
      <c r="J60" s="1066">
        <f t="shared" si="15"/>
        <v>0</v>
      </c>
      <c r="K60" s="1067">
        <f t="shared" si="15"/>
        <v>663</v>
      </c>
      <c r="L60" s="1068">
        <f t="shared" si="15"/>
        <v>0</v>
      </c>
      <c r="M60" s="1069">
        <f t="shared" si="15"/>
        <v>0</v>
      </c>
      <c r="N60" s="1068">
        <f t="shared" si="15"/>
        <v>13567</v>
      </c>
    </row>
    <row r="61" spans="1:14" x14ac:dyDescent="0.25">
      <c r="A61" s="1070">
        <f>A60+1</f>
        <v>3</v>
      </c>
      <c r="B61" s="1071" t="s">
        <v>908</v>
      </c>
      <c r="C61" s="929"/>
      <c r="D61" s="929"/>
      <c r="E61" s="929"/>
      <c r="F61" s="929"/>
      <c r="G61" s="929">
        <f t="shared" ref="G61:H64" si="16">+C61+E61</f>
        <v>0</v>
      </c>
      <c r="H61" s="1072">
        <f t="shared" si="16"/>
        <v>0</v>
      </c>
      <c r="I61" s="1073"/>
      <c r="J61" s="1074"/>
      <c r="K61" s="1075"/>
      <c r="L61" s="930">
        <f>+G61-H61</f>
        <v>0</v>
      </c>
      <c r="M61" s="1076"/>
      <c r="N61" s="930">
        <f>H61+M61</f>
        <v>0</v>
      </c>
    </row>
    <row r="62" spans="1:14" x14ac:dyDescent="0.25">
      <c r="A62" s="1070">
        <f t="shared" ref="A62:A92" si="17">+A61+1</f>
        <v>4</v>
      </c>
      <c r="B62" s="1071" t="s">
        <v>1316</v>
      </c>
      <c r="C62" s="1077">
        <v>13267</v>
      </c>
      <c r="D62" s="929">
        <v>13267</v>
      </c>
      <c r="E62" s="929">
        <v>300</v>
      </c>
      <c r="F62" s="929">
        <v>300</v>
      </c>
      <c r="G62" s="929">
        <f t="shared" si="16"/>
        <v>13567</v>
      </c>
      <c r="H62" s="1072">
        <f t="shared" si="16"/>
        <v>13567</v>
      </c>
      <c r="I62" s="1073"/>
      <c r="J62" s="1074"/>
      <c r="K62" s="1075">
        <v>663</v>
      </c>
      <c r="L62" s="930">
        <f>+G62-H62</f>
        <v>0</v>
      </c>
      <c r="M62" s="1076"/>
      <c r="N62" s="930">
        <f>H62+M62</f>
        <v>13567</v>
      </c>
    </row>
    <row r="63" spans="1:14" x14ac:dyDescent="0.25">
      <c r="A63" s="1070">
        <f t="shared" si="17"/>
        <v>5</v>
      </c>
      <c r="B63" s="1071" t="s">
        <v>882</v>
      </c>
      <c r="C63" s="929"/>
      <c r="D63" s="929"/>
      <c r="E63" s="929"/>
      <c r="F63" s="929"/>
      <c r="G63" s="929">
        <f t="shared" si="16"/>
        <v>0</v>
      </c>
      <c r="H63" s="1072">
        <f t="shared" si="16"/>
        <v>0</v>
      </c>
      <c r="I63" s="1073"/>
      <c r="J63" s="1074"/>
      <c r="K63" s="1075"/>
      <c r="L63" s="930">
        <f>+G63-H63</f>
        <v>0</v>
      </c>
      <c r="M63" s="1076"/>
      <c r="N63" s="930">
        <f>H63+M63</f>
        <v>0</v>
      </c>
    </row>
    <row r="64" spans="1:14" x14ac:dyDescent="0.25">
      <c r="A64" s="1070">
        <f t="shared" si="17"/>
        <v>6</v>
      </c>
      <c r="B64" s="1078" t="s">
        <v>795</v>
      </c>
      <c r="C64" s="929"/>
      <c r="D64" s="929"/>
      <c r="E64" s="929"/>
      <c r="F64" s="929"/>
      <c r="G64" s="929">
        <f t="shared" si="16"/>
        <v>0</v>
      </c>
      <c r="H64" s="1072">
        <f t="shared" si="16"/>
        <v>0</v>
      </c>
      <c r="I64" s="1073"/>
      <c r="J64" s="1074"/>
      <c r="K64" s="1075"/>
      <c r="L64" s="930">
        <f>+G64-H64</f>
        <v>0</v>
      </c>
      <c r="M64" s="1076"/>
      <c r="N64" s="930">
        <f>H64+M64</f>
        <v>0</v>
      </c>
    </row>
    <row r="65" spans="1:14" x14ac:dyDescent="0.25">
      <c r="A65" s="1055">
        <f t="shared" si="17"/>
        <v>7</v>
      </c>
      <c r="B65" s="1056" t="s">
        <v>914</v>
      </c>
      <c r="C65" s="1063">
        <f>C72</f>
        <v>3980</v>
      </c>
      <c r="D65" s="1063">
        <f t="shared" ref="D65:N65" si="18">D72</f>
        <v>3980</v>
      </c>
      <c r="E65" s="1063">
        <f t="shared" si="18"/>
        <v>0</v>
      </c>
      <c r="F65" s="1063">
        <f t="shared" si="18"/>
        <v>0</v>
      </c>
      <c r="G65" s="1063">
        <f t="shared" si="18"/>
        <v>3980</v>
      </c>
      <c r="H65" s="1063">
        <f t="shared" si="18"/>
        <v>3980</v>
      </c>
      <c r="I65" s="1063">
        <f t="shared" si="18"/>
        <v>0</v>
      </c>
      <c r="J65" s="1063">
        <f t="shared" si="18"/>
        <v>0</v>
      </c>
      <c r="K65" s="1063">
        <f t="shared" si="18"/>
        <v>192</v>
      </c>
      <c r="L65" s="1063">
        <f t="shared" si="18"/>
        <v>0</v>
      </c>
      <c r="M65" s="1063">
        <f t="shared" si="18"/>
        <v>0</v>
      </c>
      <c r="N65" s="1063">
        <f t="shared" si="18"/>
        <v>3980</v>
      </c>
    </row>
    <row r="66" spans="1:14" x14ac:dyDescent="0.25">
      <c r="A66" s="1079">
        <f>A65+1</f>
        <v>8</v>
      </c>
      <c r="B66" s="1080" t="s">
        <v>907</v>
      </c>
      <c r="C66" s="1081"/>
      <c r="D66" s="1082"/>
      <c r="E66" s="1082"/>
      <c r="F66" s="1082"/>
      <c r="G66" s="929">
        <f>+C66+E66</f>
        <v>0</v>
      </c>
      <c r="H66" s="1072">
        <f>+D66+F66</f>
        <v>0</v>
      </c>
      <c r="I66" s="1073"/>
      <c r="J66" s="1083"/>
      <c r="K66" s="1081"/>
      <c r="L66" s="930">
        <f>+G66-H66</f>
        <v>0</v>
      </c>
      <c r="M66" s="1084"/>
      <c r="N66" s="930">
        <f t="shared" ref="N66:N75" si="19">H66+M66</f>
        <v>0</v>
      </c>
    </row>
    <row r="67" spans="1:14" x14ac:dyDescent="0.25">
      <c r="A67" s="1070">
        <f t="shared" si="17"/>
        <v>9</v>
      </c>
      <c r="B67" s="1078" t="s">
        <v>795</v>
      </c>
      <c r="C67" s="1085"/>
      <c r="D67" s="1086"/>
      <c r="E67" s="1086"/>
      <c r="F67" s="1086"/>
      <c r="G67" s="929">
        <f>+C67+E67</f>
        <v>0</v>
      </c>
      <c r="H67" s="1072">
        <f>+D67+F67</f>
        <v>0</v>
      </c>
      <c r="I67" s="1087"/>
      <c r="J67" s="1087"/>
      <c r="K67" s="1085"/>
      <c r="L67" s="930">
        <f>+G67-H67</f>
        <v>0</v>
      </c>
      <c r="M67" s="1088"/>
      <c r="N67" s="930">
        <f t="shared" si="19"/>
        <v>0</v>
      </c>
    </row>
    <row r="68" spans="1:14" x14ac:dyDescent="0.25">
      <c r="A68" s="1079">
        <f>A67+1</f>
        <v>10</v>
      </c>
      <c r="B68" s="1080" t="s">
        <v>883</v>
      </c>
      <c r="C68" s="1081"/>
      <c r="D68" s="1082"/>
      <c r="E68" s="1082"/>
      <c r="F68" s="1082"/>
      <c r="G68" s="929">
        <f t="shared" ref="G68:H75" si="20">+C68+E68</f>
        <v>0</v>
      </c>
      <c r="H68" s="1072">
        <f t="shared" si="20"/>
        <v>0</v>
      </c>
      <c r="I68" s="1073"/>
      <c r="J68" s="1083"/>
      <c r="K68" s="1081"/>
      <c r="L68" s="930">
        <f t="shared" ref="L68:L75" si="21">+G68-H68</f>
        <v>0</v>
      </c>
      <c r="M68" s="1084"/>
      <c r="N68" s="930">
        <f t="shared" si="19"/>
        <v>0</v>
      </c>
    </row>
    <row r="69" spans="1:14" x14ac:dyDescent="0.25">
      <c r="A69" s="1070">
        <f t="shared" si="17"/>
        <v>11</v>
      </c>
      <c r="B69" s="1078" t="s">
        <v>795</v>
      </c>
      <c r="C69" s="1085"/>
      <c r="D69" s="1086"/>
      <c r="E69" s="1086"/>
      <c r="F69" s="1086"/>
      <c r="G69" s="929">
        <f t="shared" si="20"/>
        <v>0</v>
      </c>
      <c r="H69" s="1072">
        <f t="shared" si="20"/>
        <v>0</v>
      </c>
      <c r="I69" s="1087"/>
      <c r="J69" s="1087"/>
      <c r="K69" s="1085"/>
      <c r="L69" s="930">
        <f t="shared" si="21"/>
        <v>0</v>
      </c>
      <c r="M69" s="1088"/>
      <c r="N69" s="930">
        <f t="shared" si="19"/>
        <v>0</v>
      </c>
    </row>
    <row r="70" spans="1:14" x14ac:dyDescent="0.25">
      <c r="A70" s="1079">
        <f t="shared" si="17"/>
        <v>12</v>
      </c>
      <c r="B70" s="1080" t="s">
        <v>884</v>
      </c>
      <c r="C70" s="1081"/>
      <c r="D70" s="1082"/>
      <c r="E70" s="1082"/>
      <c r="F70" s="1082"/>
      <c r="G70" s="929">
        <f t="shared" si="20"/>
        <v>0</v>
      </c>
      <c r="H70" s="1072">
        <f t="shared" si="20"/>
        <v>0</v>
      </c>
      <c r="I70" s="1083"/>
      <c r="J70" s="1083"/>
      <c r="K70" s="1081"/>
      <c r="L70" s="930">
        <f t="shared" si="21"/>
        <v>0</v>
      </c>
      <c r="M70" s="1084"/>
      <c r="N70" s="930">
        <f t="shared" si="19"/>
        <v>0</v>
      </c>
    </row>
    <row r="71" spans="1:14" x14ac:dyDescent="0.25">
      <c r="A71" s="1070">
        <f t="shared" si="17"/>
        <v>13</v>
      </c>
      <c r="B71" s="1078" t="s">
        <v>795</v>
      </c>
      <c r="C71" s="1085"/>
      <c r="D71" s="1086"/>
      <c r="E71" s="1086"/>
      <c r="F71" s="1086"/>
      <c r="G71" s="929">
        <f t="shared" si="20"/>
        <v>0</v>
      </c>
      <c r="H71" s="1072">
        <f t="shared" si="20"/>
        <v>0</v>
      </c>
      <c r="I71" s="1087"/>
      <c r="J71" s="1087"/>
      <c r="K71" s="1085"/>
      <c r="L71" s="930">
        <f t="shared" si="21"/>
        <v>0</v>
      </c>
      <c r="M71" s="1088"/>
      <c r="N71" s="930">
        <f t="shared" si="19"/>
        <v>0</v>
      </c>
    </row>
    <row r="72" spans="1:14" x14ac:dyDescent="0.25">
      <c r="A72" s="1079">
        <f>A71+1</f>
        <v>14</v>
      </c>
      <c r="B72" s="1080" t="s">
        <v>1317</v>
      </c>
      <c r="C72" s="1089">
        <v>3980</v>
      </c>
      <c r="D72" s="1082">
        <v>3980</v>
      </c>
      <c r="E72" s="1082">
        <v>0</v>
      </c>
      <c r="F72" s="1082">
        <v>0</v>
      </c>
      <c r="G72" s="929">
        <f t="shared" si="20"/>
        <v>3980</v>
      </c>
      <c r="H72" s="1072">
        <f t="shared" si="20"/>
        <v>3980</v>
      </c>
      <c r="I72" s="1083"/>
      <c r="J72" s="1083"/>
      <c r="K72" s="1081">
        <v>192</v>
      </c>
      <c r="L72" s="930">
        <f t="shared" si="21"/>
        <v>0</v>
      </c>
      <c r="M72" s="1084"/>
      <c r="N72" s="930">
        <f t="shared" si="19"/>
        <v>3980</v>
      </c>
    </row>
    <row r="73" spans="1:14" x14ac:dyDescent="0.25">
      <c r="A73" s="1079">
        <f t="shared" si="17"/>
        <v>15</v>
      </c>
      <c r="B73" s="1090" t="s">
        <v>886</v>
      </c>
      <c r="C73" s="1081"/>
      <c r="D73" s="1082"/>
      <c r="E73" s="1082"/>
      <c r="F73" s="1082"/>
      <c r="G73" s="929">
        <f t="shared" si="20"/>
        <v>0</v>
      </c>
      <c r="H73" s="1072">
        <f t="shared" si="20"/>
        <v>0</v>
      </c>
      <c r="I73" s="1083"/>
      <c r="J73" s="1083"/>
      <c r="K73" s="1081"/>
      <c r="L73" s="930">
        <f t="shared" si="21"/>
        <v>0</v>
      </c>
      <c r="M73" s="1084"/>
      <c r="N73" s="930">
        <f t="shared" si="19"/>
        <v>0</v>
      </c>
    </row>
    <row r="74" spans="1:14" x14ac:dyDescent="0.25">
      <c r="A74" s="1070">
        <f t="shared" si="17"/>
        <v>16</v>
      </c>
      <c r="B74" s="1078" t="s">
        <v>795</v>
      </c>
      <c r="C74" s="1085"/>
      <c r="D74" s="1086"/>
      <c r="E74" s="1086"/>
      <c r="F74" s="1086"/>
      <c r="G74" s="929">
        <f t="shared" si="20"/>
        <v>0</v>
      </c>
      <c r="H74" s="1072">
        <f t="shared" si="20"/>
        <v>0</v>
      </c>
      <c r="I74" s="1087"/>
      <c r="J74" s="1087"/>
      <c r="K74" s="1085"/>
      <c r="L74" s="930">
        <f t="shared" si="21"/>
        <v>0</v>
      </c>
      <c r="M74" s="1088"/>
      <c r="N74" s="930">
        <f t="shared" si="19"/>
        <v>0</v>
      </c>
    </row>
    <row r="75" spans="1:14" x14ac:dyDescent="0.25">
      <c r="A75" s="1070">
        <f t="shared" si="17"/>
        <v>17</v>
      </c>
      <c r="B75" s="1078"/>
      <c r="C75" s="1091"/>
      <c r="D75" s="1092"/>
      <c r="E75" s="1092"/>
      <c r="F75" s="1092"/>
      <c r="G75" s="929">
        <f t="shared" si="20"/>
        <v>0</v>
      </c>
      <c r="H75" s="1072">
        <f t="shared" si="20"/>
        <v>0</v>
      </c>
      <c r="I75" s="1093"/>
      <c r="J75" s="1093"/>
      <c r="K75" s="1091"/>
      <c r="L75" s="930">
        <f t="shared" si="21"/>
        <v>0</v>
      </c>
      <c r="M75" s="1094"/>
      <c r="N75" s="930">
        <f t="shared" si="19"/>
        <v>0</v>
      </c>
    </row>
    <row r="76" spans="1:14" x14ac:dyDescent="0.25">
      <c r="A76" s="1055">
        <f t="shared" si="17"/>
        <v>18</v>
      </c>
      <c r="B76" s="1056" t="s">
        <v>788</v>
      </c>
      <c r="C76" s="1069">
        <f>C77+C79</f>
        <v>19494</v>
      </c>
      <c r="D76" s="1063">
        <f t="shared" ref="D76:N76" si="22">D77+D79</f>
        <v>19388</v>
      </c>
      <c r="E76" s="1063">
        <f t="shared" si="22"/>
        <v>11364</v>
      </c>
      <c r="F76" s="1063">
        <f t="shared" si="22"/>
        <v>11364</v>
      </c>
      <c r="G76" s="1063">
        <f t="shared" si="22"/>
        <v>30858</v>
      </c>
      <c r="H76" s="1063">
        <f t="shared" si="22"/>
        <v>30752</v>
      </c>
      <c r="I76" s="1063">
        <f t="shared" si="22"/>
        <v>0</v>
      </c>
      <c r="J76" s="1063">
        <f t="shared" si="22"/>
        <v>1421</v>
      </c>
      <c r="K76" s="1063">
        <f t="shared" si="22"/>
        <v>305</v>
      </c>
      <c r="L76" s="1068">
        <f t="shared" si="22"/>
        <v>106</v>
      </c>
      <c r="M76" s="1069">
        <f t="shared" si="22"/>
        <v>0</v>
      </c>
      <c r="N76" s="1063">
        <f t="shared" si="22"/>
        <v>30752</v>
      </c>
    </row>
    <row r="77" spans="1:14" x14ac:dyDescent="0.25">
      <c r="A77" s="1095">
        <f t="shared" si="17"/>
        <v>19</v>
      </c>
      <c r="B77" s="1096" t="s">
        <v>1318</v>
      </c>
      <c r="C77" s="1097">
        <f>+C78</f>
        <v>18187</v>
      </c>
      <c r="D77" s="1097">
        <f>+D78</f>
        <v>18081</v>
      </c>
      <c r="E77" s="1097">
        <f t="shared" ref="E77:M77" si="23">+E78</f>
        <v>11364</v>
      </c>
      <c r="F77" s="1097">
        <f t="shared" si="23"/>
        <v>11364</v>
      </c>
      <c r="G77" s="1097">
        <f t="shared" si="23"/>
        <v>29551</v>
      </c>
      <c r="H77" s="1098">
        <f t="shared" si="23"/>
        <v>29445</v>
      </c>
      <c r="I77" s="1099">
        <f t="shared" si="23"/>
        <v>0</v>
      </c>
      <c r="J77" s="1099">
        <f t="shared" si="23"/>
        <v>1421</v>
      </c>
      <c r="K77" s="1100">
        <f t="shared" si="23"/>
        <v>305</v>
      </c>
      <c r="L77" s="1101">
        <f t="shared" si="23"/>
        <v>106</v>
      </c>
      <c r="M77" s="1102">
        <f t="shared" si="23"/>
        <v>0</v>
      </c>
      <c r="N77" s="1101">
        <f t="shared" ref="N77:N82" si="24">H77+M77</f>
        <v>29445</v>
      </c>
    </row>
    <row r="78" spans="1:14" x14ac:dyDescent="0.25">
      <c r="A78" s="1070">
        <f t="shared" si="17"/>
        <v>20</v>
      </c>
      <c r="B78" s="1103" t="s">
        <v>1319</v>
      </c>
      <c r="C78" s="1104">
        <f>19494-1307</f>
        <v>18187</v>
      </c>
      <c r="D78" s="1086">
        <f>19388-1307</f>
        <v>18081</v>
      </c>
      <c r="E78" s="1086">
        <v>11364</v>
      </c>
      <c r="F78" s="1086">
        <v>11364</v>
      </c>
      <c r="G78" s="929">
        <f>+C78+E78</f>
        <v>29551</v>
      </c>
      <c r="H78" s="1072">
        <f>+D78+F78</f>
        <v>29445</v>
      </c>
      <c r="I78" s="1087"/>
      <c r="J78" s="1117">
        <f>1527-106</f>
        <v>1421</v>
      </c>
      <c r="K78" s="1085">
        <f>410-105</f>
        <v>305</v>
      </c>
      <c r="L78" s="1118">
        <v>106</v>
      </c>
      <c r="M78" s="1088"/>
      <c r="N78" s="930">
        <f t="shared" si="24"/>
        <v>29445</v>
      </c>
    </row>
    <row r="79" spans="1:14" x14ac:dyDescent="0.25">
      <c r="A79" s="1095">
        <f t="shared" si="17"/>
        <v>21</v>
      </c>
      <c r="B79" s="1105" t="s">
        <v>887</v>
      </c>
      <c r="C79" s="1097">
        <f>+C80</f>
        <v>1307</v>
      </c>
      <c r="D79" s="1097">
        <f t="shared" ref="D79:M79" si="25">+D80</f>
        <v>1307</v>
      </c>
      <c r="E79" s="1097">
        <f t="shared" si="25"/>
        <v>0</v>
      </c>
      <c r="F79" s="1097">
        <f t="shared" si="25"/>
        <v>0</v>
      </c>
      <c r="G79" s="1097">
        <f t="shared" si="25"/>
        <v>1307</v>
      </c>
      <c r="H79" s="1098">
        <f t="shared" si="25"/>
        <v>1307</v>
      </c>
      <c r="I79" s="1099">
        <f t="shared" si="25"/>
        <v>0</v>
      </c>
      <c r="J79" s="1099">
        <f t="shared" si="25"/>
        <v>0</v>
      </c>
      <c r="K79" s="1100">
        <f t="shared" si="25"/>
        <v>0</v>
      </c>
      <c r="L79" s="1101">
        <f t="shared" si="25"/>
        <v>0</v>
      </c>
      <c r="M79" s="1102">
        <f t="shared" si="25"/>
        <v>0</v>
      </c>
      <c r="N79" s="1101">
        <f t="shared" si="24"/>
        <v>1307</v>
      </c>
    </row>
    <row r="80" spans="1:14" x14ac:dyDescent="0.25">
      <c r="A80" s="1070">
        <f t="shared" si="17"/>
        <v>22</v>
      </c>
      <c r="B80" s="1103" t="s">
        <v>1320</v>
      </c>
      <c r="C80" s="1085">
        <v>1307</v>
      </c>
      <c r="D80" s="1086">
        <v>1307</v>
      </c>
      <c r="E80" s="1086">
        <v>0</v>
      </c>
      <c r="F80" s="1086">
        <v>0</v>
      </c>
      <c r="G80" s="929">
        <f>+C80+E80</f>
        <v>1307</v>
      </c>
      <c r="H80" s="1072">
        <f>+D80+F80</f>
        <v>1307</v>
      </c>
      <c r="I80" s="1087"/>
      <c r="J80" s="1087"/>
      <c r="K80" s="1085"/>
      <c r="L80" s="930">
        <f>+G80-H80</f>
        <v>0</v>
      </c>
      <c r="M80" s="1088"/>
      <c r="N80" s="930">
        <f t="shared" si="24"/>
        <v>1307</v>
      </c>
    </row>
    <row r="81" spans="1:14" x14ac:dyDescent="0.25">
      <c r="A81" s="1095">
        <f t="shared" si="17"/>
        <v>23</v>
      </c>
      <c r="B81" s="1105" t="s">
        <v>888</v>
      </c>
      <c r="C81" s="1097">
        <f>+C82</f>
        <v>0</v>
      </c>
      <c r="D81" s="1097">
        <f t="shared" ref="D81:M81" si="26">+D82</f>
        <v>0</v>
      </c>
      <c r="E81" s="1097">
        <f t="shared" si="26"/>
        <v>0</v>
      </c>
      <c r="F81" s="1097">
        <f t="shared" si="26"/>
        <v>0</v>
      </c>
      <c r="G81" s="1097">
        <f t="shared" si="26"/>
        <v>0</v>
      </c>
      <c r="H81" s="1098">
        <f t="shared" si="26"/>
        <v>0</v>
      </c>
      <c r="I81" s="1099">
        <f t="shared" si="26"/>
        <v>0</v>
      </c>
      <c r="J81" s="1099">
        <f t="shared" si="26"/>
        <v>0</v>
      </c>
      <c r="K81" s="1100">
        <f t="shared" si="26"/>
        <v>0</v>
      </c>
      <c r="L81" s="1101">
        <f t="shared" si="26"/>
        <v>0</v>
      </c>
      <c r="M81" s="1102">
        <f t="shared" si="26"/>
        <v>0</v>
      </c>
      <c r="N81" s="1101">
        <f t="shared" si="24"/>
        <v>0</v>
      </c>
    </row>
    <row r="82" spans="1:14" x14ac:dyDescent="0.25">
      <c r="A82" s="1070">
        <f t="shared" si="17"/>
        <v>24</v>
      </c>
      <c r="B82" s="1078" t="s">
        <v>899</v>
      </c>
      <c r="C82" s="1091"/>
      <c r="D82" s="1092"/>
      <c r="E82" s="1092"/>
      <c r="F82" s="1092"/>
      <c r="G82" s="929">
        <f>+C82+E82</f>
        <v>0</v>
      </c>
      <c r="H82" s="1072">
        <f>+D82+F82</f>
        <v>0</v>
      </c>
      <c r="I82" s="1093"/>
      <c r="J82" s="1093"/>
      <c r="K82" s="1091"/>
      <c r="L82" s="930">
        <f>+G82-H82</f>
        <v>0</v>
      </c>
      <c r="M82" s="1094"/>
      <c r="N82" s="930">
        <f t="shared" si="24"/>
        <v>0</v>
      </c>
    </row>
    <row r="83" spans="1:14" x14ac:dyDescent="0.25">
      <c r="A83" s="1055">
        <f t="shared" si="17"/>
        <v>25</v>
      </c>
      <c r="B83" s="1056" t="s">
        <v>786</v>
      </c>
      <c r="C83" s="1102"/>
      <c r="D83" s="1097"/>
      <c r="E83" s="1097"/>
      <c r="F83" s="1097"/>
      <c r="G83" s="1097"/>
      <c r="H83" s="1098"/>
      <c r="I83" s="1099"/>
      <c r="J83" s="1099"/>
      <c r="K83" s="1100"/>
      <c r="L83" s="1101"/>
      <c r="M83" s="1102"/>
      <c r="N83" s="1101"/>
    </row>
    <row r="84" spans="1:14" x14ac:dyDescent="0.25">
      <c r="A84" s="1079">
        <f t="shared" si="17"/>
        <v>26</v>
      </c>
      <c r="B84" s="1056" t="s">
        <v>877</v>
      </c>
      <c r="C84" s="1097">
        <f>+C85</f>
        <v>0</v>
      </c>
      <c r="D84" s="1097">
        <f t="shared" ref="D84:M84" si="27">+D85</f>
        <v>0</v>
      </c>
      <c r="E84" s="1097">
        <f t="shared" si="27"/>
        <v>0</v>
      </c>
      <c r="F84" s="1097">
        <f t="shared" si="27"/>
        <v>0</v>
      </c>
      <c r="G84" s="1097">
        <f t="shared" si="27"/>
        <v>0</v>
      </c>
      <c r="H84" s="1098">
        <f t="shared" si="27"/>
        <v>0</v>
      </c>
      <c r="I84" s="1099">
        <f t="shared" si="27"/>
        <v>0</v>
      </c>
      <c r="J84" s="1099">
        <f t="shared" si="27"/>
        <v>0</v>
      </c>
      <c r="K84" s="1100">
        <f t="shared" si="27"/>
        <v>0</v>
      </c>
      <c r="L84" s="1101">
        <f t="shared" si="27"/>
        <v>0</v>
      </c>
      <c r="M84" s="1102">
        <f t="shared" si="27"/>
        <v>0</v>
      </c>
      <c r="N84" s="1101">
        <f>H84+M84</f>
        <v>0</v>
      </c>
    </row>
    <row r="85" spans="1:14" x14ac:dyDescent="0.25">
      <c r="A85" s="1070">
        <f t="shared" si="17"/>
        <v>27</v>
      </c>
      <c r="B85" s="1106"/>
      <c r="C85" s="1091"/>
      <c r="D85" s="1092"/>
      <c r="E85" s="1092"/>
      <c r="F85" s="1092"/>
      <c r="G85" s="929">
        <f>+C85+E85</f>
        <v>0</v>
      </c>
      <c r="H85" s="1072">
        <f>+D85+F85</f>
        <v>0</v>
      </c>
      <c r="I85" s="1093"/>
      <c r="J85" s="1093"/>
      <c r="K85" s="1091"/>
      <c r="L85" s="930">
        <f>+G85-H85</f>
        <v>0</v>
      </c>
      <c r="M85" s="1094"/>
      <c r="N85" s="930">
        <f>H85+M85</f>
        <v>0</v>
      </c>
    </row>
    <row r="86" spans="1:14" x14ac:dyDescent="0.25">
      <c r="A86" s="1055">
        <f>+A85+1</f>
        <v>28</v>
      </c>
      <c r="B86" s="1056" t="s">
        <v>1321</v>
      </c>
      <c r="C86" s="1069">
        <f t="shared" ref="C86:N86" si="28">C87</f>
        <v>52</v>
      </c>
      <c r="D86" s="1063">
        <f t="shared" si="28"/>
        <v>52</v>
      </c>
      <c r="E86" s="1063">
        <f t="shared" si="28"/>
        <v>0</v>
      </c>
      <c r="F86" s="1063">
        <f t="shared" si="28"/>
        <v>0</v>
      </c>
      <c r="G86" s="1063">
        <f t="shared" si="28"/>
        <v>52</v>
      </c>
      <c r="H86" s="1064">
        <f t="shared" si="28"/>
        <v>52</v>
      </c>
      <c r="I86" s="1107">
        <f t="shared" si="28"/>
        <v>1</v>
      </c>
      <c r="J86" s="1108">
        <f t="shared" si="28"/>
        <v>0</v>
      </c>
      <c r="K86" s="1109">
        <f t="shared" si="28"/>
        <v>0</v>
      </c>
      <c r="L86" s="1068">
        <f t="shared" si="28"/>
        <v>0</v>
      </c>
      <c r="M86" s="1069">
        <f t="shared" si="28"/>
        <v>0</v>
      </c>
      <c r="N86" s="1067">
        <f t="shared" si="28"/>
        <v>52</v>
      </c>
    </row>
    <row r="87" spans="1:14" x14ac:dyDescent="0.25">
      <c r="A87" s="1055">
        <f t="shared" si="17"/>
        <v>29</v>
      </c>
      <c r="B87" s="1110" t="s">
        <v>889</v>
      </c>
      <c r="C87" s="1097">
        <f>+C88</f>
        <v>52</v>
      </c>
      <c r="D87" s="1097">
        <f t="shared" ref="D87:M87" si="29">+D88</f>
        <v>52</v>
      </c>
      <c r="E87" s="1097">
        <f t="shared" si="29"/>
        <v>0</v>
      </c>
      <c r="F87" s="1097">
        <f t="shared" si="29"/>
        <v>0</v>
      </c>
      <c r="G87" s="1097">
        <f t="shared" si="29"/>
        <v>52</v>
      </c>
      <c r="H87" s="1098">
        <f t="shared" si="29"/>
        <v>52</v>
      </c>
      <c r="I87" s="1111">
        <f>H87/G87</f>
        <v>1</v>
      </c>
      <c r="J87" s="1099">
        <f t="shared" si="29"/>
        <v>0</v>
      </c>
      <c r="K87" s="1100">
        <f t="shared" si="29"/>
        <v>0</v>
      </c>
      <c r="L87" s="1101">
        <f t="shared" si="29"/>
        <v>0</v>
      </c>
      <c r="M87" s="1102">
        <f t="shared" si="29"/>
        <v>0</v>
      </c>
      <c r="N87" s="1101">
        <f>H87+M87</f>
        <v>52</v>
      </c>
    </row>
    <row r="88" spans="1:14" x14ac:dyDescent="0.25">
      <c r="A88" s="1112">
        <f t="shared" si="17"/>
        <v>30</v>
      </c>
      <c r="B88" s="1113" t="s">
        <v>1322</v>
      </c>
      <c r="C88" s="1104">
        <v>52</v>
      </c>
      <c r="D88" s="1114">
        <v>52</v>
      </c>
      <c r="E88" s="1114"/>
      <c r="F88" s="1114"/>
      <c r="G88" s="1077">
        <f>+C88+E88</f>
        <v>52</v>
      </c>
      <c r="H88" s="1115">
        <f>+D88+F88</f>
        <v>52</v>
      </c>
      <c r="I88" s="1116">
        <v>1</v>
      </c>
      <c r="J88" s="1117"/>
      <c r="K88" s="1104"/>
      <c r="L88" s="1118">
        <f>+G88-H88</f>
        <v>0</v>
      </c>
      <c r="M88" s="1119"/>
      <c r="N88" s="1118">
        <f>H88+M88</f>
        <v>52</v>
      </c>
    </row>
    <row r="89" spans="1:14" x14ac:dyDescent="0.25">
      <c r="A89" s="1055">
        <f>+A88+1</f>
        <v>31</v>
      </c>
      <c r="B89" s="1056" t="s">
        <v>1323</v>
      </c>
      <c r="C89" s="1102"/>
      <c r="D89" s="1097"/>
      <c r="E89" s="1097"/>
      <c r="F89" s="1097"/>
      <c r="G89" s="1097"/>
      <c r="H89" s="1098"/>
      <c r="I89" s="1111"/>
      <c r="J89" s="1099"/>
      <c r="K89" s="1100"/>
      <c r="L89" s="1101"/>
      <c r="M89" s="1102">
        <f>M90</f>
        <v>0</v>
      </c>
      <c r="N89" s="1101">
        <f>N90</f>
        <v>0</v>
      </c>
    </row>
    <row r="90" spans="1:14" x14ac:dyDescent="0.25">
      <c r="A90" s="1055">
        <f t="shared" si="17"/>
        <v>32</v>
      </c>
      <c r="B90" s="1110" t="s">
        <v>889</v>
      </c>
      <c r="C90" s="1097">
        <f>+C91</f>
        <v>0</v>
      </c>
      <c r="D90" s="1097">
        <f t="shared" ref="D90:M90" si="30">+D91</f>
        <v>0</v>
      </c>
      <c r="E90" s="1097">
        <f t="shared" si="30"/>
        <v>0</v>
      </c>
      <c r="F90" s="1097">
        <f t="shared" si="30"/>
        <v>0</v>
      </c>
      <c r="G90" s="1097">
        <f t="shared" si="30"/>
        <v>0</v>
      </c>
      <c r="H90" s="1098">
        <f t="shared" si="30"/>
        <v>0</v>
      </c>
      <c r="I90" s="1099">
        <f t="shared" si="30"/>
        <v>0</v>
      </c>
      <c r="J90" s="1099">
        <f t="shared" si="30"/>
        <v>0</v>
      </c>
      <c r="K90" s="1100">
        <f t="shared" si="30"/>
        <v>0</v>
      </c>
      <c r="L90" s="1101">
        <f t="shared" si="30"/>
        <v>0</v>
      </c>
      <c r="M90" s="1102">
        <f t="shared" si="30"/>
        <v>0</v>
      </c>
      <c r="N90" s="1101">
        <f>H90+M90</f>
        <v>0</v>
      </c>
    </row>
    <row r="91" spans="1:14" ht="15.75" thickBot="1" x14ac:dyDescent="0.3">
      <c r="A91" s="1112">
        <f t="shared" si="17"/>
        <v>33</v>
      </c>
      <c r="B91" s="1113" t="s">
        <v>1324</v>
      </c>
      <c r="C91" s="1104"/>
      <c r="D91" s="1114"/>
      <c r="E91" s="1114"/>
      <c r="F91" s="1114"/>
      <c r="G91" s="1077">
        <f>+C91+E91</f>
        <v>0</v>
      </c>
      <c r="H91" s="1115">
        <f>+D91+F91</f>
        <v>0</v>
      </c>
      <c r="I91" s="1116"/>
      <c r="J91" s="1117"/>
      <c r="K91" s="1104"/>
      <c r="L91" s="1118">
        <f>+G91-H91</f>
        <v>0</v>
      </c>
      <c r="M91" s="1119"/>
      <c r="N91" s="1118">
        <f>H91+M91</f>
        <v>0</v>
      </c>
    </row>
    <row r="92" spans="1:14" ht="15.75" thickBot="1" x14ac:dyDescent="0.3">
      <c r="A92" s="1120">
        <f t="shared" si="17"/>
        <v>34</v>
      </c>
      <c r="B92" s="1121" t="s">
        <v>738</v>
      </c>
      <c r="C92" s="934">
        <f t="shared" ref="C92:H92" si="31">+C59+C76+C83+C89+C86</f>
        <v>36793</v>
      </c>
      <c r="D92" s="935">
        <f t="shared" si="31"/>
        <v>36687</v>
      </c>
      <c r="E92" s="935">
        <f t="shared" si="31"/>
        <v>11664</v>
      </c>
      <c r="F92" s="935">
        <f t="shared" si="31"/>
        <v>11664</v>
      </c>
      <c r="G92" s="935">
        <f t="shared" si="31"/>
        <v>48457</v>
      </c>
      <c r="H92" s="1122">
        <f t="shared" si="31"/>
        <v>48351</v>
      </c>
      <c r="I92" s="1123"/>
      <c r="J92" s="1124">
        <f>+J59+J76+J83+J89+J86</f>
        <v>1421</v>
      </c>
      <c r="K92" s="1125">
        <f>+K59+K76+K83+K89+K86</f>
        <v>1160</v>
      </c>
      <c r="L92" s="936">
        <f>+L59+L76+L83+L89+L86</f>
        <v>106</v>
      </c>
      <c r="M92" s="934">
        <f>+M59+M76+M83+M89+M86</f>
        <v>0</v>
      </c>
      <c r="N92" s="936">
        <f>+N59+N76+N83+N89+N86</f>
        <v>48351</v>
      </c>
    </row>
    <row r="93" spans="1:14" x14ac:dyDescent="0.25">
      <c r="A93" s="515"/>
      <c r="B93" s="1126"/>
      <c r="C93" s="496"/>
      <c r="D93" s="496"/>
      <c r="E93" s="496"/>
      <c r="F93" s="496"/>
      <c r="G93" s="496"/>
      <c r="H93" s="496"/>
      <c r="I93" s="496"/>
      <c r="J93" s="496"/>
      <c r="K93" s="496"/>
      <c r="L93" s="496"/>
      <c r="N93" s="496"/>
    </row>
    <row r="94" spans="1:14" x14ac:dyDescent="0.25">
      <c r="A94" s="2635" t="s">
        <v>1511</v>
      </c>
      <c r="B94" s="2636"/>
      <c r="C94" s="2636"/>
      <c r="D94" s="2636"/>
      <c r="E94" s="2636"/>
      <c r="F94" s="2636"/>
      <c r="G94" s="2636"/>
      <c r="H94" s="2636"/>
      <c r="I94" s="2636"/>
      <c r="J94" s="2636"/>
      <c r="K94" s="2636"/>
      <c r="L94" s="2636"/>
      <c r="M94" s="2636"/>
      <c r="N94" s="2636"/>
    </row>
    <row r="95" spans="1:14" x14ac:dyDescent="0.25">
      <c r="A95" s="2636"/>
      <c r="B95" s="2636"/>
      <c r="C95" s="2636"/>
      <c r="D95" s="2636"/>
      <c r="E95" s="2636"/>
      <c r="F95" s="2636"/>
      <c r="G95" s="2636"/>
      <c r="H95" s="2636"/>
      <c r="I95" s="2636"/>
      <c r="J95" s="2636"/>
      <c r="K95" s="2636"/>
      <c r="L95" s="2636"/>
      <c r="M95" s="2636"/>
      <c r="N95" s="2636"/>
    </row>
    <row r="96" spans="1:14" ht="30" customHeight="1" x14ac:dyDescent="0.25">
      <c r="A96" s="1127" t="s">
        <v>638</v>
      </c>
      <c r="M96" s="493"/>
    </row>
    <row r="97" spans="1:14" ht="60" customHeight="1" x14ac:dyDescent="0.25">
      <c r="A97" s="2548" t="s">
        <v>909</v>
      </c>
      <c r="B97" s="2548"/>
      <c r="C97" s="2548"/>
      <c r="D97" s="2548"/>
      <c r="E97" s="2548"/>
      <c r="F97" s="2548"/>
      <c r="G97" s="2548"/>
      <c r="H97" s="2548"/>
      <c r="I97" s="2548"/>
      <c r="J97" s="2548"/>
      <c r="K97" s="2548"/>
      <c r="L97" s="2548"/>
      <c r="M97" s="2548"/>
      <c r="N97" s="2548"/>
    </row>
    <row r="98" spans="1:14" ht="30" customHeight="1" x14ac:dyDescent="0.25">
      <c r="A98" s="2548" t="s">
        <v>793</v>
      </c>
      <c r="B98" s="2548"/>
      <c r="C98" s="2548"/>
      <c r="D98" s="2548"/>
      <c r="E98" s="2548"/>
      <c r="F98" s="2548"/>
      <c r="G98" s="2548"/>
      <c r="H98" s="2548"/>
      <c r="I98" s="2548"/>
      <c r="J98" s="2548"/>
      <c r="K98" s="2548"/>
      <c r="L98" s="2548"/>
      <c r="M98" s="2548"/>
      <c r="N98" s="2548"/>
    </row>
    <row r="99" spans="1:14" ht="50.1" customHeight="1" x14ac:dyDescent="0.25">
      <c r="A99" s="2548" t="s">
        <v>868</v>
      </c>
      <c r="B99" s="2548"/>
      <c r="C99" s="2548"/>
      <c r="D99" s="2548"/>
      <c r="E99" s="2548"/>
      <c r="F99" s="2548"/>
      <c r="G99" s="2548"/>
      <c r="H99" s="2548"/>
      <c r="I99" s="2548"/>
      <c r="J99" s="2548"/>
      <c r="K99" s="2548"/>
      <c r="L99" s="2548"/>
      <c r="M99" s="2548"/>
      <c r="N99" s="2548"/>
    </row>
    <row r="100" spans="1:14" ht="30" customHeight="1" x14ac:dyDescent="0.25">
      <c r="A100" s="2548" t="s">
        <v>824</v>
      </c>
      <c r="B100" s="2548"/>
      <c r="C100" s="2548"/>
      <c r="D100" s="2548"/>
      <c r="E100" s="2548"/>
      <c r="F100" s="2548"/>
      <c r="G100" s="2548"/>
      <c r="H100" s="2548"/>
      <c r="I100" s="2548"/>
      <c r="J100" s="2548"/>
      <c r="K100" s="2548"/>
      <c r="L100" s="2548"/>
      <c r="M100" s="2548"/>
      <c r="N100" s="2548"/>
    </row>
    <row r="101" spans="1:14" ht="30" customHeight="1" x14ac:dyDescent="0.25">
      <c r="A101" s="2548" t="s">
        <v>910</v>
      </c>
      <c r="B101" s="2548"/>
      <c r="C101" s="2548"/>
      <c r="D101" s="2548"/>
      <c r="E101" s="2548"/>
      <c r="F101" s="2548"/>
      <c r="G101" s="2548"/>
      <c r="H101" s="2548"/>
      <c r="I101" s="2548"/>
      <c r="J101" s="2548"/>
      <c r="K101" s="2548"/>
      <c r="L101" s="2548"/>
      <c r="M101" s="2548"/>
      <c r="N101" s="2548"/>
    </row>
    <row r="102" spans="1:14" ht="30" customHeight="1" x14ac:dyDescent="0.25">
      <c r="A102" s="2548" t="s">
        <v>911</v>
      </c>
      <c r="B102" s="2548"/>
      <c r="C102" s="2548"/>
      <c r="D102" s="2548"/>
      <c r="E102" s="2548"/>
      <c r="F102" s="2548"/>
      <c r="G102" s="2548"/>
      <c r="H102" s="2548"/>
      <c r="I102" s="2548"/>
      <c r="J102" s="2548"/>
      <c r="K102" s="2548"/>
      <c r="L102" s="2548"/>
      <c r="M102" s="2548"/>
      <c r="N102" s="2548"/>
    </row>
    <row r="103" spans="1:14" ht="30" customHeight="1" x14ac:dyDescent="0.25">
      <c r="A103" s="2548" t="s">
        <v>920</v>
      </c>
      <c r="B103" s="2548"/>
      <c r="C103" s="2548"/>
      <c r="D103" s="2548"/>
      <c r="E103" s="2548"/>
      <c r="F103" s="2548"/>
      <c r="G103" s="2548"/>
      <c r="H103" s="2548"/>
      <c r="I103" s="2548"/>
      <c r="J103" s="2548"/>
      <c r="K103" s="2548"/>
      <c r="L103" s="2548"/>
      <c r="M103" s="2548"/>
      <c r="N103" s="2548"/>
    </row>
    <row r="104" spans="1:14" x14ac:dyDescent="0.25">
      <c r="A104" s="2548" t="s">
        <v>913</v>
      </c>
      <c r="B104" s="2548"/>
      <c r="C104" s="2548"/>
      <c r="D104" s="2548"/>
      <c r="E104" s="2548"/>
      <c r="F104" s="2548"/>
      <c r="G104" s="2548"/>
      <c r="H104" s="2548"/>
      <c r="I104" s="2548"/>
      <c r="J104" s="2548"/>
      <c r="K104" s="2548"/>
      <c r="L104" s="2548"/>
      <c r="M104" s="2548"/>
      <c r="N104" s="2548"/>
    </row>
    <row r="105" spans="1:14" ht="15.75" x14ac:dyDescent="0.25">
      <c r="A105" s="1127"/>
      <c r="B105" s="1127"/>
      <c r="C105" s="1127"/>
      <c r="D105" s="1127"/>
      <c r="E105" s="1127"/>
      <c r="F105" s="1127"/>
      <c r="G105" s="1127"/>
      <c r="H105" s="1127"/>
      <c r="I105" s="1127"/>
      <c r="J105" s="1127"/>
      <c r="K105" s="1128" t="s">
        <v>1325</v>
      </c>
      <c r="L105" s="1129"/>
      <c r="M105" s="1130"/>
      <c r="N105" s="1130"/>
    </row>
    <row r="106" spans="1:14" x14ac:dyDescent="0.25">
      <c r="A106" s="1127" t="s">
        <v>1326</v>
      </c>
      <c r="B106" s="1127"/>
      <c r="C106" s="1127"/>
      <c r="D106" s="1127"/>
      <c r="E106" s="1127"/>
      <c r="F106" s="1127"/>
      <c r="G106" s="1127"/>
      <c r="H106" s="1127"/>
      <c r="I106" s="1127"/>
      <c r="J106" s="1127"/>
      <c r="K106" s="1131" t="s">
        <v>1327</v>
      </c>
      <c r="L106" s="1131"/>
      <c r="M106" s="1132"/>
      <c r="N106" s="1132"/>
    </row>
    <row r="107" spans="1:14" x14ac:dyDescent="0.25">
      <c r="A107" s="1127"/>
      <c r="B107" s="1127"/>
      <c r="C107" s="1127"/>
      <c r="D107" s="1127"/>
      <c r="E107" s="1127"/>
      <c r="F107" s="1127"/>
      <c r="G107" s="1127"/>
      <c r="H107" s="1127"/>
      <c r="I107" s="1127"/>
      <c r="J107" s="1127"/>
      <c r="K107" s="1131" t="s">
        <v>1328</v>
      </c>
      <c r="L107" s="1131"/>
      <c r="M107" s="1132"/>
      <c r="N107" s="1132"/>
    </row>
    <row r="108" spans="1:14" x14ac:dyDescent="0.25">
      <c r="A108" s="1133"/>
      <c r="K108" s="1134" t="s">
        <v>1329</v>
      </c>
      <c r="M108" s="493"/>
    </row>
  </sheetData>
  <customSheetViews>
    <customSheetView guid="{2AF6EA2A-E5C5-45EB-B6C4-875AD1E4E056}" scale="89" fitToPage="1">
      <pageMargins left="0.19685039370078741" right="0.19685039370078741" top="0.59055118110236227" bottom="0.59055118110236227" header="0.31496062992125984" footer="0.31496062992125984"/>
      <printOptions horizontalCentered="1"/>
      <pageSetup paperSize="9" scale="64" orientation="landscape" r:id="rId1"/>
    </customSheetView>
  </customSheetViews>
  <mergeCells count="39">
    <mergeCell ref="A103:N103"/>
    <mergeCell ref="A104:N104"/>
    <mergeCell ref="A97:N97"/>
    <mergeCell ref="A98:N98"/>
    <mergeCell ref="A100:N100"/>
    <mergeCell ref="A101:N101"/>
    <mergeCell ref="A102:N102"/>
    <mergeCell ref="N5:N6"/>
    <mergeCell ref="I5:I6"/>
    <mergeCell ref="E5:F5"/>
    <mergeCell ref="A99:N99"/>
    <mergeCell ref="I56:I57"/>
    <mergeCell ref="J56:J57"/>
    <mergeCell ref="K56:K57"/>
    <mergeCell ref="L56:L57"/>
    <mergeCell ref="M56:M57"/>
    <mergeCell ref="A56:A58"/>
    <mergeCell ref="B56:B58"/>
    <mergeCell ref="C56:D56"/>
    <mergeCell ref="E56:F56"/>
    <mergeCell ref="G56:H56"/>
    <mergeCell ref="N56:N57"/>
    <mergeCell ref="A94:N95"/>
    <mergeCell ref="K5:K6"/>
    <mergeCell ref="G5:H5"/>
    <mergeCell ref="J5:J6"/>
    <mergeCell ref="O5:O6"/>
    <mergeCell ref="A48:O48"/>
    <mergeCell ref="A45:O45"/>
    <mergeCell ref="A46:O46"/>
    <mergeCell ref="A47:O47"/>
    <mergeCell ref="A41:O41"/>
    <mergeCell ref="A44:O44"/>
    <mergeCell ref="A42:O42"/>
    <mergeCell ref="A43:O43"/>
    <mergeCell ref="A5:A7"/>
    <mergeCell ref="B5:B7"/>
    <mergeCell ref="C5:D5"/>
    <mergeCell ref="L5:L6"/>
  </mergeCells>
  <printOptions horizontalCentered="1"/>
  <pageMargins left="0.19685039370078741" right="0.19685039370078741" top="0.59055118110236227" bottom="0.59055118110236227" header="0.31496062992125984" footer="0.31496062992125984"/>
  <pageSetup paperSize="9" scale="48" orientation="landscape" r:id="rId2"/>
  <ignoredErrors>
    <ignoredError sqref="A21 A15:A16 A17"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2:S70"/>
  <sheetViews>
    <sheetView zoomScaleNormal="100" workbookViewId="0">
      <selection activeCell="J39" sqref="J39"/>
    </sheetView>
  </sheetViews>
  <sheetFormatPr defaultColWidth="26.28515625" defaultRowHeight="12.75" x14ac:dyDescent="0.25"/>
  <cols>
    <col min="1" max="1" width="4.28515625" style="465" customWidth="1"/>
    <col min="2" max="2" width="11.85546875" style="465" customWidth="1"/>
    <col min="3" max="3" width="26.28515625" style="465" customWidth="1"/>
    <col min="4" max="4" width="12.140625" style="465" customWidth="1"/>
    <col min="5" max="5" width="10.7109375" style="465" customWidth="1"/>
    <col min="6" max="6" width="11.5703125" style="465" customWidth="1"/>
    <col min="7" max="7" width="10.7109375" style="465" customWidth="1"/>
    <col min="8" max="8" width="11.7109375" style="465" customWidth="1"/>
    <col min="9" max="9" width="10.7109375" style="465" customWidth="1"/>
    <col min="10" max="10" width="12.5703125" style="465" customWidth="1"/>
    <col min="11" max="11" width="12.85546875" style="465" customWidth="1"/>
    <col min="12" max="12" width="10.7109375" style="465" customWidth="1"/>
    <col min="13" max="13" width="14" style="465" customWidth="1"/>
    <col min="14" max="14" width="10.7109375" style="465" customWidth="1"/>
    <col min="15" max="15" width="8.85546875" style="465" customWidth="1"/>
    <col min="16" max="253" width="9.140625" style="465" customWidth="1"/>
    <col min="254" max="254" width="3.28515625" style="465" customWidth="1"/>
    <col min="255" max="255" width="11.85546875" style="465" customWidth="1"/>
    <col min="256" max="16384" width="26.28515625" style="465"/>
  </cols>
  <sheetData>
    <row r="2" spans="1:19" s="18" customFormat="1" ht="15.75" hidden="1" x14ac:dyDescent="0.25">
      <c r="A2" s="462" t="s">
        <v>1146</v>
      </c>
      <c r="C2" s="17"/>
      <c r="D2" s="17"/>
      <c r="E2" s="17"/>
      <c r="F2" s="17"/>
      <c r="G2" s="17"/>
      <c r="H2" s="463"/>
      <c r="I2" s="17"/>
      <c r="J2" s="17"/>
      <c r="K2" s="464"/>
      <c r="L2" s="17"/>
      <c r="M2" s="17"/>
      <c r="N2" s="17"/>
      <c r="P2" s="17"/>
      <c r="Q2" s="17"/>
      <c r="R2" s="17"/>
      <c r="S2" s="17"/>
    </row>
    <row r="3" spans="1:19" ht="13.5" hidden="1" thickBot="1" x14ac:dyDescent="0.3">
      <c r="B3" s="466"/>
      <c r="C3" s="466"/>
      <c r="D3" s="467"/>
      <c r="E3" s="467"/>
      <c r="F3" s="466"/>
      <c r="G3" s="466"/>
      <c r="H3" s="466"/>
      <c r="I3" s="466"/>
      <c r="K3" s="464"/>
      <c r="L3" s="466"/>
      <c r="M3" s="466"/>
      <c r="N3" s="468" t="s">
        <v>499</v>
      </c>
      <c r="O3" s="466"/>
      <c r="P3" s="466"/>
      <c r="Q3" s="466"/>
      <c r="R3" s="466"/>
      <c r="S3" s="466"/>
    </row>
    <row r="4" spans="1:19" ht="27" hidden="1" customHeight="1" x14ac:dyDescent="0.25">
      <c r="A4" s="2662" t="s">
        <v>479</v>
      </c>
      <c r="B4" s="2665" t="s">
        <v>590</v>
      </c>
      <c r="C4" s="2668" t="s">
        <v>749</v>
      </c>
      <c r="D4" s="2671" t="s">
        <v>782</v>
      </c>
      <c r="E4" s="2558"/>
      <c r="F4" s="2558" t="s">
        <v>722</v>
      </c>
      <c r="G4" s="2558"/>
      <c r="H4" s="2558" t="s">
        <v>750</v>
      </c>
      <c r="I4" s="2558"/>
      <c r="J4" s="2567" t="s">
        <v>739</v>
      </c>
      <c r="K4" s="464"/>
      <c r="L4" s="2672" t="s">
        <v>796</v>
      </c>
      <c r="M4" s="2658" t="s">
        <v>866</v>
      </c>
      <c r="N4" s="2660" t="s">
        <v>724</v>
      </c>
    </row>
    <row r="5" spans="1:19" ht="15" hidden="1" customHeight="1" x14ac:dyDescent="0.25">
      <c r="A5" s="2663"/>
      <c r="B5" s="2666"/>
      <c r="C5" s="2669"/>
      <c r="D5" s="469" t="s">
        <v>783</v>
      </c>
      <c r="E5" s="426" t="s">
        <v>645</v>
      </c>
      <c r="F5" s="469" t="s">
        <v>777</v>
      </c>
      <c r="G5" s="426" t="s">
        <v>645</v>
      </c>
      <c r="H5" s="469" t="s">
        <v>751</v>
      </c>
      <c r="I5" s="426" t="s">
        <v>645</v>
      </c>
      <c r="J5" s="2568"/>
      <c r="K5" s="464"/>
      <c r="L5" s="2673"/>
      <c r="M5" s="2659"/>
      <c r="N5" s="2661"/>
    </row>
    <row r="6" spans="1:19" ht="12.75" hidden="1" customHeight="1" thickBot="1" x14ac:dyDescent="0.3">
      <c r="A6" s="2664"/>
      <c r="B6" s="2667"/>
      <c r="C6" s="2670"/>
      <c r="D6" s="427" t="s">
        <v>558</v>
      </c>
      <c r="E6" s="428" t="s">
        <v>559</v>
      </c>
      <c r="F6" s="428" t="s">
        <v>560</v>
      </c>
      <c r="G6" s="428" t="s">
        <v>561</v>
      </c>
      <c r="H6" s="428" t="s">
        <v>642</v>
      </c>
      <c r="I6" s="428" t="s">
        <v>643</v>
      </c>
      <c r="J6" s="430" t="s">
        <v>725</v>
      </c>
      <c r="K6" s="464"/>
      <c r="L6" s="470" t="s">
        <v>565</v>
      </c>
      <c r="M6" s="429" t="s">
        <v>566</v>
      </c>
      <c r="N6" s="430" t="s">
        <v>752</v>
      </c>
    </row>
    <row r="7" spans="1:19" s="464" customFormat="1" ht="12.75" hidden="1" customHeight="1" x14ac:dyDescent="0.25">
      <c r="A7" s="472">
        <v>1</v>
      </c>
      <c r="B7" s="670"/>
      <c r="C7" s="671"/>
      <c r="D7" s="672"/>
      <c r="E7" s="673"/>
      <c r="F7" s="673"/>
      <c r="G7" s="673"/>
      <c r="H7" s="674">
        <f>+D7+F7</f>
        <v>0</v>
      </c>
      <c r="I7" s="674">
        <f>+E7+G7</f>
        <v>0</v>
      </c>
      <c r="J7" s="675">
        <f>+H7-I7</f>
        <v>0</v>
      </c>
      <c r="K7" s="676"/>
      <c r="L7" s="677"/>
      <c r="M7" s="678"/>
      <c r="N7" s="675">
        <f t="shared" ref="N7:N14" si="0">+I7+L7+M7</f>
        <v>0</v>
      </c>
    </row>
    <row r="8" spans="1:19" ht="12.75" hidden="1" customHeight="1" x14ac:dyDescent="0.25">
      <c r="A8" s="473">
        <f t="shared" ref="A8:A13" si="1">+A7+1</f>
        <v>2</v>
      </c>
      <c r="B8" s="679"/>
      <c r="C8" s="680"/>
      <c r="D8" s="681"/>
      <c r="E8" s="682"/>
      <c r="F8" s="682"/>
      <c r="G8" s="682"/>
      <c r="H8" s="619">
        <f t="shared" ref="H8:I14" si="2">+D8+F8</f>
        <v>0</v>
      </c>
      <c r="I8" s="619">
        <f t="shared" si="2"/>
        <v>0</v>
      </c>
      <c r="J8" s="620">
        <f t="shared" ref="J8:J14" si="3">+H8-I8</f>
        <v>0</v>
      </c>
      <c r="K8" s="683"/>
      <c r="L8" s="681"/>
      <c r="M8" s="682"/>
      <c r="N8" s="620">
        <f t="shared" si="0"/>
        <v>0</v>
      </c>
    </row>
    <row r="9" spans="1:19" ht="12.75" hidden="1" customHeight="1" x14ac:dyDescent="0.25">
      <c r="A9" s="473">
        <f t="shared" si="1"/>
        <v>3</v>
      </c>
      <c r="B9" s="684"/>
      <c r="C9" s="685"/>
      <c r="D9" s="681"/>
      <c r="E9" s="682"/>
      <c r="F9" s="682"/>
      <c r="G9" s="682"/>
      <c r="H9" s="619">
        <f t="shared" si="2"/>
        <v>0</v>
      </c>
      <c r="I9" s="619">
        <f t="shared" si="2"/>
        <v>0</v>
      </c>
      <c r="J9" s="620">
        <f t="shared" si="3"/>
        <v>0</v>
      </c>
      <c r="K9" s="683"/>
      <c r="L9" s="681"/>
      <c r="M9" s="682"/>
      <c r="N9" s="620">
        <f t="shared" si="0"/>
        <v>0</v>
      </c>
    </row>
    <row r="10" spans="1:19" ht="12.75" hidden="1" customHeight="1" x14ac:dyDescent="0.25">
      <c r="A10" s="473">
        <f t="shared" si="1"/>
        <v>4</v>
      </c>
      <c r="B10" s="684"/>
      <c r="C10" s="685"/>
      <c r="D10" s="681"/>
      <c r="E10" s="682"/>
      <c r="F10" s="682"/>
      <c r="G10" s="682"/>
      <c r="H10" s="619">
        <f t="shared" si="2"/>
        <v>0</v>
      </c>
      <c r="I10" s="619">
        <f t="shared" si="2"/>
        <v>0</v>
      </c>
      <c r="J10" s="620">
        <f t="shared" si="3"/>
        <v>0</v>
      </c>
      <c r="K10" s="683"/>
      <c r="L10" s="681"/>
      <c r="M10" s="682"/>
      <c r="N10" s="620">
        <f t="shared" si="0"/>
        <v>0</v>
      </c>
    </row>
    <row r="11" spans="1:19" ht="12.75" hidden="1" customHeight="1" x14ac:dyDescent="0.25">
      <c r="A11" s="473">
        <f t="shared" si="1"/>
        <v>5</v>
      </c>
      <c r="B11" s="679"/>
      <c r="C11" s="680"/>
      <c r="D11" s="681"/>
      <c r="E11" s="682"/>
      <c r="F11" s="682"/>
      <c r="G11" s="682"/>
      <c r="H11" s="619">
        <f t="shared" si="2"/>
        <v>0</v>
      </c>
      <c r="I11" s="619">
        <f t="shared" si="2"/>
        <v>0</v>
      </c>
      <c r="J11" s="620">
        <f t="shared" si="3"/>
        <v>0</v>
      </c>
      <c r="K11" s="683"/>
      <c r="L11" s="681"/>
      <c r="M11" s="682"/>
      <c r="N11" s="620">
        <f t="shared" si="0"/>
        <v>0</v>
      </c>
    </row>
    <row r="12" spans="1:19" ht="12.75" hidden="1" customHeight="1" x14ac:dyDescent="0.25">
      <c r="A12" s="473">
        <f t="shared" si="1"/>
        <v>6</v>
      </c>
      <c r="B12" s="684"/>
      <c r="C12" s="685"/>
      <c r="D12" s="681"/>
      <c r="E12" s="682"/>
      <c r="F12" s="682"/>
      <c r="G12" s="682"/>
      <c r="H12" s="619">
        <f t="shared" si="2"/>
        <v>0</v>
      </c>
      <c r="I12" s="619">
        <f t="shared" si="2"/>
        <v>0</v>
      </c>
      <c r="J12" s="620">
        <f t="shared" si="3"/>
        <v>0</v>
      </c>
      <c r="K12" s="683"/>
      <c r="L12" s="681"/>
      <c r="M12" s="682"/>
      <c r="N12" s="620">
        <f t="shared" si="0"/>
        <v>0</v>
      </c>
    </row>
    <row r="13" spans="1:19" ht="12.75" hidden="1" customHeight="1" x14ac:dyDescent="0.25">
      <c r="A13" s="473">
        <f t="shared" si="1"/>
        <v>7</v>
      </c>
      <c r="B13" s="684"/>
      <c r="C13" s="685"/>
      <c r="D13" s="681"/>
      <c r="E13" s="682"/>
      <c r="F13" s="682"/>
      <c r="G13" s="682"/>
      <c r="H13" s="619">
        <f t="shared" si="2"/>
        <v>0</v>
      </c>
      <c r="I13" s="619">
        <f t="shared" si="2"/>
        <v>0</v>
      </c>
      <c r="J13" s="620">
        <f t="shared" si="3"/>
        <v>0</v>
      </c>
      <c r="K13" s="683"/>
      <c r="L13" s="681"/>
      <c r="M13" s="682"/>
      <c r="N13" s="620">
        <f t="shared" si="0"/>
        <v>0</v>
      </c>
    </row>
    <row r="14" spans="1:19" ht="12.75" hidden="1" customHeight="1" thickBot="1" x14ac:dyDescent="0.3">
      <c r="A14" s="572">
        <f>+A13+1</f>
        <v>8</v>
      </c>
      <c r="B14" s="686"/>
      <c r="C14" s="687"/>
      <c r="D14" s="688"/>
      <c r="E14" s="689"/>
      <c r="F14" s="689"/>
      <c r="G14" s="689"/>
      <c r="H14" s="664">
        <f t="shared" si="2"/>
        <v>0</v>
      </c>
      <c r="I14" s="664">
        <f t="shared" si="2"/>
        <v>0</v>
      </c>
      <c r="J14" s="667">
        <f t="shared" si="3"/>
        <v>0</v>
      </c>
      <c r="K14" s="683"/>
      <c r="L14" s="690"/>
      <c r="M14" s="691"/>
      <c r="N14" s="667">
        <f t="shared" si="0"/>
        <v>0</v>
      </c>
    </row>
    <row r="15" spans="1:19" s="475" customFormat="1" ht="12.75" hidden="1" customHeight="1" thickBot="1" x14ac:dyDescent="0.3">
      <c r="A15" s="474">
        <f>+A14+1</f>
        <v>9</v>
      </c>
      <c r="B15" s="719" t="s">
        <v>815</v>
      </c>
      <c r="C15" s="692"/>
      <c r="D15" s="627">
        <f>SUM(D7:D14)</f>
        <v>0</v>
      </c>
      <c r="E15" s="625">
        <f t="shared" ref="E15:J15" si="4">SUM(E7:E14)</f>
        <v>0</v>
      </c>
      <c r="F15" s="625">
        <f t="shared" si="4"/>
        <v>0</v>
      </c>
      <c r="G15" s="625">
        <f t="shared" si="4"/>
        <v>0</v>
      </c>
      <c r="H15" s="625">
        <f t="shared" si="4"/>
        <v>0</v>
      </c>
      <c r="I15" s="625">
        <f t="shared" si="4"/>
        <v>0</v>
      </c>
      <c r="J15" s="626">
        <f t="shared" si="4"/>
        <v>0</v>
      </c>
      <c r="K15" s="693"/>
      <c r="L15" s="627">
        <f>SUM(L7:L14)</f>
        <v>0</v>
      </c>
      <c r="M15" s="625">
        <f>SUM(M7:M14)</f>
        <v>0</v>
      </c>
      <c r="N15" s="626">
        <f>SUM(N7:N14)</f>
        <v>0</v>
      </c>
    </row>
    <row r="16" spans="1:19" s="557" customFormat="1" ht="15" hidden="1" x14ac:dyDescent="0.25">
      <c r="A16" s="553"/>
      <c r="B16" s="554"/>
      <c r="C16" s="554"/>
      <c r="D16" s="555"/>
      <c r="E16" s="555"/>
      <c r="F16" s="555"/>
      <c r="G16" s="555"/>
      <c r="H16" s="555"/>
      <c r="I16" s="555"/>
      <c r="J16" s="555"/>
      <c r="K16" s="556"/>
      <c r="L16" s="555"/>
      <c r="M16" s="555"/>
      <c r="N16" s="555"/>
    </row>
    <row r="17" spans="1:14" ht="18" hidden="1" customHeight="1" x14ac:dyDescent="0.25">
      <c r="A17" s="237" t="s">
        <v>600</v>
      </c>
    </row>
    <row r="18" spans="1:14" ht="30" hidden="1" customHeight="1" x14ac:dyDescent="0.25">
      <c r="A18" s="2637" t="s">
        <v>1147</v>
      </c>
      <c r="B18" s="2637"/>
      <c r="C18" s="2637"/>
      <c r="D18" s="2637"/>
      <c r="E18" s="2637"/>
      <c r="F18" s="2637"/>
      <c r="G18" s="2637"/>
      <c r="H18" s="2637"/>
      <c r="I18" s="2637"/>
      <c r="J18" s="2637"/>
      <c r="K18" s="2637"/>
      <c r="L18" s="2637"/>
      <c r="M18" s="2637"/>
      <c r="N18" s="2637"/>
    </row>
    <row r="19" spans="1:14" ht="14.25" hidden="1" customHeight="1" x14ac:dyDescent="0.25">
      <c r="A19" s="2637" t="s">
        <v>1148</v>
      </c>
      <c r="B19" s="2637"/>
      <c r="C19" s="2637"/>
      <c r="D19" s="2637"/>
      <c r="E19" s="2637"/>
      <c r="F19" s="2637"/>
      <c r="G19" s="2637"/>
      <c r="H19" s="2637"/>
      <c r="I19" s="2637"/>
      <c r="J19" s="2637"/>
      <c r="K19" s="2637"/>
      <c r="L19" s="2637"/>
      <c r="M19" s="2637"/>
      <c r="N19" s="2637"/>
    </row>
    <row r="20" spans="1:14" ht="28.5" hidden="1" customHeight="1" x14ac:dyDescent="0.25">
      <c r="A20" s="2637" t="s">
        <v>784</v>
      </c>
      <c r="B20" s="2637"/>
      <c r="C20" s="2637"/>
      <c r="D20" s="2637"/>
      <c r="E20" s="2637"/>
      <c r="F20" s="2637"/>
      <c r="G20" s="2637"/>
      <c r="H20" s="2637"/>
      <c r="I20" s="2637"/>
      <c r="J20" s="2637"/>
      <c r="K20" s="2637"/>
      <c r="L20" s="2637"/>
      <c r="M20" s="2637"/>
      <c r="N20" s="2637"/>
    </row>
    <row r="21" spans="1:14" hidden="1" x14ac:dyDescent="0.25">
      <c r="A21" s="2637" t="s">
        <v>797</v>
      </c>
      <c r="B21" s="2637"/>
      <c r="C21" s="2637"/>
      <c r="D21" s="2637"/>
      <c r="E21" s="2637"/>
      <c r="F21" s="2637"/>
      <c r="G21" s="2637"/>
      <c r="H21" s="2637"/>
      <c r="I21" s="2637"/>
      <c r="J21" s="2637"/>
      <c r="K21" s="2637"/>
      <c r="L21" s="2637"/>
      <c r="M21" s="2637"/>
      <c r="N21" s="2637"/>
    </row>
    <row r="22" spans="1:14" hidden="1" x14ac:dyDescent="0.25">
      <c r="A22" s="2637" t="s">
        <v>826</v>
      </c>
      <c r="B22" s="2637"/>
      <c r="C22" s="2637"/>
      <c r="D22" s="2637"/>
      <c r="E22" s="2637"/>
      <c r="F22" s="2637"/>
      <c r="G22" s="2637"/>
      <c r="H22" s="2637"/>
      <c r="I22" s="2637"/>
      <c r="J22" s="2637"/>
      <c r="K22" s="2637"/>
      <c r="L22" s="2637"/>
      <c r="M22" s="2637"/>
      <c r="N22" s="2637"/>
    </row>
    <row r="23" spans="1:14" hidden="1" x14ac:dyDescent="0.25"/>
    <row r="24" spans="1:14" hidden="1" x14ac:dyDescent="0.25">
      <c r="A24" s="465" t="s">
        <v>1185</v>
      </c>
    </row>
    <row r="25" spans="1:14" hidden="1" x14ac:dyDescent="0.25"/>
    <row r="26" spans="1:14" hidden="1" x14ac:dyDescent="0.25"/>
    <row r="27" spans="1:14" hidden="1" x14ac:dyDescent="0.25"/>
    <row r="28" spans="1:14" ht="15" x14ac:dyDescent="0.25">
      <c r="A28"/>
      <c r="B28"/>
    </row>
    <row r="29" spans="1:14" ht="18.75" x14ac:dyDescent="0.25">
      <c r="A29" s="910" t="s">
        <v>1278</v>
      </c>
    </row>
    <row r="30" spans="1:14" ht="15.75" x14ac:dyDescent="0.25">
      <c r="A30" s="462" t="s">
        <v>1146</v>
      </c>
      <c r="B30" s="18"/>
      <c r="C30" s="17"/>
      <c r="D30" s="17"/>
      <c r="E30" s="17"/>
    </row>
    <row r="31" spans="1:14" ht="15.75" thickBot="1" x14ac:dyDescent="0.3">
      <c r="K31" s="1462"/>
      <c r="L31" s="1462"/>
    </row>
    <row r="32" spans="1:14" ht="12.75" customHeight="1" x14ac:dyDescent="0.25">
      <c r="A32" s="2648" t="s">
        <v>479</v>
      </c>
      <c r="B32" s="2651" t="s">
        <v>590</v>
      </c>
      <c r="C32" s="2654" t="s">
        <v>749</v>
      </c>
      <c r="D32" s="2657" t="s">
        <v>1279</v>
      </c>
      <c r="E32" s="2640"/>
      <c r="F32" s="2640" t="s">
        <v>1280</v>
      </c>
      <c r="G32" s="2640"/>
      <c r="H32" s="2640" t="s">
        <v>1281</v>
      </c>
      <c r="I32" s="2640"/>
      <c r="J32" s="2641" t="s">
        <v>780</v>
      </c>
      <c r="K32" s="2643" t="s">
        <v>1282</v>
      </c>
      <c r="L32" s="2645" t="s">
        <v>1283</v>
      </c>
      <c r="M32" s="2647" t="s">
        <v>724</v>
      </c>
    </row>
    <row r="33" spans="1:13" x14ac:dyDescent="0.25">
      <c r="A33" s="2649"/>
      <c r="B33" s="2652"/>
      <c r="C33" s="2655"/>
      <c r="D33" s="911" t="s">
        <v>1284</v>
      </c>
      <c r="E33" s="912" t="s">
        <v>645</v>
      </c>
      <c r="F33" s="911" t="s">
        <v>1285</v>
      </c>
      <c r="G33" s="912" t="s">
        <v>645</v>
      </c>
      <c r="H33" s="911" t="s">
        <v>751</v>
      </c>
      <c r="I33" s="912" t="s">
        <v>645</v>
      </c>
      <c r="J33" s="2642"/>
      <c r="K33" s="2644"/>
      <c r="L33" s="2646"/>
      <c r="M33" s="2642"/>
    </row>
    <row r="34" spans="1:13" ht="13.5" thickBot="1" x14ac:dyDescent="0.3">
      <c r="A34" s="2650"/>
      <c r="B34" s="2653"/>
      <c r="C34" s="2656"/>
      <c r="D34" s="913" t="s">
        <v>558</v>
      </c>
      <c r="E34" s="914" t="s">
        <v>559</v>
      </c>
      <c r="F34" s="914" t="s">
        <v>560</v>
      </c>
      <c r="G34" s="914" t="s">
        <v>561</v>
      </c>
      <c r="H34" s="914" t="s">
        <v>642</v>
      </c>
      <c r="I34" s="914" t="s">
        <v>643</v>
      </c>
      <c r="J34" s="915" t="s">
        <v>725</v>
      </c>
      <c r="K34" s="916" t="s">
        <v>565</v>
      </c>
      <c r="L34" s="914" t="s">
        <v>566</v>
      </c>
      <c r="M34" s="915" t="s">
        <v>752</v>
      </c>
    </row>
    <row r="35" spans="1:13" ht="24" x14ac:dyDescent="0.25">
      <c r="A35" s="472">
        <v>1</v>
      </c>
      <c r="B35" s="917" t="s">
        <v>1286</v>
      </c>
      <c r="C35" s="918" t="s">
        <v>1287</v>
      </c>
      <c r="D35" s="919"/>
      <c r="E35" s="920"/>
      <c r="F35" s="921">
        <v>9680</v>
      </c>
      <c r="G35" s="921">
        <v>9680</v>
      </c>
      <c r="H35" s="922">
        <f>+D35+F35</f>
        <v>9680</v>
      </c>
      <c r="I35" s="922">
        <f>+E35+G35</f>
        <v>9680</v>
      </c>
      <c r="J35" s="923">
        <f>+H35-I35</f>
        <v>0</v>
      </c>
      <c r="K35" s="1463">
        <v>478</v>
      </c>
      <c r="L35" s="1464">
        <v>0</v>
      </c>
      <c r="M35" s="923">
        <f t="shared" ref="M35:M38" si="5">+I35+K35+L35</f>
        <v>10158</v>
      </c>
    </row>
    <row r="36" spans="1:13" ht="24" x14ac:dyDescent="0.25">
      <c r="A36" s="473">
        <v>2</v>
      </c>
      <c r="B36" s="924" t="s">
        <v>1288</v>
      </c>
      <c r="C36" s="925" t="s">
        <v>1289</v>
      </c>
      <c r="D36" s="926"/>
      <c r="E36" s="927"/>
      <c r="F36" s="928">
        <v>2143</v>
      </c>
      <c r="G36" s="928">
        <v>2143</v>
      </c>
      <c r="H36" s="929">
        <f t="shared" ref="H36:I38" si="6">+D36+F36</f>
        <v>2143</v>
      </c>
      <c r="I36" s="929">
        <f t="shared" si="6"/>
        <v>2143</v>
      </c>
      <c r="J36" s="930">
        <f t="shared" ref="J36:J38" si="7">+H36-I36</f>
        <v>0</v>
      </c>
      <c r="K36" s="1465">
        <v>4070</v>
      </c>
      <c r="L36" s="1466">
        <v>0</v>
      </c>
      <c r="M36" s="930">
        <f t="shared" si="5"/>
        <v>6213</v>
      </c>
    </row>
    <row r="37" spans="1:13" ht="24" x14ac:dyDescent="0.25">
      <c r="A37" s="473">
        <f t="shared" ref="A37:A38" si="8">+A36+1</f>
        <v>3</v>
      </c>
      <c r="B37" s="924" t="s">
        <v>1290</v>
      </c>
      <c r="C37" s="925" t="s">
        <v>1291</v>
      </c>
      <c r="D37" s="926"/>
      <c r="E37" s="927"/>
      <c r="F37" s="928">
        <v>20000</v>
      </c>
      <c r="G37" s="928">
        <v>20000</v>
      </c>
      <c r="H37" s="929">
        <f t="shared" si="6"/>
        <v>20000</v>
      </c>
      <c r="I37" s="929">
        <f t="shared" si="6"/>
        <v>20000</v>
      </c>
      <c r="J37" s="930">
        <f t="shared" si="7"/>
        <v>0</v>
      </c>
      <c r="K37" s="1465">
        <v>879</v>
      </c>
      <c r="L37" s="1466">
        <v>0</v>
      </c>
      <c r="M37" s="930">
        <f t="shared" si="5"/>
        <v>20879</v>
      </c>
    </row>
    <row r="38" spans="1:13" ht="24.75" thickBot="1" x14ac:dyDescent="0.3">
      <c r="A38" s="473">
        <f t="shared" si="8"/>
        <v>4</v>
      </c>
      <c r="B38" s="924" t="s">
        <v>1292</v>
      </c>
      <c r="C38" s="925" t="s">
        <v>1293</v>
      </c>
      <c r="D38" s="926"/>
      <c r="E38" s="927"/>
      <c r="F38" s="921">
        <v>7128</v>
      </c>
      <c r="G38" s="921">
        <v>7128</v>
      </c>
      <c r="H38" s="929">
        <f t="shared" si="6"/>
        <v>7128</v>
      </c>
      <c r="I38" s="929">
        <f t="shared" si="6"/>
        <v>7128</v>
      </c>
      <c r="J38" s="930">
        <f t="shared" si="7"/>
        <v>0</v>
      </c>
      <c r="K38" s="1465">
        <v>2452</v>
      </c>
      <c r="L38" s="1466">
        <v>0</v>
      </c>
      <c r="M38" s="930">
        <f t="shared" si="5"/>
        <v>9580</v>
      </c>
    </row>
    <row r="39" spans="1:13" ht="15.75" thickBot="1" x14ac:dyDescent="0.3">
      <c r="A39" s="931">
        <v>5</v>
      </c>
      <c r="B39" s="932" t="s">
        <v>1294</v>
      </c>
      <c r="C39" s="933"/>
      <c r="D39" s="934">
        <f t="shared" ref="D39:M39" si="9">SUM(D35:D38)</f>
        <v>0</v>
      </c>
      <c r="E39" s="935">
        <f t="shared" si="9"/>
        <v>0</v>
      </c>
      <c r="F39" s="935">
        <f t="shared" si="9"/>
        <v>38951</v>
      </c>
      <c r="G39" s="935">
        <f t="shared" si="9"/>
        <v>38951</v>
      </c>
      <c r="H39" s="935">
        <f t="shared" si="9"/>
        <v>38951</v>
      </c>
      <c r="I39" s="935">
        <f t="shared" si="9"/>
        <v>38951</v>
      </c>
      <c r="J39" s="936">
        <f t="shared" si="9"/>
        <v>0</v>
      </c>
      <c r="K39" s="934">
        <f t="shared" si="9"/>
        <v>7879</v>
      </c>
      <c r="L39" s="935">
        <f t="shared" si="9"/>
        <v>0</v>
      </c>
      <c r="M39" s="936">
        <f t="shared" si="9"/>
        <v>46830</v>
      </c>
    </row>
    <row r="41" spans="1:13" ht="12.75" customHeight="1" x14ac:dyDescent="0.25">
      <c r="A41" s="2638" t="s">
        <v>1304</v>
      </c>
      <c r="B41" s="2639"/>
      <c r="C41" s="2639"/>
      <c r="D41" s="2639"/>
      <c r="E41" s="2639"/>
      <c r="F41" s="2639"/>
      <c r="G41" s="2639"/>
      <c r="H41" s="2639"/>
      <c r="I41" s="2639"/>
      <c r="J41" s="2639"/>
      <c r="K41" s="2639"/>
      <c r="L41" s="2639"/>
      <c r="M41" s="2639"/>
    </row>
    <row r="42" spans="1:13" ht="12.75" customHeight="1" x14ac:dyDescent="0.25">
      <c r="A42" s="2639"/>
      <c r="B42" s="2639"/>
      <c r="C42" s="2639"/>
      <c r="D42" s="2639"/>
      <c r="E42" s="2639"/>
      <c r="F42" s="2639"/>
      <c r="G42" s="2639"/>
      <c r="H42" s="2639"/>
      <c r="I42" s="2639"/>
      <c r="J42" s="2639"/>
      <c r="K42" s="2639"/>
      <c r="L42" s="2639"/>
      <c r="M42" s="2639"/>
    </row>
    <row r="43" spans="1:13" x14ac:dyDescent="0.25">
      <c r="A43" s="237" t="s">
        <v>600</v>
      </c>
    </row>
    <row r="44" spans="1:13" ht="12.75" customHeight="1" x14ac:dyDescent="0.25">
      <c r="A44" s="2637" t="s">
        <v>1147</v>
      </c>
      <c r="B44" s="2637"/>
      <c r="C44" s="2637"/>
      <c r="D44" s="2637"/>
      <c r="E44" s="2637"/>
      <c r="F44" s="2637"/>
      <c r="G44" s="2637"/>
      <c r="H44" s="2637"/>
      <c r="I44" s="2637"/>
      <c r="J44" s="2637"/>
      <c r="K44" s="2637"/>
      <c r="L44" s="2637"/>
      <c r="M44" s="2637"/>
    </row>
    <row r="45" spans="1:13" ht="12.75" customHeight="1" x14ac:dyDescent="0.25">
      <c r="A45" s="2637" t="s">
        <v>1148</v>
      </c>
      <c r="B45" s="2637"/>
      <c r="C45" s="2637"/>
      <c r="D45" s="2637"/>
      <c r="E45" s="2637"/>
      <c r="F45" s="2637"/>
      <c r="G45" s="2637"/>
      <c r="H45" s="2637"/>
      <c r="I45" s="2637"/>
      <c r="J45" s="2637"/>
      <c r="K45" s="2637"/>
      <c r="L45" s="2637"/>
      <c r="M45" s="2637"/>
    </row>
    <row r="46" spans="1:13" ht="12.75" customHeight="1" x14ac:dyDescent="0.25">
      <c r="A46" s="2637" t="s">
        <v>784</v>
      </c>
      <c r="B46" s="2637"/>
      <c r="C46" s="2637"/>
      <c r="D46" s="2637"/>
      <c r="E46" s="2637"/>
      <c r="F46" s="2637"/>
      <c r="G46" s="2637"/>
      <c r="H46" s="2637"/>
      <c r="I46" s="2637"/>
      <c r="J46" s="2637"/>
      <c r="K46" s="2637"/>
      <c r="L46" s="2637"/>
      <c r="M46" s="2637"/>
    </row>
    <row r="47" spans="1:13" ht="12.75" customHeight="1" x14ac:dyDescent="0.25">
      <c r="A47" s="2637" t="s">
        <v>797</v>
      </c>
      <c r="B47" s="2637"/>
      <c r="C47" s="2637"/>
      <c r="D47" s="2637"/>
      <c r="E47" s="2637"/>
      <c r="F47" s="2637"/>
      <c r="G47" s="2637"/>
      <c r="H47" s="2637"/>
      <c r="I47" s="2637"/>
      <c r="J47" s="2637"/>
      <c r="K47" s="2637"/>
      <c r="L47" s="2637"/>
      <c r="M47" s="2637"/>
    </row>
    <row r="48" spans="1:13" ht="12.75" customHeight="1" x14ac:dyDescent="0.25">
      <c r="A48" s="2637" t="s">
        <v>826</v>
      </c>
      <c r="B48" s="2637"/>
      <c r="C48" s="2637"/>
      <c r="D48" s="2637"/>
      <c r="E48" s="2637"/>
      <c r="F48" s="2637"/>
      <c r="G48" s="2637"/>
      <c r="H48" s="2637"/>
      <c r="I48" s="2637"/>
      <c r="J48" s="2637"/>
      <c r="K48" s="2637"/>
      <c r="L48" s="2637"/>
      <c r="M48" s="2637"/>
    </row>
    <row r="49" spans="1:13" ht="15.75" x14ac:dyDescent="0.25">
      <c r="A49" s="139"/>
      <c r="B49" s="139"/>
      <c r="C49" s="139"/>
      <c r="D49" s="139"/>
      <c r="E49" s="139"/>
      <c r="F49" s="139"/>
      <c r="G49" s="139"/>
      <c r="H49" s="139"/>
      <c r="I49" s="139"/>
      <c r="J49" s="1128" t="s">
        <v>1325</v>
      </c>
      <c r="K49" s="1129"/>
      <c r="L49" s="1130"/>
      <c r="M49" s="1130"/>
    </row>
    <row r="50" spans="1:13" ht="15" x14ac:dyDescent="0.25">
      <c r="A50" s="139"/>
      <c r="B50" s="139"/>
      <c r="C50" s="139"/>
      <c r="D50" s="139"/>
      <c r="E50" s="139"/>
      <c r="F50" s="139"/>
      <c r="G50" s="139"/>
      <c r="H50" s="139"/>
      <c r="I50" s="139"/>
      <c r="J50" s="1131" t="s">
        <v>1327</v>
      </c>
      <c r="K50" s="1131"/>
      <c r="L50" s="1132"/>
      <c r="M50" s="1132"/>
    </row>
    <row r="51" spans="1:13" ht="15" x14ac:dyDescent="0.25">
      <c r="A51" s="139"/>
      <c r="B51" s="139"/>
      <c r="C51" s="139"/>
      <c r="D51" s="139"/>
      <c r="E51" s="139"/>
      <c r="F51" s="139"/>
      <c r="G51" s="139"/>
      <c r="H51" s="139"/>
      <c r="I51" s="139"/>
      <c r="J51" s="1131" t="s">
        <v>1328</v>
      </c>
      <c r="K51" s="1131"/>
      <c r="L51" s="1132"/>
      <c r="M51" s="1132"/>
    </row>
    <row r="52" spans="1:13" ht="15" x14ac:dyDescent="0.25">
      <c r="A52" s="139"/>
      <c r="B52" s="139"/>
      <c r="C52" s="139"/>
      <c r="D52" s="139"/>
      <c r="E52" s="139"/>
      <c r="F52" s="139"/>
      <c r="G52" s="139"/>
      <c r="H52" s="139"/>
      <c r="I52" s="139"/>
      <c r="J52" s="2375" t="s">
        <v>1915</v>
      </c>
      <c r="K52" s="2376"/>
      <c r="L52" s="2376"/>
      <c r="M52"/>
    </row>
    <row r="53" spans="1:13" ht="15" x14ac:dyDescent="0.25">
      <c r="A53" s="139"/>
      <c r="B53" s="139"/>
      <c r="C53" s="139"/>
      <c r="D53" s="139"/>
      <c r="E53" s="139"/>
      <c r="F53" s="139"/>
      <c r="G53" s="139"/>
      <c r="H53" s="139"/>
      <c r="I53" s="139"/>
      <c r="J53"/>
      <c r="K53"/>
      <c r="L53"/>
      <c r="M53"/>
    </row>
    <row r="54" spans="1:13" ht="15" x14ac:dyDescent="0.25">
      <c r="J54"/>
      <c r="K54"/>
      <c r="L54"/>
      <c r="M54"/>
    </row>
    <row r="55" spans="1:13" ht="15" x14ac:dyDescent="0.25">
      <c r="J55"/>
      <c r="K55"/>
      <c r="L55"/>
      <c r="M55"/>
    </row>
    <row r="56" spans="1:13" ht="15" x14ac:dyDescent="0.25">
      <c r="J56"/>
      <c r="K56"/>
      <c r="L56"/>
      <c r="M56"/>
    </row>
    <row r="57" spans="1:13" ht="15" x14ac:dyDescent="0.25">
      <c r="J57"/>
      <c r="K57"/>
      <c r="L57"/>
      <c r="M57"/>
    </row>
    <row r="58" spans="1:13" ht="15" x14ac:dyDescent="0.25">
      <c r="J58"/>
      <c r="K58"/>
      <c r="L58"/>
      <c r="M58"/>
    </row>
    <row r="59" spans="1:13" ht="15" x14ac:dyDescent="0.25">
      <c r="J59"/>
      <c r="K59"/>
      <c r="L59"/>
      <c r="M59"/>
    </row>
    <row r="60" spans="1:13" ht="15" x14ac:dyDescent="0.25">
      <c r="J60"/>
      <c r="K60"/>
      <c r="L60"/>
      <c r="M60"/>
    </row>
    <row r="61" spans="1:13" ht="15" x14ac:dyDescent="0.25">
      <c r="J61"/>
      <c r="K61"/>
      <c r="L61"/>
      <c r="M61"/>
    </row>
    <row r="62" spans="1:13" ht="15" x14ac:dyDescent="0.25">
      <c r="J62"/>
      <c r="K62"/>
      <c r="L62"/>
      <c r="M62"/>
    </row>
    <row r="63" spans="1:13" ht="15" x14ac:dyDescent="0.25">
      <c r="J63"/>
      <c r="K63"/>
      <c r="L63"/>
      <c r="M63"/>
    </row>
    <row r="64" spans="1:13" ht="15" x14ac:dyDescent="0.25">
      <c r="J64"/>
      <c r="K64"/>
      <c r="L64"/>
      <c r="M64"/>
    </row>
    <row r="65" spans="10:13" ht="15" x14ac:dyDescent="0.25">
      <c r="J65"/>
      <c r="K65"/>
      <c r="L65"/>
      <c r="M65"/>
    </row>
    <row r="66" spans="10:13" ht="15" x14ac:dyDescent="0.25">
      <c r="J66"/>
      <c r="K66"/>
      <c r="L66"/>
      <c r="M66"/>
    </row>
    <row r="67" spans="10:13" ht="15" x14ac:dyDescent="0.25">
      <c r="J67"/>
      <c r="K67"/>
      <c r="L67"/>
      <c r="M67"/>
    </row>
    <row r="68" spans="10:13" ht="15" x14ac:dyDescent="0.25">
      <c r="J68"/>
      <c r="K68"/>
      <c r="L68"/>
      <c r="M68"/>
    </row>
    <row r="70" spans="10:13" x14ac:dyDescent="0.25">
      <c r="J70" s="1134" t="s">
        <v>1329</v>
      </c>
    </row>
  </sheetData>
  <sheetProtection insertRows="0" deleteRows="0"/>
  <customSheetViews>
    <customSheetView guid="{2AF6EA2A-E5C5-45EB-B6C4-875AD1E4E056}" fitToPage="1">
      <pageMargins left="0.19685039370078741" right="0.19685039370078741" top="0.98425196850393704" bottom="0.98425196850393704" header="0.51181102362204722" footer="0.51181102362204722"/>
      <printOptions horizontalCentered="1"/>
      <pageSetup paperSize="9" scale="89" orientation="landscape" cellComments="asDisplayed" r:id="rId1"/>
      <headerFooter alignWithMargins="0"/>
    </customSheetView>
  </customSheetViews>
  <mergeCells count="31">
    <mergeCell ref="M4:M5"/>
    <mergeCell ref="N4:N5"/>
    <mergeCell ref="H4:I4"/>
    <mergeCell ref="A18:N18"/>
    <mergeCell ref="A22:N22"/>
    <mergeCell ref="A19:N19"/>
    <mergeCell ref="A20:N20"/>
    <mergeCell ref="A21:N21"/>
    <mergeCell ref="J4:J5"/>
    <mergeCell ref="A4:A6"/>
    <mergeCell ref="B4:B6"/>
    <mergeCell ref="C4:C6"/>
    <mergeCell ref="D4:E4"/>
    <mergeCell ref="F4:G4"/>
    <mergeCell ref="L4:L5"/>
    <mergeCell ref="A32:A34"/>
    <mergeCell ref="B32:B34"/>
    <mergeCell ref="C32:C34"/>
    <mergeCell ref="D32:E32"/>
    <mergeCell ref="F32:G32"/>
    <mergeCell ref="H32:I32"/>
    <mergeCell ref="J32:J33"/>
    <mergeCell ref="K32:K33"/>
    <mergeCell ref="L32:L33"/>
    <mergeCell ref="M32:M33"/>
    <mergeCell ref="A48:M48"/>
    <mergeCell ref="A41:M42"/>
    <mergeCell ref="A44:M44"/>
    <mergeCell ref="A45:M45"/>
    <mergeCell ref="A46:M46"/>
    <mergeCell ref="A47:M47"/>
  </mergeCells>
  <printOptions horizontalCentered="1"/>
  <pageMargins left="0.19685039370078741" right="0.19685039370078741" top="0.98425196850393704" bottom="0.98425196850393704" header="0.51181102362204722" footer="0.51181102362204722"/>
  <pageSetup paperSize="9" scale="69" orientation="landscape" cellComments="asDisplayed"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07F52"/>
    <pageSetUpPr fitToPage="1"/>
  </sheetPr>
  <dimension ref="A1:R93"/>
  <sheetViews>
    <sheetView topLeftCell="B1" zoomScale="89" zoomScaleNormal="89" workbookViewId="0">
      <selection activeCell="P77" sqref="P77"/>
    </sheetView>
  </sheetViews>
  <sheetFormatPr defaultColWidth="9.42578125" defaultRowHeight="15" x14ac:dyDescent="0.25"/>
  <cols>
    <col min="1" max="1" width="4" style="173" customWidth="1"/>
    <col min="2" max="2" width="2.28515625" style="173" customWidth="1"/>
    <col min="3" max="3" width="4.7109375" style="173" customWidth="1"/>
    <col min="4" max="4" width="7.7109375" style="173" customWidth="1"/>
    <col min="5" max="5" width="41.5703125" style="173" customWidth="1"/>
    <col min="6" max="6" width="5.42578125" style="173" customWidth="1"/>
    <col min="7" max="7" width="12.42578125" style="173" customWidth="1"/>
    <col min="8" max="8" width="10.140625" style="173" customWidth="1"/>
    <col min="9" max="9" width="11" style="173" customWidth="1"/>
    <col min="10" max="10" width="9.7109375" style="173" customWidth="1"/>
    <col min="11" max="11" width="11.28515625" style="173" customWidth="1"/>
    <col min="12" max="12" width="9.42578125" style="173" customWidth="1"/>
    <col min="13" max="13" width="10.85546875" style="173" customWidth="1"/>
    <col min="14" max="14" width="10.7109375" style="173" customWidth="1"/>
    <col min="15" max="15" width="10.42578125" style="173" customWidth="1"/>
    <col min="16" max="16" width="10.85546875" style="173" customWidth="1"/>
    <col min="17" max="18" width="10.140625" style="173" customWidth="1"/>
    <col min="19" max="247" width="9.140625" style="173" customWidth="1"/>
    <col min="248" max="248" width="5.28515625" style="173" customWidth="1"/>
    <col min="249" max="249" width="5.42578125" style="173" customWidth="1"/>
    <col min="250" max="250" width="7.7109375" style="173" customWidth="1"/>
    <col min="251" max="251" width="39.42578125" style="173" customWidth="1"/>
    <col min="252" max="252" width="11.28515625" style="173" customWidth="1"/>
    <col min="253" max="16384" width="9.42578125" style="173"/>
  </cols>
  <sheetData>
    <row r="1" spans="1:18" ht="15.75" x14ac:dyDescent="0.25">
      <c r="A1" s="574" t="s">
        <v>1149</v>
      </c>
      <c r="C1" s="178"/>
      <c r="D1" s="178"/>
      <c r="E1" s="178"/>
      <c r="F1" s="178"/>
    </row>
    <row r="2" spans="1:18" ht="15.75" x14ac:dyDescent="0.25">
      <c r="B2" s="178"/>
      <c r="C2" s="178"/>
      <c r="D2" s="178"/>
      <c r="R2" s="492" t="s">
        <v>507</v>
      </c>
    </row>
    <row r="3" spans="1:18" s="177" customFormat="1" ht="50.25" hidden="1" customHeight="1" x14ac:dyDescent="0.25">
      <c r="A3" s="2551" t="s">
        <v>479</v>
      </c>
      <c r="B3" s="2569" t="s">
        <v>799</v>
      </c>
      <c r="C3" s="2569"/>
      <c r="D3" s="2569"/>
      <c r="E3" s="2569"/>
      <c r="F3" s="2725" t="s">
        <v>803</v>
      </c>
      <c r="G3" s="2671" t="s">
        <v>721</v>
      </c>
      <c r="H3" s="2558"/>
      <c r="I3" s="2558" t="s">
        <v>722</v>
      </c>
      <c r="J3" s="2558"/>
      <c r="K3" s="2558" t="s">
        <v>723</v>
      </c>
      <c r="L3" s="2719"/>
      <c r="M3" s="2723" t="s">
        <v>802</v>
      </c>
      <c r="N3" s="2603" t="s">
        <v>1107</v>
      </c>
      <c r="O3" s="2658" t="s">
        <v>921</v>
      </c>
      <c r="P3" s="2567" t="s">
        <v>922</v>
      </c>
      <c r="Q3" s="2658" t="s">
        <v>869</v>
      </c>
      <c r="R3" s="2720" t="s">
        <v>724</v>
      </c>
    </row>
    <row r="4" spans="1:18" s="177" customFormat="1" ht="15" hidden="1" customHeight="1" x14ac:dyDescent="0.25">
      <c r="A4" s="2552"/>
      <c r="B4" s="2571"/>
      <c r="C4" s="2571"/>
      <c r="D4" s="2571"/>
      <c r="E4" s="2571"/>
      <c r="F4" s="2726"/>
      <c r="G4" s="469" t="s">
        <v>800</v>
      </c>
      <c r="H4" s="426" t="s">
        <v>801</v>
      </c>
      <c r="I4" s="426" t="s">
        <v>640</v>
      </c>
      <c r="J4" s="426" t="s">
        <v>645</v>
      </c>
      <c r="K4" s="426" t="s">
        <v>640</v>
      </c>
      <c r="L4" s="535" t="s">
        <v>645</v>
      </c>
      <c r="M4" s="2724"/>
      <c r="N4" s="2604"/>
      <c r="O4" s="2659"/>
      <c r="P4" s="2568"/>
      <c r="Q4" s="2659"/>
      <c r="R4" s="2721"/>
    </row>
    <row r="5" spans="1:18" s="177" customFormat="1" ht="17.25" hidden="1" customHeight="1" thickBot="1" x14ac:dyDescent="0.3">
      <c r="A5" s="2553"/>
      <c r="B5" s="2573"/>
      <c r="C5" s="2573"/>
      <c r="D5" s="2573"/>
      <c r="E5" s="2573"/>
      <c r="F5" s="2727"/>
      <c r="G5" s="427" t="s">
        <v>558</v>
      </c>
      <c r="H5" s="428" t="s">
        <v>559</v>
      </c>
      <c r="I5" s="428" t="s">
        <v>560</v>
      </c>
      <c r="J5" s="428" t="s">
        <v>561</v>
      </c>
      <c r="K5" s="428" t="s">
        <v>642</v>
      </c>
      <c r="L5" s="536" t="s">
        <v>643</v>
      </c>
      <c r="M5" s="524" t="s">
        <v>787</v>
      </c>
      <c r="N5" s="550" t="s">
        <v>798</v>
      </c>
      <c r="O5" s="429" t="s">
        <v>725</v>
      </c>
      <c r="P5" s="430" t="s">
        <v>565</v>
      </c>
      <c r="Q5" s="429" t="s">
        <v>566</v>
      </c>
      <c r="R5" s="471" t="s">
        <v>898</v>
      </c>
    </row>
    <row r="6" spans="1:18" s="179" customFormat="1" ht="16.5" hidden="1" customHeight="1" x14ac:dyDescent="0.25">
      <c r="A6" s="566">
        <v>1</v>
      </c>
      <c r="B6" s="2709" t="s">
        <v>644</v>
      </c>
      <c r="C6" s="2709"/>
      <c r="D6" s="2709"/>
      <c r="E6" s="2709"/>
      <c r="F6" s="560"/>
      <c r="G6" s="615">
        <f>+G7+G13</f>
        <v>0</v>
      </c>
      <c r="H6" s="613">
        <f t="shared" ref="H6:Q6" si="0">+H7+H13</f>
        <v>0</v>
      </c>
      <c r="I6" s="613">
        <f t="shared" si="0"/>
        <v>0</v>
      </c>
      <c r="J6" s="613">
        <f t="shared" si="0"/>
        <v>0</v>
      </c>
      <c r="K6" s="613">
        <f t="shared" si="0"/>
        <v>0</v>
      </c>
      <c r="L6" s="628">
        <f t="shared" si="0"/>
        <v>0</v>
      </c>
      <c r="M6" s="657">
        <f t="shared" si="0"/>
        <v>0</v>
      </c>
      <c r="N6" s="657">
        <f>+N7+N13</f>
        <v>0</v>
      </c>
      <c r="O6" s="613">
        <f t="shared" si="0"/>
        <v>0</v>
      </c>
      <c r="P6" s="614">
        <f t="shared" si="0"/>
        <v>0</v>
      </c>
      <c r="Q6" s="613">
        <f t="shared" si="0"/>
        <v>0</v>
      </c>
      <c r="R6" s="614">
        <f>+R7+Q13</f>
        <v>0</v>
      </c>
    </row>
    <row r="7" spans="1:18" s="179" customFormat="1" ht="12.75" hidden="1" x14ac:dyDescent="0.25">
      <c r="A7" s="567">
        <f>A6+1</f>
        <v>2</v>
      </c>
      <c r="B7" s="2722" t="s">
        <v>891</v>
      </c>
      <c r="C7" s="2722"/>
      <c r="D7" s="2722"/>
      <c r="E7" s="2722"/>
      <c r="F7" s="537"/>
      <c r="G7" s="618"/>
      <c r="H7" s="616"/>
      <c r="I7" s="616"/>
      <c r="J7" s="616"/>
      <c r="K7" s="616"/>
      <c r="L7" s="631"/>
      <c r="M7" s="658"/>
      <c r="N7" s="658"/>
      <c r="O7" s="616"/>
      <c r="P7" s="617"/>
      <c r="Q7" s="616"/>
      <c r="R7" s="617"/>
    </row>
    <row r="8" spans="1:18" s="177" customFormat="1" ht="12.75" hidden="1" x14ac:dyDescent="0.25">
      <c r="A8" s="500">
        <f>+A7+1</f>
        <v>3</v>
      </c>
      <c r="B8" s="511"/>
      <c r="C8" s="2712" t="s">
        <v>727</v>
      </c>
      <c r="D8" s="2713"/>
      <c r="E8" s="2714"/>
      <c r="F8" s="538"/>
      <c r="G8" s="621"/>
      <c r="H8" s="619"/>
      <c r="I8" s="619"/>
      <c r="J8" s="619"/>
      <c r="K8" s="619">
        <f t="shared" ref="K8:L12" si="1">+G8+I8</f>
        <v>0</v>
      </c>
      <c r="L8" s="633">
        <f t="shared" si="1"/>
        <v>0</v>
      </c>
      <c r="M8" s="659"/>
      <c r="N8" s="659"/>
      <c r="O8" s="619">
        <f>+K8-L8</f>
        <v>0</v>
      </c>
      <c r="P8" s="620"/>
      <c r="Q8" s="619"/>
      <c r="R8" s="620">
        <f>+L8+Q8</f>
        <v>0</v>
      </c>
    </row>
    <row r="9" spans="1:18" s="177" customFormat="1" ht="12.75" hidden="1" x14ac:dyDescent="0.25">
      <c r="A9" s="500">
        <f t="shared" ref="A9:A31" si="2">+A8+1</f>
        <v>4</v>
      </c>
      <c r="B9" s="505"/>
      <c r="C9" s="505"/>
      <c r="D9" s="2715" t="s">
        <v>728</v>
      </c>
      <c r="E9" s="2715"/>
      <c r="F9" s="539"/>
      <c r="G9" s="621"/>
      <c r="H9" s="619"/>
      <c r="I9" s="619"/>
      <c r="J9" s="619"/>
      <c r="K9" s="619">
        <f t="shared" si="1"/>
        <v>0</v>
      </c>
      <c r="L9" s="633">
        <f t="shared" si="1"/>
        <v>0</v>
      </c>
      <c r="M9" s="659"/>
      <c r="N9" s="659"/>
      <c r="O9" s="619">
        <f>+K9-L9</f>
        <v>0</v>
      </c>
      <c r="P9" s="620"/>
      <c r="Q9" s="619"/>
      <c r="R9" s="620">
        <f>+L9+Q9</f>
        <v>0</v>
      </c>
    </row>
    <row r="10" spans="1:18" s="177" customFormat="1" ht="12.75" hidden="1" x14ac:dyDescent="0.25">
      <c r="A10" s="500">
        <f t="shared" si="2"/>
        <v>5</v>
      </c>
      <c r="B10" s="505"/>
      <c r="C10" s="505"/>
      <c r="D10" s="2715" t="s">
        <v>729</v>
      </c>
      <c r="E10" s="2715"/>
      <c r="F10" s="539"/>
      <c r="G10" s="621"/>
      <c r="H10" s="619"/>
      <c r="I10" s="619"/>
      <c r="J10" s="619"/>
      <c r="K10" s="619">
        <f t="shared" si="1"/>
        <v>0</v>
      </c>
      <c r="L10" s="633">
        <f t="shared" si="1"/>
        <v>0</v>
      </c>
      <c r="M10" s="659"/>
      <c r="N10" s="659"/>
      <c r="O10" s="619">
        <f>+K10-L10</f>
        <v>0</v>
      </c>
      <c r="P10" s="620"/>
      <c r="Q10" s="619"/>
      <c r="R10" s="620">
        <f>+L10+Q10</f>
        <v>0</v>
      </c>
    </row>
    <row r="11" spans="1:18" s="177" customFormat="1" ht="12.75" hidden="1" x14ac:dyDescent="0.25">
      <c r="A11" s="500">
        <f t="shared" si="2"/>
        <v>6</v>
      </c>
      <c r="B11" s="506"/>
      <c r="C11" s="506"/>
      <c r="D11" s="2716" t="s">
        <v>730</v>
      </c>
      <c r="E11" s="2716"/>
      <c r="F11" s="540"/>
      <c r="G11" s="621"/>
      <c r="H11" s="619"/>
      <c r="I11" s="619"/>
      <c r="J11" s="619"/>
      <c r="K11" s="619">
        <f t="shared" si="1"/>
        <v>0</v>
      </c>
      <c r="L11" s="633">
        <f t="shared" si="1"/>
        <v>0</v>
      </c>
      <c r="M11" s="659"/>
      <c r="N11" s="659"/>
      <c r="O11" s="619">
        <f>+K11-L11</f>
        <v>0</v>
      </c>
      <c r="P11" s="620"/>
      <c r="Q11" s="619"/>
      <c r="R11" s="620">
        <f>+L11+Q11</f>
        <v>0</v>
      </c>
    </row>
    <row r="12" spans="1:18" s="177" customFormat="1" ht="12.75" hidden="1" x14ac:dyDescent="0.25">
      <c r="A12" s="500">
        <f t="shared" si="2"/>
        <v>7</v>
      </c>
      <c r="B12" s="506"/>
      <c r="C12" s="506"/>
      <c r="D12" s="2707" t="s">
        <v>646</v>
      </c>
      <c r="E12" s="2707" t="s">
        <v>646</v>
      </c>
      <c r="F12" s="541"/>
      <c r="G12" s="621"/>
      <c r="H12" s="619"/>
      <c r="I12" s="619"/>
      <c r="J12" s="619"/>
      <c r="K12" s="619">
        <f t="shared" si="1"/>
        <v>0</v>
      </c>
      <c r="L12" s="633">
        <f t="shared" si="1"/>
        <v>0</v>
      </c>
      <c r="M12" s="659"/>
      <c r="N12" s="659"/>
      <c r="O12" s="619">
        <f>+K12-L12</f>
        <v>0</v>
      </c>
      <c r="P12" s="620"/>
      <c r="Q12" s="619"/>
      <c r="R12" s="620">
        <f>+L12+Q12</f>
        <v>0</v>
      </c>
    </row>
    <row r="13" spans="1:18" s="179" customFormat="1" ht="12.75" hidden="1" x14ac:dyDescent="0.25">
      <c r="A13" s="561">
        <f t="shared" si="2"/>
        <v>8</v>
      </c>
      <c r="B13" s="2717" t="s">
        <v>892</v>
      </c>
      <c r="C13" s="2717"/>
      <c r="D13" s="2717"/>
      <c r="E13" s="2717"/>
      <c r="F13" s="537"/>
      <c r="G13" s="618"/>
      <c r="H13" s="616"/>
      <c r="I13" s="616"/>
      <c r="J13" s="616"/>
      <c r="K13" s="616"/>
      <c r="L13" s="631"/>
      <c r="M13" s="658"/>
      <c r="N13" s="658"/>
      <c r="O13" s="616"/>
      <c r="P13" s="617"/>
      <c r="Q13" s="616"/>
      <c r="R13" s="617"/>
    </row>
    <row r="14" spans="1:18" s="177" customFormat="1" ht="12.75" hidden="1" x14ac:dyDescent="0.25">
      <c r="A14" s="500">
        <f t="shared" si="2"/>
        <v>9</v>
      </c>
      <c r="B14" s="505"/>
      <c r="C14" s="2715" t="s">
        <v>731</v>
      </c>
      <c r="D14" s="2715"/>
      <c r="E14" s="2715"/>
      <c r="F14" s="539"/>
      <c r="G14" s="621"/>
      <c r="H14" s="619"/>
      <c r="I14" s="619"/>
      <c r="J14" s="619"/>
      <c r="K14" s="619">
        <f t="shared" ref="K14:K22" si="3">+G14+I14</f>
        <v>0</v>
      </c>
      <c r="L14" s="633">
        <f t="shared" ref="L14:L22" si="4">+H14+J14</f>
        <v>0</v>
      </c>
      <c r="M14" s="659"/>
      <c r="N14" s="659"/>
      <c r="O14" s="619">
        <f t="shared" ref="O14:O22" si="5">+K14-L14</f>
        <v>0</v>
      </c>
      <c r="P14" s="620"/>
      <c r="Q14" s="619"/>
      <c r="R14" s="620">
        <f t="shared" ref="R14:R22" si="6">+L14+Q14</f>
        <v>0</v>
      </c>
    </row>
    <row r="15" spans="1:18" s="177" customFormat="1" ht="12.75" hidden="1" x14ac:dyDescent="0.25">
      <c r="A15" s="500">
        <f t="shared" si="2"/>
        <v>10</v>
      </c>
      <c r="B15" s="505"/>
      <c r="C15" s="513"/>
      <c r="D15" s="513" t="s">
        <v>732</v>
      </c>
      <c r="E15" s="513"/>
      <c r="F15" s="539"/>
      <c r="G15" s="621"/>
      <c r="H15" s="619"/>
      <c r="I15" s="619"/>
      <c r="J15" s="619"/>
      <c r="K15" s="619">
        <f t="shared" si="3"/>
        <v>0</v>
      </c>
      <c r="L15" s="633">
        <f t="shared" si="4"/>
        <v>0</v>
      </c>
      <c r="M15" s="659"/>
      <c r="N15" s="659"/>
      <c r="O15" s="619">
        <f t="shared" si="5"/>
        <v>0</v>
      </c>
      <c r="P15" s="620"/>
      <c r="Q15" s="619"/>
      <c r="R15" s="620">
        <f t="shared" si="6"/>
        <v>0</v>
      </c>
    </row>
    <row r="16" spans="1:18" s="177" customFormat="1" ht="12.75" hidden="1" x14ac:dyDescent="0.25">
      <c r="A16" s="500">
        <f t="shared" si="2"/>
        <v>11</v>
      </c>
      <c r="B16" s="505"/>
      <c r="C16" s="2715" t="s">
        <v>733</v>
      </c>
      <c r="D16" s="2715"/>
      <c r="E16" s="2715"/>
      <c r="F16" s="539"/>
      <c r="G16" s="621"/>
      <c r="H16" s="619"/>
      <c r="I16" s="619"/>
      <c r="J16" s="619"/>
      <c r="K16" s="619">
        <f t="shared" si="3"/>
        <v>0</v>
      </c>
      <c r="L16" s="633">
        <f t="shared" si="4"/>
        <v>0</v>
      </c>
      <c r="M16" s="659"/>
      <c r="N16" s="659"/>
      <c r="O16" s="619">
        <f t="shared" si="5"/>
        <v>0</v>
      </c>
      <c r="P16" s="620"/>
      <c r="Q16" s="619"/>
      <c r="R16" s="620">
        <f t="shared" si="6"/>
        <v>0</v>
      </c>
    </row>
    <row r="17" spans="1:18" s="177" customFormat="1" ht="12.75" hidden="1" x14ac:dyDescent="0.25">
      <c r="A17" s="500">
        <f t="shared" si="2"/>
        <v>12</v>
      </c>
      <c r="B17" s="364"/>
      <c r="C17" s="522"/>
      <c r="D17" s="507" t="s">
        <v>734</v>
      </c>
      <c r="E17" s="513"/>
      <c r="F17" s="539"/>
      <c r="G17" s="621"/>
      <c r="H17" s="619"/>
      <c r="I17" s="619"/>
      <c r="J17" s="619"/>
      <c r="K17" s="619">
        <f t="shared" si="3"/>
        <v>0</v>
      </c>
      <c r="L17" s="633">
        <f t="shared" si="4"/>
        <v>0</v>
      </c>
      <c r="M17" s="659"/>
      <c r="N17" s="659"/>
      <c r="O17" s="619">
        <f t="shared" si="5"/>
        <v>0</v>
      </c>
      <c r="P17" s="620"/>
      <c r="Q17" s="619"/>
      <c r="R17" s="620">
        <f t="shared" si="6"/>
        <v>0</v>
      </c>
    </row>
    <row r="18" spans="1:18" s="177" customFormat="1" ht="12.75" hidden="1" x14ac:dyDescent="0.25">
      <c r="A18" s="500">
        <f t="shared" si="2"/>
        <v>13</v>
      </c>
      <c r="B18" s="364"/>
      <c r="C18" s="513" t="s">
        <v>735</v>
      </c>
      <c r="D18" s="364"/>
      <c r="E18" s="513"/>
      <c r="F18" s="539"/>
      <c r="G18" s="621"/>
      <c r="H18" s="619"/>
      <c r="I18" s="619"/>
      <c r="J18" s="619"/>
      <c r="K18" s="619">
        <f t="shared" si="3"/>
        <v>0</v>
      </c>
      <c r="L18" s="633">
        <f t="shared" si="4"/>
        <v>0</v>
      </c>
      <c r="M18" s="659"/>
      <c r="N18" s="659"/>
      <c r="O18" s="619">
        <f t="shared" si="5"/>
        <v>0</v>
      </c>
      <c r="P18" s="620"/>
      <c r="Q18" s="619"/>
      <c r="R18" s="620">
        <f t="shared" si="6"/>
        <v>0</v>
      </c>
    </row>
    <row r="19" spans="1:18" s="177" customFormat="1" ht="12.75" hidden="1" x14ac:dyDescent="0.25">
      <c r="A19" s="500">
        <f t="shared" si="2"/>
        <v>14</v>
      </c>
      <c r="B19" s="364"/>
      <c r="C19" s="364"/>
      <c r="D19" s="2707" t="s">
        <v>646</v>
      </c>
      <c r="E19" s="2707" t="s">
        <v>646</v>
      </c>
      <c r="F19" s="541"/>
      <c r="G19" s="621"/>
      <c r="H19" s="619"/>
      <c r="I19" s="619"/>
      <c r="J19" s="619"/>
      <c r="K19" s="619">
        <f t="shared" si="3"/>
        <v>0</v>
      </c>
      <c r="L19" s="633">
        <f t="shared" si="4"/>
        <v>0</v>
      </c>
      <c r="M19" s="659"/>
      <c r="N19" s="659"/>
      <c r="O19" s="619">
        <f t="shared" si="5"/>
        <v>0</v>
      </c>
      <c r="P19" s="620"/>
      <c r="Q19" s="619"/>
      <c r="R19" s="620">
        <f t="shared" si="6"/>
        <v>0</v>
      </c>
    </row>
    <row r="20" spans="1:18" s="177" customFormat="1" ht="12.75" hidden="1" x14ac:dyDescent="0.25">
      <c r="A20" s="500">
        <f t="shared" si="2"/>
        <v>15</v>
      </c>
      <c r="B20" s="364"/>
      <c r="C20" s="513" t="s">
        <v>736</v>
      </c>
      <c r="D20" s="364"/>
      <c r="E20" s="513"/>
      <c r="F20" s="539"/>
      <c r="G20" s="621"/>
      <c r="H20" s="619"/>
      <c r="I20" s="619"/>
      <c r="J20" s="619"/>
      <c r="K20" s="619">
        <f t="shared" si="3"/>
        <v>0</v>
      </c>
      <c r="L20" s="633">
        <f t="shared" si="4"/>
        <v>0</v>
      </c>
      <c r="M20" s="659"/>
      <c r="N20" s="659"/>
      <c r="O20" s="619">
        <f t="shared" si="5"/>
        <v>0</v>
      </c>
      <c r="P20" s="620"/>
      <c r="Q20" s="619"/>
      <c r="R20" s="620">
        <f t="shared" si="6"/>
        <v>0</v>
      </c>
    </row>
    <row r="21" spans="1:18" s="177" customFormat="1" ht="12.75" hidden="1" x14ac:dyDescent="0.25">
      <c r="A21" s="500">
        <f t="shared" si="2"/>
        <v>16</v>
      </c>
      <c r="B21" s="506"/>
      <c r="C21" s="514"/>
      <c r="D21" s="507" t="s">
        <v>737</v>
      </c>
      <c r="E21" s="513"/>
      <c r="F21" s="539"/>
      <c r="G21" s="621"/>
      <c r="H21" s="619"/>
      <c r="I21" s="619"/>
      <c r="J21" s="619"/>
      <c r="K21" s="619">
        <f t="shared" si="3"/>
        <v>0</v>
      </c>
      <c r="L21" s="633">
        <f t="shared" si="4"/>
        <v>0</v>
      </c>
      <c r="M21" s="659"/>
      <c r="N21" s="659"/>
      <c r="O21" s="619">
        <f t="shared" si="5"/>
        <v>0</v>
      </c>
      <c r="P21" s="620"/>
      <c r="Q21" s="619"/>
      <c r="R21" s="620">
        <f t="shared" si="6"/>
        <v>0</v>
      </c>
    </row>
    <row r="22" spans="1:18" s="177" customFormat="1" ht="12.75" hidden="1" x14ac:dyDescent="0.25">
      <c r="A22" s="500">
        <f t="shared" si="2"/>
        <v>17</v>
      </c>
      <c r="B22" s="364"/>
      <c r="C22" s="364"/>
      <c r="D22" s="2707" t="s">
        <v>646</v>
      </c>
      <c r="E22" s="2707" t="s">
        <v>646</v>
      </c>
      <c r="F22" s="541"/>
      <c r="G22" s="663"/>
      <c r="H22" s="664"/>
      <c r="I22" s="664"/>
      <c r="J22" s="664"/>
      <c r="K22" s="664">
        <f t="shared" si="3"/>
        <v>0</v>
      </c>
      <c r="L22" s="665">
        <f t="shared" si="4"/>
        <v>0</v>
      </c>
      <c r="M22" s="666"/>
      <c r="N22" s="666"/>
      <c r="O22" s="664">
        <f t="shared" si="5"/>
        <v>0</v>
      </c>
      <c r="P22" s="667"/>
      <c r="Q22" s="664"/>
      <c r="R22" s="667">
        <f t="shared" si="6"/>
        <v>0</v>
      </c>
    </row>
    <row r="23" spans="1:18" s="179" customFormat="1" ht="15.75" hidden="1" customHeight="1" x14ac:dyDescent="0.25">
      <c r="A23" s="498">
        <f t="shared" si="2"/>
        <v>18</v>
      </c>
      <c r="B23" s="2710" t="s">
        <v>788</v>
      </c>
      <c r="C23" s="2556"/>
      <c r="D23" s="2556"/>
      <c r="E23" s="2711"/>
      <c r="F23" s="565"/>
      <c r="G23" s="624"/>
      <c r="H23" s="622"/>
      <c r="I23" s="622"/>
      <c r="J23" s="622"/>
      <c r="K23" s="622"/>
      <c r="L23" s="649"/>
      <c r="M23" s="660"/>
      <c r="N23" s="660"/>
      <c r="O23" s="622"/>
      <c r="P23" s="623"/>
      <c r="Q23" s="622"/>
      <c r="R23" s="623"/>
    </row>
    <row r="24" spans="1:18" s="179" customFormat="1" ht="12.75" hidden="1" x14ac:dyDescent="0.25">
      <c r="A24" s="561">
        <f t="shared" si="2"/>
        <v>19</v>
      </c>
      <c r="B24" s="2549" t="s">
        <v>877</v>
      </c>
      <c r="C24" s="2559"/>
      <c r="D24" s="2559"/>
      <c r="E24" s="2708"/>
      <c r="F24" s="564"/>
      <c r="G24" s="618"/>
      <c r="H24" s="616"/>
      <c r="I24" s="616"/>
      <c r="J24" s="616"/>
      <c r="K24" s="616"/>
      <c r="L24" s="631"/>
      <c r="M24" s="658"/>
      <c r="N24" s="658"/>
      <c r="O24" s="616"/>
      <c r="P24" s="617"/>
      <c r="Q24" s="616"/>
      <c r="R24" s="617"/>
    </row>
    <row r="25" spans="1:18" s="177" customFormat="1" ht="14.25" hidden="1" customHeight="1" x14ac:dyDescent="0.25">
      <c r="A25" s="500">
        <f t="shared" si="2"/>
        <v>20</v>
      </c>
      <c r="B25" s="364"/>
      <c r="C25" s="364"/>
      <c r="D25" s="2707" t="s">
        <v>806</v>
      </c>
      <c r="E25" s="2707"/>
      <c r="F25" s="541"/>
      <c r="G25" s="663"/>
      <c r="H25" s="664"/>
      <c r="I25" s="664"/>
      <c r="J25" s="664"/>
      <c r="K25" s="664">
        <f>+G25+I25</f>
        <v>0</v>
      </c>
      <c r="L25" s="665">
        <f>+H25+J25</f>
        <v>0</v>
      </c>
      <c r="M25" s="666"/>
      <c r="N25" s="666"/>
      <c r="O25" s="664">
        <f>+K25-L25</f>
        <v>0</v>
      </c>
      <c r="P25" s="667"/>
      <c r="Q25" s="664"/>
      <c r="R25" s="667">
        <f>+L25+Q25</f>
        <v>0</v>
      </c>
    </row>
    <row r="26" spans="1:18" s="179" customFormat="1" ht="15.75" hidden="1" customHeight="1" x14ac:dyDescent="0.25">
      <c r="A26" s="498">
        <f t="shared" si="2"/>
        <v>21</v>
      </c>
      <c r="B26" s="2710" t="s">
        <v>786</v>
      </c>
      <c r="C26" s="2556"/>
      <c r="D26" s="2556"/>
      <c r="E26" s="2711"/>
      <c r="F26" s="565"/>
      <c r="G26" s="624"/>
      <c r="H26" s="622"/>
      <c r="I26" s="622"/>
      <c r="J26" s="622"/>
      <c r="K26" s="622"/>
      <c r="L26" s="649"/>
      <c r="M26" s="660"/>
      <c r="N26" s="660"/>
      <c r="O26" s="622"/>
      <c r="P26" s="623"/>
      <c r="Q26" s="622"/>
      <c r="R26" s="623"/>
    </row>
    <row r="27" spans="1:18" s="179" customFormat="1" ht="12.75" hidden="1" x14ac:dyDescent="0.25">
      <c r="A27" s="561">
        <f>A26+1</f>
        <v>22</v>
      </c>
      <c r="B27" s="2549" t="s">
        <v>877</v>
      </c>
      <c r="C27" s="2559"/>
      <c r="D27" s="2559"/>
      <c r="E27" s="2708"/>
      <c r="F27" s="564"/>
      <c r="G27" s="618"/>
      <c r="H27" s="616"/>
      <c r="I27" s="616"/>
      <c r="J27" s="616"/>
      <c r="K27" s="616"/>
      <c r="L27" s="631"/>
      <c r="M27" s="658"/>
      <c r="N27" s="658"/>
      <c r="O27" s="616"/>
      <c r="P27" s="617"/>
      <c r="Q27" s="616"/>
      <c r="R27" s="617"/>
    </row>
    <row r="28" spans="1:18" s="177" customFormat="1" ht="12.75" hidden="1" x14ac:dyDescent="0.25">
      <c r="A28" s="500">
        <f t="shared" si="2"/>
        <v>23</v>
      </c>
      <c r="B28" s="364"/>
      <c r="C28" s="364"/>
      <c r="D28" s="2707" t="s">
        <v>806</v>
      </c>
      <c r="E28" s="2707"/>
      <c r="F28" s="541"/>
      <c r="G28" s="621"/>
      <c r="H28" s="619"/>
      <c r="I28" s="619"/>
      <c r="J28" s="619"/>
      <c r="K28" s="619">
        <f t="shared" ref="K28:L30" si="7">+G28+I28</f>
        <v>0</v>
      </c>
      <c r="L28" s="633">
        <f t="shared" si="7"/>
        <v>0</v>
      </c>
      <c r="M28" s="659"/>
      <c r="N28" s="659"/>
      <c r="O28" s="619">
        <f>+K28-L28</f>
        <v>0</v>
      </c>
      <c r="P28" s="620"/>
      <c r="Q28" s="619"/>
      <c r="R28" s="620">
        <f>+L28+Q28</f>
        <v>0</v>
      </c>
    </row>
    <row r="29" spans="1:18" s="177" customFormat="1" ht="12.75" hidden="1" x14ac:dyDescent="0.25">
      <c r="A29" s="500">
        <f t="shared" si="2"/>
        <v>24</v>
      </c>
      <c r="B29" s="364"/>
      <c r="C29" s="364"/>
      <c r="D29" s="2707"/>
      <c r="E29" s="2707"/>
      <c r="F29" s="539"/>
      <c r="G29" s="621"/>
      <c r="H29" s="619"/>
      <c r="I29" s="619"/>
      <c r="J29" s="619"/>
      <c r="K29" s="619">
        <f t="shared" si="7"/>
        <v>0</v>
      </c>
      <c r="L29" s="633">
        <f t="shared" si="7"/>
        <v>0</v>
      </c>
      <c r="M29" s="659"/>
      <c r="N29" s="659"/>
      <c r="O29" s="619">
        <f>+K29-L29</f>
        <v>0</v>
      </c>
      <c r="P29" s="620"/>
      <c r="Q29" s="619"/>
      <c r="R29" s="620">
        <f>+L29+Q29</f>
        <v>0</v>
      </c>
    </row>
    <row r="30" spans="1:18" s="177" customFormat="1" ht="13.5" hidden="1" thickBot="1" x14ac:dyDescent="0.3">
      <c r="A30" s="501">
        <f t="shared" si="2"/>
        <v>25</v>
      </c>
      <c r="B30" s="508"/>
      <c r="C30" s="508"/>
      <c r="D30" s="508"/>
      <c r="E30" s="509"/>
      <c r="F30" s="542"/>
      <c r="G30" s="621"/>
      <c r="H30" s="619"/>
      <c r="I30" s="619"/>
      <c r="J30" s="619"/>
      <c r="K30" s="619">
        <f t="shared" si="7"/>
        <v>0</v>
      </c>
      <c r="L30" s="633">
        <f t="shared" si="7"/>
        <v>0</v>
      </c>
      <c r="M30" s="659"/>
      <c r="N30" s="659"/>
      <c r="O30" s="619">
        <f>+K30-L30</f>
        <v>0</v>
      </c>
      <c r="P30" s="620"/>
      <c r="Q30" s="619"/>
      <c r="R30" s="620">
        <f>+L30+Q30</f>
        <v>0</v>
      </c>
    </row>
    <row r="31" spans="1:18" s="177" customFormat="1" ht="18.75" hidden="1" customHeight="1" thickBot="1" x14ac:dyDescent="0.3">
      <c r="A31" s="502">
        <f t="shared" si="2"/>
        <v>26</v>
      </c>
      <c r="B31" s="523" t="s">
        <v>738</v>
      </c>
      <c r="C31" s="523"/>
      <c r="D31" s="523"/>
      <c r="E31" s="523"/>
      <c r="F31" s="543"/>
      <c r="G31" s="627">
        <f>+G6+G23+G26</f>
        <v>0</v>
      </c>
      <c r="H31" s="625">
        <f t="shared" ref="H31:R31" si="8">+H6+H23+H26</f>
        <v>0</v>
      </c>
      <c r="I31" s="625">
        <f t="shared" si="8"/>
        <v>0</v>
      </c>
      <c r="J31" s="625">
        <f t="shared" si="8"/>
        <v>0</v>
      </c>
      <c r="K31" s="625">
        <f t="shared" si="8"/>
        <v>0</v>
      </c>
      <c r="L31" s="668">
        <f t="shared" si="8"/>
        <v>0</v>
      </c>
      <c r="M31" s="669">
        <f t="shared" si="8"/>
        <v>0</v>
      </c>
      <c r="N31" s="669">
        <f>+N6+N23+N26</f>
        <v>0</v>
      </c>
      <c r="O31" s="625">
        <f t="shared" si="8"/>
        <v>0</v>
      </c>
      <c r="P31" s="626">
        <f t="shared" si="8"/>
        <v>0</v>
      </c>
      <c r="Q31" s="625">
        <f t="shared" si="8"/>
        <v>0</v>
      </c>
      <c r="R31" s="626">
        <f t="shared" si="8"/>
        <v>0</v>
      </c>
    </row>
    <row r="32" spans="1:18" s="547" customFormat="1" ht="18.75" hidden="1" customHeight="1" x14ac:dyDescent="0.25">
      <c r="A32" s="551"/>
      <c r="B32" s="552"/>
      <c r="C32" s="552"/>
      <c r="D32" s="552"/>
      <c r="E32" s="552"/>
      <c r="F32" s="552"/>
      <c r="G32" s="552"/>
      <c r="H32" s="552"/>
      <c r="I32" s="552"/>
      <c r="J32" s="552"/>
      <c r="K32" s="552"/>
      <c r="L32" s="552"/>
      <c r="M32" s="552"/>
      <c r="N32" s="552"/>
      <c r="O32" s="552"/>
      <c r="P32" s="552"/>
      <c r="Q32" s="552"/>
      <c r="R32" s="552"/>
    </row>
    <row r="33" spans="1:18" ht="20.25" hidden="1" customHeight="1" x14ac:dyDescent="0.25">
      <c r="A33" s="177" t="s">
        <v>638</v>
      </c>
    </row>
    <row r="34" spans="1:18" ht="55.5" hidden="1" customHeight="1" x14ac:dyDescent="0.25">
      <c r="A34" s="2548" t="s">
        <v>827</v>
      </c>
      <c r="B34" s="2607"/>
      <c r="C34" s="2607"/>
      <c r="D34" s="2607"/>
      <c r="E34" s="2607"/>
      <c r="F34" s="2607"/>
      <c r="G34" s="2607"/>
      <c r="H34" s="2607"/>
      <c r="I34" s="2607"/>
      <c r="J34" s="2607"/>
      <c r="K34" s="2607"/>
      <c r="L34" s="2607"/>
      <c r="M34" s="2607"/>
      <c r="N34" s="2607"/>
      <c r="O34" s="2607"/>
      <c r="P34" s="2607"/>
      <c r="Q34" s="2607"/>
      <c r="R34" s="2607"/>
    </row>
    <row r="35" spans="1:18" ht="17.25" hidden="1" customHeight="1" x14ac:dyDescent="0.25">
      <c r="A35" s="2548" t="s">
        <v>1200</v>
      </c>
      <c r="B35" s="2607"/>
      <c r="C35" s="2607"/>
      <c r="D35" s="2607"/>
      <c r="E35" s="2607"/>
      <c r="F35" s="2607"/>
      <c r="G35" s="2607"/>
      <c r="H35" s="2607"/>
      <c r="I35" s="2607"/>
      <c r="J35" s="2607"/>
      <c r="K35" s="2607"/>
      <c r="L35" s="2607"/>
      <c r="M35" s="2607"/>
      <c r="N35" s="2607"/>
      <c r="O35" s="2607"/>
      <c r="P35" s="2607"/>
      <c r="Q35" s="2607"/>
      <c r="R35" s="2607"/>
    </row>
    <row r="36" spans="1:18" ht="15" hidden="1" customHeight="1" x14ac:dyDescent="0.25">
      <c r="A36" s="2548" t="s">
        <v>1168</v>
      </c>
      <c r="B36" s="2607"/>
      <c r="C36" s="2607"/>
      <c r="D36" s="2607"/>
      <c r="E36" s="2607"/>
      <c r="F36" s="2607"/>
      <c r="G36" s="2607"/>
      <c r="H36" s="2607"/>
      <c r="I36" s="2607"/>
      <c r="J36" s="2607"/>
      <c r="K36" s="2607"/>
      <c r="L36" s="2607"/>
      <c r="M36" s="2607"/>
      <c r="N36" s="2607"/>
      <c r="O36" s="2607"/>
      <c r="P36" s="2607"/>
      <c r="Q36" s="2607"/>
      <c r="R36" s="2607"/>
    </row>
    <row r="37" spans="1:18" ht="15" hidden="1" customHeight="1" x14ac:dyDescent="0.25">
      <c r="A37" s="2548" t="s">
        <v>1201</v>
      </c>
      <c r="B37" s="2607"/>
      <c r="C37" s="2607"/>
      <c r="D37" s="2607"/>
      <c r="E37" s="2607"/>
      <c r="F37" s="2607"/>
      <c r="G37" s="2607"/>
      <c r="H37" s="2607"/>
      <c r="I37" s="2607"/>
      <c r="J37" s="2607"/>
      <c r="K37" s="2607"/>
      <c r="L37" s="2607"/>
      <c r="M37" s="2607"/>
      <c r="N37" s="2607"/>
      <c r="O37" s="2607"/>
      <c r="P37" s="2607"/>
      <c r="Q37" s="2607"/>
      <c r="R37" s="2607"/>
    </row>
    <row r="38" spans="1:18" ht="15" hidden="1" customHeight="1" x14ac:dyDescent="0.25">
      <c r="A38" s="2548" t="s">
        <v>804</v>
      </c>
      <c r="B38" s="2607"/>
      <c r="C38" s="2607"/>
      <c r="D38" s="2607"/>
      <c r="E38" s="2607"/>
      <c r="F38" s="2607"/>
      <c r="G38" s="2607"/>
      <c r="H38" s="2607"/>
      <c r="I38" s="2607"/>
      <c r="J38" s="2607"/>
      <c r="K38" s="2607"/>
      <c r="L38" s="2607"/>
      <c r="M38" s="2607"/>
      <c r="N38" s="2607"/>
      <c r="O38" s="2607"/>
      <c r="P38" s="2607"/>
      <c r="Q38" s="2607"/>
      <c r="R38" s="2607"/>
    </row>
    <row r="39" spans="1:18" ht="15" hidden="1" customHeight="1" x14ac:dyDescent="0.25">
      <c r="A39" s="2548" t="s">
        <v>925</v>
      </c>
      <c r="B39" s="2607"/>
      <c r="C39" s="2607"/>
      <c r="D39" s="2607"/>
      <c r="E39" s="2607"/>
      <c r="F39" s="2607"/>
      <c r="G39" s="2607"/>
      <c r="H39" s="2607"/>
      <c r="I39" s="2607"/>
      <c r="J39" s="2607"/>
      <c r="K39" s="2607"/>
      <c r="L39" s="2607"/>
      <c r="M39" s="2607"/>
      <c r="N39" s="2607"/>
      <c r="O39" s="2607"/>
      <c r="P39" s="2607"/>
      <c r="Q39" s="2607"/>
      <c r="R39" s="2607"/>
    </row>
    <row r="40" spans="1:18" ht="15" hidden="1" customHeight="1" x14ac:dyDescent="0.25">
      <c r="A40" s="2548" t="s">
        <v>923</v>
      </c>
      <c r="B40" s="2607"/>
      <c r="C40" s="2607"/>
      <c r="D40" s="2607"/>
      <c r="E40" s="2607"/>
      <c r="F40" s="2607"/>
      <c r="G40" s="2607"/>
      <c r="H40" s="2607"/>
      <c r="I40" s="2607"/>
      <c r="J40" s="2607"/>
      <c r="K40" s="2607"/>
      <c r="L40" s="2607"/>
      <c r="M40" s="2607"/>
      <c r="N40" s="2607"/>
      <c r="O40" s="2607"/>
      <c r="P40" s="2607"/>
      <c r="Q40" s="2607"/>
      <c r="R40" s="2607"/>
    </row>
    <row r="41" spans="1:18" ht="15" hidden="1" customHeight="1" x14ac:dyDescent="0.25">
      <c r="A41" s="2674" t="s">
        <v>924</v>
      </c>
      <c r="B41" s="2718"/>
      <c r="C41" s="2718"/>
      <c r="D41" s="2718"/>
      <c r="E41" s="2718"/>
      <c r="F41" s="2718"/>
      <c r="G41" s="2718"/>
      <c r="H41" s="2718"/>
      <c r="I41" s="2718"/>
      <c r="J41" s="2718"/>
      <c r="K41" s="2718"/>
      <c r="L41" s="2718"/>
      <c r="M41" s="2718"/>
      <c r="N41" s="2718"/>
      <c r="O41" s="2718"/>
      <c r="P41" s="2718"/>
      <c r="Q41" s="2718"/>
      <c r="R41" s="2718"/>
    </row>
    <row r="42" spans="1:18" ht="30.75" hidden="1" customHeight="1" x14ac:dyDescent="0.25">
      <c r="A42" s="2548" t="s">
        <v>805</v>
      </c>
      <c r="B42" s="2607"/>
      <c r="C42" s="2607"/>
      <c r="D42" s="2607"/>
      <c r="E42" s="2607"/>
      <c r="F42" s="2607"/>
      <c r="G42" s="2607"/>
      <c r="H42" s="2607"/>
      <c r="I42" s="2607"/>
      <c r="J42" s="2607"/>
      <c r="K42" s="2607"/>
      <c r="L42" s="2607"/>
      <c r="M42" s="2607"/>
      <c r="N42" s="2607"/>
      <c r="O42" s="2607"/>
      <c r="P42" s="2607"/>
      <c r="Q42" s="2607"/>
      <c r="R42" s="2607"/>
    </row>
    <row r="43" spans="1:18" ht="14.25" hidden="1" customHeight="1" x14ac:dyDescent="0.25">
      <c r="C43" s="510"/>
      <c r="D43" s="510"/>
      <c r="E43" s="510"/>
      <c r="F43" s="510"/>
    </row>
    <row r="44" spans="1:18" hidden="1" x14ac:dyDescent="0.25">
      <c r="A44" s="177" t="s">
        <v>1185</v>
      </c>
    </row>
    <row r="46" spans="1:18" ht="18.75" x14ac:dyDescent="0.25">
      <c r="A46" s="910" t="s">
        <v>1278</v>
      </c>
    </row>
    <row r="47" spans="1:18" ht="15.75" x14ac:dyDescent="0.25">
      <c r="A47" s="1038" t="s">
        <v>1149</v>
      </c>
      <c r="C47" s="476"/>
      <c r="D47" s="476"/>
      <c r="E47" s="476"/>
      <c r="F47" s="476"/>
      <c r="G47" s="139"/>
      <c r="H47" s="139"/>
    </row>
    <row r="48" spans="1:18" ht="16.5" thickBot="1" x14ac:dyDescent="0.3">
      <c r="B48" s="476"/>
      <c r="C48" s="476"/>
      <c r="D48" s="476"/>
      <c r="R48" s="492" t="s">
        <v>507</v>
      </c>
    </row>
    <row r="49" spans="1:18" ht="39.950000000000003" customHeight="1" x14ac:dyDescent="0.25">
      <c r="A49" s="2698" t="s">
        <v>479</v>
      </c>
      <c r="B49" s="2701" t="s">
        <v>1496</v>
      </c>
      <c r="C49" s="2701"/>
      <c r="D49" s="2701"/>
      <c r="E49" s="2701"/>
      <c r="F49" s="2704" t="s">
        <v>1497</v>
      </c>
      <c r="G49" s="2657" t="s">
        <v>1308</v>
      </c>
      <c r="H49" s="2640"/>
      <c r="I49" s="2640" t="s">
        <v>1280</v>
      </c>
      <c r="J49" s="2640"/>
      <c r="K49" s="2640" t="s">
        <v>1309</v>
      </c>
      <c r="L49" s="2693"/>
      <c r="M49" s="2694" t="s">
        <v>1498</v>
      </c>
      <c r="N49" s="2696" t="s">
        <v>1499</v>
      </c>
      <c r="O49" s="2645" t="s">
        <v>1500</v>
      </c>
      <c r="P49" s="2647" t="s">
        <v>1501</v>
      </c>
      <c r="Q49" s="2645" t="s">
        <v>1502</v>
      </c>
      <c r="R49" s="2647" t="s">
        <v>724</v>
      </c>
    </row>
    <row r="50" spans="1:18" ht="39.950000000000003" customHeight="1" x14ac:dyDescent="0.25">
      <c r="A50" s="2699"/>
      <c r="B50" s="2702"/>
      <c r="C50" s="2702"/>
      <c r="D50" s="2702"/>
      <c r="E50" s="2702"/>
      <c r="F50" s="2705"/>
      <c r="G50" s="911" t="s">
        <v>1503</v>
      </c>
      <c r="H50" s="912" t="s">
        <v>1504</v>
      </c>
      <c r="I50" s="912" t="s">
        <v>640</v>
      </c>
      <c r="J50" s="912" t="s">
        <v>645</v>
      </c>
      <c r="K50" s="912" t="s">
        <v>640</v>
      </c>
      <c r="L50" s="1390" t="s">
        <v>645</v>
      </c>
      <c r="M50" s="2695"/>
      <c r="N50" s="2697"/>
      <c r="O50" s="2646"/>
      <c r="P50" s="2642"/>
      <c r="Q50" s="2646"/>
      <c r="R50" s="2642"/>
    </row>
    <row r="51" spans="1:18" ht="15.75" thickBot="1" x14ac:dyDescent="0.3">
      <c r="A51" s="2700"/>
      <c r="B51" s="2703"/>
      <c r="C51" s="2703"/>
      <c r="D51" s="2703"/>
      <c r="E51" s="2703"/>
      <c r="F51" s="2706"/>
      <c r="G51" s="1391" t="s">
        <v>558</v>
      </c>
      <c r="H51" s="1392" t="s">
        <v>559</v>
      </c>
      <c r="I51" s="1392" t="s">
        <v>560</v>
      </c>
      <c r="J51" s="1392" t="s">
        <v>561</v>
      </c>
      <c r="K51" s="1392" t="s">
        <v>642</v>
      </c>
      <c r="L51" s="1393" t="s">
        <v>643</v>
      </c>
      <c r="M51" s="1394" t="s">
        <v>787</v>
      </c>
      <c r="N51" s="1395" t="s">
        <v>798</v>
      </c>
      <c r="O51" s="1396" t="s">
        <v>725</v>
      </c>
      <c r="P51" s="1397" t="s">
        <v>565</v>
      </c>
      <c r="Q51" s="1396" t="s">
        <v>566</v>
      </c>
      <c r="R51" s="1397" t="s">
        <v>898</v>
      </c>
    </row>
    <row r="52" spans="1:18" x14ac:dyDescent="0.25">
      <c r="A52" s="1398">
        <v>1</v>
      </c>
      <c r="B52" s="2688" t="s">
        <v>644</v>
      </c>
      <c r="C52" s="2688"/>
      <c r="D52" s="2688"/>
      <c r="E52" s="2688"/>
      <c r="F52" s="1399"/>
      <c r="G52" s="1400">
        <f>+G53+G59</f>
        <v>0</v>
      </c>
      <c r="H52" s="1401">
        <f t="shared" ref="H52:Q52" si="9">+H53+H59</f>
        <v>0</v>
      </c>
      <c r="I52" s="1401">
        <f t="shared" si="9"/>
        <v>0</v>
      </c>
      <c r="J52" s="1401">
        <f t="shared" si="9"/>
        <v>0</v>
      </c>
      <c r="K52" s="1401">
        <f t="shared" si="9"/>
        <v>0</v>
      </c>
      <c r="L52" s="1402">
        <f t="shared" si="9"/>
        <v>0</v>
      </c>
      <c r="M52" s="1403">
        <f t="shared" si="9"/>
        <v>0</v>
      </c>
      <c r="N52" s="1403">
        <f>+N53+N59</f>
        <v>0</v>
      </c>
      <c r="O52" s="1401">
        <f t="shared" si="9"/>
        <v>0</v>
      </c>
      <c r="P52" s="1404">
        <f t="shared" si="9"/>
        <v>0</v>
      </c>
      <c r="Q52" s="1401">
        <f t="shared" si="9"/>
        <v>0</v>
      </c>
      <c r="R52" s="1404">
        <f>+R53+Q59</f>
        <v>0</v>
      </c>
    </row>
    <row r="53" spans="1:18" x14ac:dyDescent="0.25">
      <c r="A53" s="1405">
        <f>A52+1</f>
        <v>2</v>
      </c>
      <c r="B53" s="2689" t="s">
        <v>891</v>
      </c>
      <c r="C53" s="2689"/>
      <c r="D53" s="2689"/>
      <c r="E53" s="2689"/>
      <c r="F53" s="1406"/>
      <c r="G53" s="1102"/>
      <c r="H53" s="1097"/>
      <c r="I53" s="1097"/>
      <c r="J53" s="1097"/>
      <c r="K53" s="1097"/>
      <c r="L53" s="1098"/>
      <c r="M53" s="1100"/>
      <c r="N53" s="1100"/>
      <c r="O53" s="1097"/>
      <c r="P53" s="1101"/>
      <c r="Q53" s="1097"/>
      <c r="R53" s="1101"/>
    </row>
    <row r="54" spans="1:18" x14ac:dyDescent="0.25">
      <c r="A54" s="477">
        <f>+A53+1</f>
        <v>3</v>
      </c>
      <c r="B54" s="1407"/>
      <c r="C54" s="2690" t="s">
        <v>727</v>
      </c>
      <c r="D54" s="2691"/>
      <c r="E54" s="2692"/>
      <c r="F54" s="1408"/>
      <c r="G54" s="1076"/>
      <c r="H54" s="929"/>
      <c r="I54" s="929"/>
      <c r="J54" s="929"/>
      <c r="K54" s="929">
        <f t="shared" ref="K54:L58" si="10">+G54+I54</f>
        <v>0</v>
      </c>
      <c r="L54" s="1072">
        <f t="shared" si="10"/>
        <v>0</v>
      </c>
      <c r="M54" s="1075"/>
      <c r="N54" s="1075"/>
      <c r="O54" s="929">
        <f>+K54-L54</f>
        <v>0</v>
      </c>
      <c r="P54" s="930"/>
      <c r="Q54" s="929"/>
      <c r="R54" s="930">
        <f>+L54+Q54</f>
        <v>0</v>
      </c>
    </row>
    <row r="55" spans="1:18" x14ac:dyDescent="0.25">
      <c r="A55" s="477">
        <f t="shared" ref="A55:A72" si="11">+A54+1</f>
        <v>4</v>
      </c>
      <c r="B55" s="1409"/>
      <c r="C55" s="1409"/>
      <c r="D55" s="2686" t="s">
        <v>728</v>
      </c>
      <c r="E55" s="2686"/>
      <c r="F55" s="1410"/>
      <c r="G55" s="1076"/>
      <c r="H55" s="929"/>
      <c r="I55" s="929"/>
      <c r="J55" s="929"/>
      <c r="K55" s="929">
        <f t="shared" si="10"/>
        <v>0</v>
      </c>
      <c r="L55" s="1072">
        <f t="shared" si="10"/>
        <v>0</v>
      </c>
      <c r="M55" s="1075"/>
      <c r="N55" s="1075"/>
      <c r="O55" s="929">
        <f>+K55-L55</f>
        <v>0</v>
      </c>
      <c r="P55" s="930"/>
      <c r="Q55" s="929"/>
      <c r="R55" s="930">
        <f>+L55+Q55</f>
        <v>0</v>
      </c>
    </row>
    <row r="56" spans="1:18" x14ac:dyDescent="0.25">
      <c r="A56" s="477">
        <f t="shared" si="11"/>
        <v>5</v>
      </c>
      <c r="B56" s="1409"/>
      <c r="C56" s="1409"/>
      <c r="D56" s="2686" t="s">
        <v>729</v>
      </c>
      <c r="E56" s="2686"/>
      <c r="F56" s="1410"/>
      <c r="G56" s="1076"/>
      <c r="H56" s="929"/>
      <c r="I56" s="929"/>
      <c r="J56" s="929"/>
      <c r="K56" s="929">
        <f t="shared" si="10"/>
        <v>0</v>
      </c>
      <c r="L56" s="1072">
        <f t="shared" si="10"/>
        <v>0</v>
      </c>
      <c r="M56" s="1075"/>
      <c r="N56" s="1075"/>
      <c r="O56" s="929">
        <f>+K56-L56</f>
        <v>0</v>
      </c>
      <c r="P56" s="930"/>
      <c r="Q56" s="929"/>
      <c r="R56" s="930">
        <f>+L56+Q56</f>
        <v>0</v>
      </c>
    </row>
    <row r="57" spans="1:18" x14ac:dyDescent="0.25">
      <c r="A57" s="477">
        <f t="shared" si="11"/>
        <v>6</v>
      </c>
      <c r="B57" s="1411"/>
      <c r="C57" s="1411"/>
      <c r="D57" s="2687" t="s">
        <v>730</v>
      </c>
      <c r="E57" s="2687"/>
      <c r="F57" s="1412"/>
      <c r="G57" s="1076"/>
      <c r="H57" s="929"/>
      <c r="I57" s="929"/>
      <c r="J57" s="929"/>
      <c r="K57" s="929">
        <f t="shared" si="10"/>
        <v>0</v>
      </c>
      <c r="L57" s="1072">
        <f t="shared" si="10"/>
        <v>0</v>
      </c>
      <c r="M57" s="1075"/>
      <c r="N57" s="1075"/>
      <c r="O57" s="929">
        <f>+K57-L57</f>
        <v>0</v>
      </c>
      <c r="P57" s="930"/>
      <c r="Q57" s="929"/>
      <c r="R57" s="930">
        <f>+L57+Q57</f>
        <v>0</v>
      </c>
    </row>
    <row r="58" spans="1:18" x14ac:dyDescent="0.25">
      <c r="A58" s="477">
        <f t="shared" si="11"/>
        <v>7</v>
      </c>
      <c r="B58" s="1411"/>
      <c r="C58" s="1411"/>
      <c r="D58" s="2683" t="s">
        <v>646</v>
      </c>
      <c r="E58" s="2683" t="s">
        <v>646</v>
      </c>
      <c r="F58" s="1413"/>
      <c r="G58" s="1076"/>
      <c r="H58" s="929"/>
      <c r="I58" s="929"/>
      <c r="J58" s="929"/>
      <c r="K58" s="929">
        <f t="shared" si="10"/>
        <v>0</v>
      </c>
      <c r="L58" s="1072">
        <f t="shared" si="10"/>
        <v>0</v>
      </c>
      <c r="M58" s="1075"/>
      <c r="N58" s="1075"/>
      <c r="O58" s="929">
        <f>+K58-L58</f>
        <v>0</v>
      </c>
      <c r="P58" s="930"/>
      <c r="Q58" s="929"/>
      <c r="R58" s="930">
        <f>+L58+Q58</f>
        <v>0</v>
      </c>
    </row>
    <row r="59" spans="1:18" x14ac:dyDescent="0.25">
      <c r="A59" s="1414">
        <f t="shared" si="11"/>
        <v>8</v>
      </c>
      <c r="B59" s="2681" t="s">
        <v>892</v>
      </c>
      <c r="C59" s="2681"/>
      <c r="D59" s="2681"/>
      <c r="E59" s="2681"/>
      <c r="F59" s="1406"/>
      <c r="G59" s="1102"/>
      <c r="H59" s="1097"/>
      <c r="I59" s="1097"/>
      <c r="J59" s="1097"/>
      <c r="K59" s="1097"/>
      <c r="L59" s="1098"/>
      <c r="M59" s="1100"/>
      <c r="N59" s="1100"/>
      <c r="O59" s="1097"/>
      <c r="P59" s="1101"/>
      <c r="Q59" s="1097"/>
      <c r="R59" s="1101"/>
    </row>
    <row r="60" spans="1:18" x14ac:dyDescent="0.25">
      <c r="A60" s="477">
        <f t="shared" si="11"/>
        <v>9</v>
      </c>
      <c r="B60" s="1409"/>
      <c r="C60" s="2686" t="s">
        <v>731</v>
      </c>
      <c r="D60" s="2686"/>
      <c r="E60" s="2686"/>
      <c r="F60" s="1410"/>
      <c r="G60" s="1076"/>
      <c r="H60" s="929"/>
      <c r="I60" s="929"/>
      <c r="J60" s="929"/>
      <c r="K60" s="929">
        <f t="shared" ref="K60:L68" si="12">+G60+I60</f>
        <v>0</v>
      </c>
      <c r="L60" s="1072">
        <f t="shared" si="12"/>
        <v>0</v>
      </c>
      <c r="M60" s="1075"/>
      <c r="N60" s="1075"/>
      <c r="O60" s="929">
        <f t="shared" ref="O60:O68" si="13">+K60-L60</f>
        <v>0</v>
      </c>
      <c r="P60" s="930"/>
      <c r="Q60" s="929"/>
      <c r="R60" s="930">
        <f t="shared" ref="R60:R68" si="14">+L60+Q60</f>
        <v>0</v>
      </c>
    </row>
    <row r="61" spans="1:18" x14ac:dyDescent="0.25">
      <c r="A61" s="477">
        <f t="shared" si="11"/>
        <v>10</v>
      </c>
      <c r="B61" s="1409"/>
      <c r="C61" s="1415"/>
      <c r="D61" s="1415" t="s">
        <v>732</v>
      </c>
      <c r="E61" s="1415"/>
      <c r="F61" s="1410"/>
      <c r="G61" s="1076"/>
      <c r="H61" s="929"/>
      <c r="I61" s="929"/>
      <c r="J61" s="929"/>
      <c r="K61" s="929">
        <f t="shared" si="12"/>
        <v>0</v>
      </c>
      <c r="L61" s="1072">
        <f t="shared" si="12"/>
        <v>0</v>
      </c>
      <c r="M61" s="1075"/>
      <c r="N61" s="1075"/>
      <c r="O61" s="929">
        <f t="shared" si="13"/>
        <v>0</v>
      </c>
      <c r="P61" s="930"/>
      <c r="Q61" s="929"/>
      <c r="R61" s="930">
        <f t="shared" si="14"/>
        <v>0</v>
      </c>
    </row>
    <row r="62" spans="1:18" x14ac:dyDescent="0.25">
      <c r="A62" s="477">
        <f t="shared" si="11"/>
        <v>11</v>
      </c>
      <c r="B62" s="1409"/>
      <c r="C62" s="2686" t="s">
        <v>733</v>
      </c>
      <c r="D62" s="2686"/>
      <c r="E62" s="2686"/>
      <c r="F62" s="1410"/>
      <c r="G62" s="1076"/>
      <c r="H62" s="929"/>
      <c r="I62" s="929"/>
      <c r="J62" s="929"/>
      <c r="K62" s="929">
        <f t="shared" si="12"/>
        <v>0</v>
      </c>
      <c r="L62" s="1072">
        <f t="shared" si="12"/>
        <v>0</v>
      </c>
      <c r="M62" s="1075"/>
      <c r="N62" s="1075"/>
      <c r="O62" s="929">
        <f t="shared" si="13"/>
        <v>0</v>
      </c>
      <c r="P62" s="930"/>
      <c r="Q62" s="929"/>
      <c r="R62" s="930">
        <f t="shared" si="14"/>
        <v>0</v>
      </c>
    </row>
    <row r="63" spans="1:18" x14ac:dyDescent="0.25">
      <c r="A63" s="477">
        <f t="shared" si="11"/>
        <v>12</v>
      </c>
      <c r="B63" s="1416"/>
      <c r="C63" s="1417"/>
      <c r="D63" s="1418" t="s">
        <v>734</v>
      </c>
      <c r="E63" s="1415"/>
      <c r="F63" s="1410"/>
      <c r="G63" s="1076"/>
      <c r="H63" s="929"/>
      <c r="I63" s="929"/>
      <c r="J63" s="929"/>
      <c r="K63" s="929">
        <f t="shared" si="12"/>
        <v>0</v>
      </c>
      <c r="L63" s="1072">
        <f t="shared" si="12"/>
        <v>0</v>
      </c>
      <c r="M63" s="1075"/>
      <c r="N63" s="1075"/>
      <c r="O63" s="929">
        <f t="shared" si="13"/>
        <v>0</v>
      </c>
      <c r="P63" s="930"/>
      <c r="Q63" s="929"/>
      <c r="R63" s="930">
        <f t="shared" si="14"/>
        <v>0</v>
      </c>
    </row>
    <row r="64" spans="1:18" x14ac:dyDescent="0.25">
      <c r="A64" s="477">
        <f t="shared" si="11"/>
        <v>13</v>
      </c>
      <c r="B64" s="1416"/>
      <c r="C64" s="1415" t="s">
        <v>735</v>
      </c>
      <c r="D64" s="1416"/>
      <c r="E64" s="1415"/>
      <c r="F64" s="1410"/>
      <c r="G64" s="1076"/>
      <c r="H64" s="929"/>
      <c r="I64" s="929"/>
      <c r="J64" s="929"/>
      <c r="K64" s="929">
        <f t="shared" si="12"/>
        <v>0</v>
      </c>
      <c r="L64" s="1072">
        <f t="shared" si="12"/>
        <v>0</v>
      </c>
      <c r="M64" s="1075"/>
      <c r="N64" s="1075"/>
      <c r="O64" s="929">
        <f t="shared" si="13"/>
        <v>0</v>
      </c>
      <c r="P64" s="930"/>
      <c r="Q64" s="929"/>
      <c r="R64" s="930">
        <f t="shared" si="14"/>
        <v>0</v>
      </c>
    </row>
    <row r="65" spans="1:18" x14ac:dyDescent="0.25">
      <c r="A65" s="477">
        <f t="shared" si="11"/>
        <v>14</v>
      </c>
      <c r="B65" s="1416"/>
      <c r="C65" s="1416"/>
      <c r="D65" s="2683" t="s">
        <v>646</v>
      </c>
      <c r="E65" s="2683" t="s">
        <v>646</v>
      </c>
      <c r="F65" s="1413"/>
      <c r="G65" s="1076"/>
      <c r="H65" s="929"/>
      <c r="I65" s="929"/>
      <c r="J65" s="929"/>
      <c r="K65" s="929">
        <f t="shared" si="12"/>
        <v>0</v>
      </c>
      <c r="L65" s="1072">
        <f t="shared" si="12"/>
        <v>0</v>
      </c>
      <c r="M65" s="1075"/>
      <c r="N65" s="1075"/>
      <c r="O65" s="929">
        <f t="shared" si="13"/>
        <v>0</v>
      </c>
      <c r="P65" s="930"/>
      <c r="Q65" s="929"/>
      <c r="R65" s="930">
        <f t="shared" si="14"/>
        <v>0</v>
      </c>
    </row>
    <row r="66" spans="1:18" x14ac:dyDescent="0.25">
      <c r="A66" s="477">
        <f t="shared" si="11"/>
        <v>15</v>
      </c>
      <c r="B66" s="1416"/>
      <c r="C66" s="1415" t="s">
        <v>736</v>
      </c>
      <c r="D66" s="1416"/>
      <c r="E66" s="1415"/>
      <c r="F66" s="1410"/>
      <c r="G66" s="1076"/>
      <c r="H66" s="929"/>
      <c r="I66" s="929"/>
      <c r="J66" s="929"/>
      <c r="K66" s="929">
        <f t="shared" si="12"/>
        <v>0</v>
      </c>
      <c r="L66" s="1072">
        <f t="shared" si="12"/>
        <v>0</v>
      </c>
      <c r="M66" s="1075"/>
      <c r="N66" s="1075"/>
      <c r="O66" s="929">
        <f t="shared" si="13"/>
        <v>0</v>
      </c>
      <c r="P66" s="930"/>
      <c r="Q66" s="929"/>
      <c r="R66" s="930">
        <f t="shared" si="14"/>
        <v>0</v>
      </c>
    </row>
    <row r="67" spans="1:18" x14ac:dyDescent="0.25">
      <c r="A67" s="477">
        <f t="shared" si="11"/>
        <v>16</v>
      </c>
      <c r="B67" s="1411"/>
      <c r="C67" s="1419"/>
      <c r="D67" s="1418" t="s">
        <v>737</v>
      </c>
      <c r="E67" s="1415"/>
      <c r="F67" s="1410"/>
      <c r="G67" s="1076"/>
      <c r="H67" s="929"/>
      <c r="I67" s="929"/>
      <c r="J67" s="929"/>
      <c r="K67" s="929">
        <f t="shared" si="12"/>
        <v>0</v>
      </c>
      <c r="L67" s="1072">
        <f t="shared" si="12"/>
        <v>0</v>
      </c>
      <c r="M67" s="1075"/>
      <c r="N67" s="1075"/>
      <c r="O67" s="929">
        <f t="shared" si="13"/>
        <v>0</v>
      </c>
      <c r="P67" s="930"/>
      <c r="Q67" s="929"/>
      <c r="R67" s="930">
        <f t="shared" si="14"/>
        <v>0</v>
      </c>
    </row>
    <row r="68" spans="1:18" x14ac:dyDescent="0.25">
      <c r="A68" s="477">
        <f t="shared" si="11"/>
        <v>17</v>
      </c>
      <c r="B68" s="1416"/>
      <c r="C68" s="1416"/>
      <c r="D68" s="2683" t="s">
        <v>646</v>
      </c>
      <c r="E68" s="2683" t="s">
        <v>646</v>
      </c>
      <c r="F68" s="1413"/>
      <c r="G68" s="1420"/>
      <c r="H68" s="1421"/>
      <c r="I68" s="1421"/>
      <c r="J68" s="1421"/>
      <c r="K68" s="1421">
        <f t="shared" si="12"/>
        <v>0</v>
      </c>
      <c r="L68" s="1422">
        <f t="shared" si="12"/>
        <v>0</v>
      </c>
      <c r="M68" s="1423"/>
      <c r="N68" s="1423"/>
      <c r="O68" s="1421">
        <f t="shared" si="13"/>
        <v>0</v>
      </c>
      <c r="P68" s="1424"/>
      <c r="Q68" s="1421"/>
      <c r="R68" s="1424">
        <f t="shared" si="14"/>
        <v>0</v>
      </c>
    </row>
    <row r="69" spans="1:18" x14ac:dyDescent="0.25">
      <c r="A69" s="1414">
        <f t="shared" si="11"/>
        <v>18</v>
      </c>
      <c r="B69" s="2680" t="s">
        <v>788</v>
      </c>
      <c r="C69" s="2681"/>
      <c r="D69" s="2681"/>
      <c r="E69" s="2682"/>
      <c r="F69" s="1425"/>
      <c r="G69" s="1102"/>
      <c r="H69" s="1097"/>
      <c r="I69" s="1097"/>
      <c r="J69" s="1097"/>
      <c r="K69" s="1097"/>
      <c r="L69" s="1098"/>
      <c r="M69" s="1100"/>
      <c r="N69" s="1100"/>
      <c r="O69" s="1097"/>
      <c r="P69" s="1101"/>
      <c r="Q69" s="1097"/>
      <c r="R69" s="1101"/>
    </row>
    <row r="70" spans="1:18" x14ac:dyDescent="0.25">
      <c r="A70" s="1414">
        <f t="shared" si="11"/>
        <v>19</v>
      </c>
      <c r="B70" s="2680" t="s">
        <v>877</v>
      </c>
      <c r="C70" s="2681"/>
      <c r="D70" s="2681"/>
      <c r="E70" s="2682"/>
      <c r="F70" s="1425"/>
      <c r="G70" s="1102"/>
      <c r="H70" s="1097"/>
      <c r="I70" s="1097"/>
      <c r="J70" s="1097"/>
      <c r="K70" s="1097"/>
      <c r="L70" s="1098"/>
      <c r="M70" s="1100"/>
      <c r="N70" s="1100"/>
      <c r="O70" s="1097"/>
      <c r="P70" s="1101"/>
      <c r="Q70" s="1097"/>
      <c r="R70" s="1101"/>
    </row>
    <row r="71" spans="1:18" x14ac:dyDescent="0.25">
      <c r="A71" s="477">
        <f t="shared" si="11"/>
        <v>20</v>
      </c>
      <c r="B71" s="1416"/>
      <c r="C71" s="1416"/>
      <c r="D71" s="2683" t="s">
        <v>806</v>
      </c>
      <c r="E71" s="2683"/>
      <c r="F71" s="1413"/>
      <c r="G71" s="1420"/>
      <c r="H71" s="1421"/>
      <c r="I71" s="1421"/>
      <c r="J71" s="1421"/>
      <c r="K71" s="1421">
        <f>+G71+I71</f>
        <v>0</v>
      </c>
      <c r="L71" s="1422">
        <f>+H71+J71</f>
        <v>0</v>
      </c>
      <c r="M71" s="1423"/>
      <c r="N71" s="1423"/>
      <c r="O71" s="1421">
        <f>+K71-L71</f>
        <v>0</v>
      </c>
      <c r="P71" s="1424"/>
      <c r="Q71" s="1421"/>
      <c r="R71" s="1424">
        <f>+L71+Q71</f>
        <v>0</v>
      </c>
    </row>
    <row r="72" spans="1:18" x14ac:dyDescent="0.25">
      <c r="A72" s="1414">
        <f t="shared" si="11"/>
        <v>21</v>
      </c>
      <c r="B72" s="2680" t="s">
        <v>786</v>
      </c>
      <c r="C72" s="2681"/>
      <c r="D72" s="2681"/>
      <c r="E72" s="2682"/>
      <c r="F72" s="1425"/>
      <c r="G72" s="1161">
        <f>G73</f>
        <v>1332</v>
      </c>
      <c r="H72" s="1162">
        <f t="shared" ref="H72:O72" si="15">H73</f>
        <v>1332</v>
      </c>
      <c r="I72" s="1162">
        <f t="shared" si="15"/>
        <v>0</v>
      </c>
      <c r="J72" s="1162">
        <f t="shared" si="15"/>
        <v>0</v>
      </c>
      <c r="K72" s="1162">
        <f t="shared" si="15"/>
        <v>1332</v>
      </c>
      <c r="L72" s="1426">
        <f t="shared" si="15"/>
        <v>1332</v>
      </c>
      <c r="M72" s="1427">
        <f t="shared" si="15"/>
        <v>0.85</v>
      </c>
      <c r="N72" s="1162">
        <f t="shared" si="15"/>
        <v>0</v>
      </c>
      <c r="O72" s="1428">
        <f t="shared" si="15"/>
        <v>0</v>
      </c>
      <c r="P72" s="1163">
        <f>P73</f>
        <v>0</v>
      </c>
      <c r="Q72" s="1429">
        <f>Q73</f>
        <v>0</v>
      </c>
      <c r="R72" s="1163">
        <f>R73</f>
        <v>1332</v>
      </c>
    </row>
    <row r="73" spans="1:18" x14ac:dyDescent="0.25">
      <c r="A73" s="1414">
        <f>A72+1</f>
        <v>22</v>
      </c>
      <c r="B73" s="2680" t="s">
        <v>877</v>
      </c>
      <c r="C73" s="2681"/>
      <c r="D73" s="2681"/>
      <c r="E73" s="2682"/>
      <c r="F73" s="1425"/>
      <c r="G73" s="1161">
        <f t="shared" ref="G73:L73" si="16">SUM(G74:G76)</f>
        <v>1332</v>
      </c>
      <c r="H73" s="1162">
        <f t="shared" si="16"/>
        <v>1332</v>
      </c>
      <c r="I73" s="1162">
        <f t="shared" si="16"/>
        <v>0</v>
      </c>
      <c r="J73" s="1162">
        <f t="shared" si="16"/>
        <v>0</v>
      </c>
      <c r="K73" s="1162">
        <f t="shared" si="16"/>
        <v>1332</v>
      </c>
      <c r="L73" s="1426">
        <f t="shared" si="16"/>
        <v>1332</v>
      </c>
      <c r="M73" s="1427">
        <v>0.85</v>
      </c>
      <c r="N73" s="1162">
        <f>SUM(N74:N76)</f>
        <v>0</v>
      </c>
      <c r="O73" s="1428">
        <f>SUM(O74:O76)</f>
        <v>0</v>
      </c>
      <c r="P73" s="1163">
        <f>SUM(P74:P76)</f>
        <v>0</v>
      </c>
      <c r="Q73" s="1429">
        <f>SUM(Q74:Q76)</f>
        <v>0</v>
      </c>
      <c r="R73" s="1163">
        <f>SUM(R74:R76)</f>
        <v>1332</v>
      </c>
    </row>
    <row r="74" spans="1:18" ht="45" customHeight="1" x14ac:dyDescent="0.25">
      <c r="A74" s="1185">
        <f>A73+1</f>
        <v>23</v>
      </c>
      <c r="B74" s="1430"/>
      <c r="C74" s="1431" t="s">
        <v>1505</v>
      </c>
      <c r="D74" s="2684" t="s">
        <v>1506</v>
      </c>
      <c r="E74" s="2685"/>
      <c r="F74" s="1432" t="s">
        <v>1507</v>
      </c>
      <c r="G74" s="1433">
        <v>1332</v>
      </c>
      <c r="H74" s="1434">
        <v>1332</v>
      </c>
      <c r="I74" s="1434"/>
      <c r="J74" s="1434"/>
      <c r="K74" s="1434">
        <f t="shared" ref="K74:L74" si="17">+G74+I74</f>
        <v>1332</v>
      </c>
      <c r="L74" s="1435">
        <f t="shared" si="17"/>
        <v>1332</v>
      </c>
      <c r="M74" s="1436">
        <v>0.85</v>
      </c>
      <c r="N74" s="1437">
        <v>0</v>
      </c>
      <c r="O74" s="1438">
        <f>K74-L74</f>
        <v>0</v>
      </c>
      <c r="P74" s="1439"/>
      <c r="Q74" s="1440">
        <v>0</v>
      </c>
      <c r="R74" s="1441">
        <f>L74+P74+Q74</f>
        <v>1332</v>
      </c>
    </row>
    <row r="75" spans="1:18" x14ac:dyDescent="0.25">
      <c r="A75" s="1070"/>
      <c r="B75" s="1442"/>
      <c r="C75" s="1443"/>
      <c r="D75" s="2675"/>
      <c r="E75" s="2676"/>
      <c r="F75" s="1444"/>
      <c r="G75" s="1180"/>
      <c r="H75" s="1169"/>
      <c r="I75" s="1445">
        <v>0</v>
      </c>
      <c r="J75" s="1169">
        <v>0</v>
      </c>
      <c r="K75" s="1170">
        <f t="shared" ref="K75:L75" si="18">G75+I75</f>
        <v>0</v>
      </c>
      <c r="L75" s="1446">
        <f t="shared" si="18"/>
        <v>0</v>
      </c>
      <c r="M75" s="1447"/>
      <c r="N75" s="1170">
        <v>0</v>
      </c>
      <c r="O75" s="1448">
        <f>K75-L75</f>
        <v>0</v>
      </c>
      <c r="P75" s="1449"/>
      <c r="Q75" s="1445">
        <v>0</v>
      </c>
      <c r="R75" s="1450">
        <f>L75+P75+Q75</f>
        <v>0</v>
      </c>
    </row>
    <row r="76" spans="1:18" ht="15.75" thickBot="1" x14ac:dyDescent="0.3">
      <c r="A76" s="1451"/>
      <c r="B76" s="1452"/>
      <c r="C76" s="1453"/>
      <c r="D76" s="2675"/>
      <c r="E76" s="2676"/>
      <c r="F76" s="1454"/>
      <c r="G76" s="621"/>
      <c r="H76" s="619"/>
      <c r="I76" s="619"/>
      <c r="J76" s="619"/>
      <c r="K76" s="619">
        <f t="shared" ref="K76:L76" si="19">+G76+I76</f>
        <v>0</v>
      </c>
      <c r="L76" s="633">
        <f t="shared" si="19"/>
        <v>0</v>
      </c>
      <c r="M76" s="1455"/>
      <c r="N76" s="1170">
        <v>0</v>
      </c>
      <c r="O76" s="1448">
        <f>K76-L76</f>
        <v>0</v>
      </c>
      <c r="P76" s="1439"/>
      <c r="Q76" s="1440">
        <v>0</v>
      </c>
      <c r="R76" s="1450">
        <f>L76+P76+Q76</f>
        <v>0</v>
      </c>
    </row>
    <row r="77" spans="1:18" ht="15.75" thickBot="1" x14ac:dyDescent="0.3">
      <c r="A77" s="1456">
        <f>+A74+1</f>
        <v>24</v>
      </c>
      <c r="B77" s="1457" t="s">
        <v>738</v>
      </c>
      <c r="C77" s="1457"/>
      <c r="D77" s="1457"/>
      <c r="E77" s="1457"/>
      <c r="F77" s="1458"/>
      <c r="G77" s="934">
        <f>+G52+G69+G72</f>
        <v>1332</v>
      </c>
      <c r="H77" s="935">
        <f t="shared" ref="H77:M77" si="20">+H52+H69+H72</f>
        <v>1332</v>
      </c>
      <c r="I77" s="935">
        <f t="shared" si="20"/>
        <v>0</v>
      </c>
      <c r="J77" s="935">
        <f t="shared" si="20"/>
        <v>0</v>
      </c>
      <c r="K77" s="935">
        <f t="shared" si="20"/>
        <v>1332</v>
      </c>
      <c r="L77" s="1122">
        <f t="shared" si="20"/>
        <v>1332</v>
      </c>
      <c r="M77" s="1459">
        <f t="shared" si="20"/>
        <v>0.85</v>
      </c>
      <c r="N77" s="1125">
        <f>+N52+N69+N72</f>
        <v>0</v>
      </c>
      <c r="O77" s="1460">
        <f>+O52+O69+O72</f>
        <v>0</v>
      </c>
      <c r="P77" s="936">
        <f>+P52+P69+P72</f>
        <v>0</v>
      </c>
      <c r="Q77" s="1125">
        <f>+Q52+Q69+Q72</f>
        <v>0</v>
      </c>
      <c r="R77" s="936">
        <f>+R52+R69+R72</f>
        <v>1332</v>
      </c>
    </row>
    <row r="78" spans="1:18" x14ac:dyDescent="0.25">
      <c r="A78" s="2677" t="s">
        <v>1510</v>
      </c>
      <c r="B78" s="2678"/>
      <c r="C78" s="2678"/>
      <c r="D78" s="2678"/>
      <c r="E78" s="2678"/>
      <c r="F78" s="2678"/>
      <c r="G78" s="2678"/>
      <c r="H78" s="2678"/>
      <c r="I78" s="2678"/>
      <c r="J78" s="2678"/>
      <c r="K78" s="2678"/>
      <c r="L78" s="2678"/>
      <c r="M78" s="2678"/>
      <c r="N78" s="2678"/>
      <c r="O78" s="2678"/>
      <c r="P78" s="2678"/>
      <c r="Q78" s="2678"/>
      <c r="R78" s="2679"/>
    </row>
    <row r="79" spans="1:18" x14ac:dyDescent="0.25">
      <c r="A79" s="2639"/>
      <c r="B79" s="2639"/>
      <c r="C79" s="2639"/>
      <c r="D79" s="2639"/>
      <c r="E79" s="2639"/>
      <c r="F79" s="2639"/>
      <c r="G79" s="2639"/>
      <c r="H79" s="2639"/>
      <c r="I79" s="2639"/>
      <c r="J79" s="2639"/>
      <c r="K79" s="2639"/>
      <c r="L79" s="2639"/>
      <c r="M79" s="2639"/>
      <c r="N79" s="2639"/>
      <c r="O79" s="2639"/>
      <c r="P79" s="2639"/>
      <c r="Q79" s="2639"/>
      <c r="R79" s="2460"/>
    </row>
    <row r="80" spans="1:18" ht="60" customHeight="1" x14ac:dyDescent="0.25">
      <c r="A80" s="2548" t="s">
        <v>827</v>
      </c>
      <c r="B80" s="2548"/>
      <c r="C80" s="2548"/>
      <c r="D80" s="2548"/>
      <c r="E80" s="2548"/>
      <c r="F80" s="2548"/>
      <c r="G80" s="2548"/>
      <c r="H80" s="2548"/>
      <c r="I80" s="2548"/>
      <c r="J80" s="2548"/>
      <c r="K80" s="2548"/>
      <c r="L80" s="2548"/>
      <c r="M80" s="2548"/>
      <c r="N80" s="2548"/>
      <c r="O80" s="2548"/>
      <c r="P80" s="2548"/>
      <c r="Q80" s="2548"/>
      <c r="R80" s="2548"/>
    </row>
    <row r="81" spans="1:18" ht="17.100000000000001" customHeight="1" x14ac:dyDescent="0.25">
      <c r="A81" s="2548" t="s">
        <v>1508</v>
      </c>
      <c r="B81" s="2548"/>
      <c r="C81" s="2548"/>
      <c r="D81" s="2548"/>
      <c r="E81" s="2548"/>
      <c r="F81" s="2548"/>
      <c r="G81" s="2548"/>
      <c r="H81" s="2548"/>
      <c r="I81" s="2548"/>
      <c r="J81" s="2548"/>
      <c r="K81" s="2548"/>
      <c r="L81" s="2548"/>
      <c r="M81" s="2548"/>
      <c r="N81" s="2548"/>
      <c r="O81" s="2548"/>
      <c r="P81" s="2548"/>
      <c r="Q81" s="2548"/>
      <c r="R81" s="2548"/>
    </row>
    <row r="82" spans="1:18" ht="17.100000000000001" customHeight="1" x14ac:dyDescent="0.25">
      <c r="A82" s="2548" t="s">
        <v>1168</v>
      </c>
      <c r="B82" s="2548"/>
      <c r="C82" s="2548"/>
      <c r="D82" s="2548"/>
      <c r="E82" s="2548"/>
      <c r="F82" s="2548"/>
      <c r="G82" s="2548"/>
      <c r="H82" s="2548"/>
      <c r="I82" s="2548"/>
      <c r="J82" s="2548"/>
      <c r="K82" s="2548"/>
      <c r="L82" s="2548"/>
      <c r="M82" s="2548"/>
      <c r="N82" s="2548"/>
      <c r="O82" s="2548"/>
      <c r="P82" s="2548"/>
      <c r="Q82" s="2548"/>
      <c r="R82" s="2548"/>
    </row>
    <row r="83" spans="1:18" ht="17.100000000000001" customHeight="1" x14ac:dyDescent="0.25">
      <c r="A83" s="2548" t="s">
        <v>1509</v>
      </c>
      <c r="B83" s="2548"/>
      <c r="C83" s="2548"/>
      <c r="D83" s="2548"/>
      <c r="E83" s="2548"/>
      <c r="F83" s="2548"/>
      <c r="G83" s="2548"/>
      <c r="H83" s="2548"/>
      <c r="I83" s="2548"/>
      <c r="J83" s="2548"/>
      <c r="K83" s="2548"/>
      <c r="L83" s="2548"/>
      <c r="M83" s="2548"/>
      <c r="N83" s="2548"/>
      <c r="O83" s="2548"/>
      <c r="P83" s="2548"/>
      <c r="Q83" s="2548"/>
      <c r="R83" s="2548"/>
    </row>
    <row r="84" spans="1:18" ht="17.100000000000001" customHeight="1" x14ac:dyDescent="0.25">
      <c r="A84" s="2548" t="s">
        <v>804</v>
      </c>
      <c r="B84" s="2548"/>
      <c r="C84" s="2548"/>
      <c r="D84" s="2548"/>
      <c r="E84" s="2548"/>
      <c r="F84" s="2548"/>
      <c r="G84" s="2548"/>
      <c r="H84" s="2548"/>
      <c r="I84" s="2548"/>
      <c r="J84" s="2548"/>
      <c r="K84" s="2548"/>
      <c r="L84" s="2548"/>
      <c r="M84" s="2548"/>
      <c r="N84" s="2548"/>
      <c r="O84" s="2548"/>
      <c r="P84" s="2548"/>
      <c r="Q84" s="2548"/>
      <c r="R84" s="2548"/>
    </row>
    <row r="85" spans="1:18" ht="17.100000000000001" customHeight="1" x14ac:dyDescent="0.25">
      <c r="A85" s="2548" t="s">
        <v>925</v>
      </c>
      <c r="B85" s="2548"/>
      <c r="C85" s="2548"/>
      <c r="D85" s="2548"/>
      <c r="E85" s="2548"/>
      <c r="F85" s="2548"/>
      <c r="G85" s="2548"/>
      <c r="H85" s="2548"/>
      <c r="I85" s="2548"/>
      <c r="J85" s="2548"/>
      <c r="K85" s="2548"/>
      <c r="L85" s="2548"/>
      <c r="M85" s="2548"/>
      <c r="N85" s="2548"/>
      <c r="O85" s="2548"/>
      <c r="P85" s="2548"/>
      <c r="Q85" s="2548"/>
      <c r="R85" s="2548"/>
    </row>
    <row r="86" spans="1:18" ht="17.100000000000001" customHeight="1" x14ac:dyDescent="0.25">
      <c r="A86" s="2548" t="s">
        <v>923</v>
      </c>
      <c r="B86" s="2548"/>
      <c r="C86" s="2548"/>
      <c r="D86" s="2548"/>
      <c r="E86" s="2548"/>
      <c r="F86" s="2548"/>
      <c r="G86" s="2548"/>
      <c r="H86" s="2548"/>
      <c r="I86" s="2548"/>
      <c r="J86" s="2548"/>
      <c r="K86" s="2548"/>
      <c r="L86" s="2548"/>
      <c r="M86" s="2548"/>
      <c r="N86" s="2548"/>
      <c r="O86" s="2548"/>
      <c r="P86" s="2548"/>
      <c r="Q86" s="2548"/>
      <c r="R86" s="2548"/>
    </row>
    <row r="87" spans="1:18" ht="20.100000000000001" customHeight="1" x14ac:dyDescent="0.25">
      <c r="A87" s="2674" t="s">
        <v>924</v>
      </c>
      <c r="B87" s="2674"/>
      <c r="C87" s="2674"/>
      <c r="D87" s="2674"/>
      <c r="E87" s="2674"/>
      <c r="F87" s="2674"/>
      <c r="G87" s="2674"/>
      <c r="H87" s="2674"/>
      <c r="I87" s="2674"/>
      <c r="J87" s="2674"/>
      <c r="K87" s="2674"/>
      <c r="L87" s="2674"/>
      <c r="M87" s="2674"/>
      <c r="N87" s="2674"/>
      <c r="O87" s="2674"/>
      <c r="P87" s="2674"/>
      <c r="Q87" s="2674"/>
      <c r="R87" s="2674"/>
    </row>
    <row r="88" spans="1:18" ht="30" customHeight="1" x14ac:dyDescent="0.25">
      <c r="A88" s="2548" t="s">
        <v>805</v>
      </c>
      <c r="B88" s="2548"/>
      <c r="C88" s="2548"/>
      <c r="D88" s="2548"/>
      <c r="E88" s="2548"/>
      <c r="F88" s="2548"/>
      <c r="G88" s="2548"/>
      <c r="H88" s="2548"/>
      <c r="I88" s="2548"/>
      <c r="J88" s="2548"/>
      <c r="K88" s="2548"/>
      <c r="L88" s="2548"/>
      <c r="M88" s="2548"/>
      <c r="N88" s="2548"/>
      <c r="O88" s="2548"/>
      <c r="P88" s="2548"/>
      <c r="Q88" s="2548"/>
      <c r="R88" s="2548"/>
    </row>
    <row r="89" spans="1:18" ht="20.100000000000001" customHeight="1" x14ac:dyDescent="0.25">
      <c r="C89" s="1461"/>
      <c r="D89" s="1461"/>
      <c r="E89" s="1461"/>
      <c r="F89" s="1461"/>
    </row>
    <row r="90" spans="1:18" ht="17.100000000000001" customHeight="1" x14ac:dyDescent="0.25">
      <c r="A90" s="1127" t="s">
        <v>1326</v>
      </c>
      <c r="N90" s="1128" t="s">
        <v>1325</v>
      </c>
      <c r="O90" s="1129"/>
      <c r="P90" s="1130"/>
      <c r="Q90" s="1130"/>
    </row>
    <row r="91" spans="1:18" x14ac:dyDescent="0.25">
      <c r="N91" s="1131" t="s">
        <v>1327</v>
      </c>
      <c r="O91" s="1131"/>
      <c r="P91" s="1132"/>
      <c r="Q91" s="1132"/>
    </row>
    <row r="92" spans="1:18" x14ac:dyDescent="0.25">
      <c r="N92" s="1131" t="s">
        <v>1328</v>
      </c>
      <c r="O92" s="1131"/>
      <c r="P92" s="1132"/>
      <c r="Q92" s="1132"/>
    </row>
    <row r="93" spans="1:18" x14ac:dyDescent="0.25">
      <c r="N93" s="1134" t="s">
        <v>1329</v>
      </c>
    </row>
  </sheetData>
  <customSheetViews>
    <customSheetView guid="{2AF6EA2A-E5C5-45EB-B6C4-875AD1E4E056}" scale="89" fitToPage="1">
      <pageMargins left="0.51181102362204722" right="0.51181102362204722" top="0.78740157480314965" bottom="0.78740157480314965" header="0.31496062992125984" footer="0.31496062992125984"/>
      <pageSetup paperSize="9" scale="68" orientation="landscape" r:id="rId1"/>
    </customSheetView>
  </customSheetViews>
  <mergeCells count="82">
    <mergeCell ref="C14:E14"/>
    <mergeCell ref="C16:E16"/>
    <mergeCell ref="D19:E19"/>
    <mergeCell ref="P3:P4"/>
    <mergeCell ref="Q3:Q4"/>
    <mergeCell ref="R3:R4"/>
    <mergeCell ref="B7:E7"/>
    <mergeCell ref="M3:M4"/>
    <mergeCell ref="F3:F5"/>
    <mergeCell ref="N3:N4"/>
    <mergeCell ref="O3:O4"/>
    <mergeCell ref="A3:A5"/>
    <mergeCell ref="B3:E5"/>
    <mergeCell ref="G3:H3"/>
    <mergeCell ref="I3:J3"/>
    <mergeCell ref="K3:L3"/>
    <mergeCell ref="A40:R40"/>
    <mergeCell ref="A41:R41"/>
    <mergeCell ref="A42:R42"/>
    <mergeCell ref="A35:R35"/>
    <mergeCell ref="A36:R36"/>
    <mergeCell ref="A37:R37"/>
    <mergeCell ref="A38:R38"/>
    <mergeCell ref="A39:R39"/>
    <mergeCell ref="D29:E29"/>
    <mergeCell ref="B24:E24"/>
    <mergeCell ref="A34:R34"/>
    <mergeCell ref="B6:E6"/>
    <mergeCell ref="B23:E23"/>
    <mergeCell ref="B26:E26"/>
    <mergeCell ref="B27:E27"/>
    <mergeCell ref="C8:E8"/>
    <mergeCell ref="D9:E9"/>
    <mergeCell ref="D10:E10"/>
    <mergeCell ref="D22:E22"/>
    <mergeCell ref="D28:E28"/>
    <mergeCell ref="D25:E25"/>
    <mergeCell ref="D11:E11"/>
    <mergeCell ref="D12:E12"/>
    <mergeCell ref="B13:E13"/>
    <mergeCell ref="A49:A51"/>
    <mergeCell ref="B49:E51"/>
    <mergeCell ref="F49:F51"/>
    <mergeCell ref="G49:H49"/>
    <mergeCell ref="I49:J49"/>
    <mergeCell ref="Q49:Q50"/>
    <mergeCell ref="R49:R50"/>
    <mergeCell ref="B52:E52"/>
    <mergeCell ref="B53:E53"/>
    <mergeCell ref="C54:E54"/>
    <mergeCell ref="K49:L49"/>
    <mergeCell ref="M49:M50"/>
    <mergeCell ref="N49:N50"/>
    <mergeCell ref="O49:O50"/>
    <mergeCell ref="P49:P50"/>
    <mergeCell ref="D55:E55"/>
    <mergeCell ref="D56:E56"/>
    <mergeCell ref="D57:E57"/>
    <mergeCell ref="D58:E58"/>
    <mergeCell ref="B59:E59"/>
    <mergeCell ref="C60:E60"/>
    <mergeCell ref="C62:E62"/>
    <mergeCell ref="D65:E65"/>
    <mergeCell ref="D68:E68"/>
    <mergeCell ref="B69:E69"/>
    <mergeCell ref="B70:E70"/>
    <mergeCell ref="D71:E71"/>
    <mergeCell ref="B72:E72"/>
    <mergeCell ref="B73:E73"/>
    <mergeCell ref="D74:E74"/>
    <mergeCell ref="D75:E75"/>
    <mergeCell ref="D76:E76"/>
    <mergeCell ref="A78:R79"/>
    <mergeCell ref="A80:R80"/>
    <mergeCell ref="A81:R81"/>
    <mergeCell ref="A87:R87"/>
    <mergeCell ref="A88:R88"/>
    <mergeCell ref="A82:R82"/>
    <mergeCell ref="A83:R83"/>
    <mergeCell ref="A84:R84"/>
    <mergeCell ref="A85:R85"/>
    <mergeCell ref="A86:R86"/>
  </mergeCells>
  <printOptions horizontalCentered="1" verticalCentered="1"/>
  <pageMargins left="0" right="0" top="0" bottom="0" header="0" footer="0"/>
  <pageSetup paperSize="9" scale="62" orientation="landscape" r:id="rId2"/>
  <ignoredErrors>
    <ignoredError sqref="A27"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73"/>
  <sheetViews>
    <sheetView topLeftCell="A63" zoomScaleNormal="100" workbookViewId="0">
      <selection activeCell="D56" sqref="D56"/>
    </sheetView>
  </sheetViews>
  <sheetFormatPr defaultRowHeight="12.75" x14ac:dyDescent="0.25"/>
  <cols>
    <col min="1" max="1" width="3.28515625" style="6" customWidth="1"/>
    <col min="2" max="2" width="7.85546875" style="6" customWidth="1"/>
    <col min="3" max="3" width="56.7109375" style="6" customWidth="1"/>
    <col min="4" max="4" width="17" style="6" customWidth="1"/>
    <col min="5" max="5" width="16.5703125" style="6" customWidth="1"/>
    <col min="6" max="6" width="11.42578125" style="6" customWidth="1"/>
    <col min="7" max="7" width="2.42578125" style="6" customWidth="1"/>
    <col min="8" max="8" width="29.85546875" style="6" customWidth="1"/>
    <col min="9" max="16384" width="9.140625" style="6"/>
  </cols>
  <sheetData>
    <row r="2" spans="1:8" ht="15.75" hidden="1" x14ac:dyDescent="0.25">
      <c r="A2" s="76" t="s">
        <v>1150</v>
      </c>
      <c r="B2" s="11"/>
      <c r="C2" s="11"/>
      <c r="D2" s="69"/>
      <c r="E2" s="12"/>
      <c r="F2" s="77"/>
      <c r="G2" s="30"/>
      <c r="H2" s="8"/>
    </row>
    <row r="3" spans="1:8" s="3" customFormat="1" ht="13.5" hidden="1" thickBot="1" x14ac:dyDescent="0.3">
      <c r="A3" s="12"/>
      <c r="B3" s="12"/>
      <c r="C3" s="12"/>
      <c r="D3" s="12"/>
      <c r="E3" s="12"/>
      <c r="F3" s="13" t="s">
        <v>507</v>
      </c>
      <c r="G3" s="12"/>
      <c r="H3" s="2"/>
    </row>
    <row r="4" spans="1:8" s="7" customFormat="1" ht="19.5" hidden="1" customHeight="1" x14ac:dyDescent="0.25">
      <c r="A4" s="2740" t="s">
        <v>479</v>
      </c>
      <c r="B4" s="2742" t="s">
        <v>707</v>
      </c>
      <c r="C4" s="2742"/>
      <c r="D4" s="2744" t="s">
        <v>1167</v>
      </c>
      <c r="E4" s="2744"/>
      <c r="F4" s="2745"/>
      <c r="G4" s="62"/>
      <c r="H4" s="139"/>
    </row>
    <row r="5" spans="1:8" s="7" customFormat="1" ht="13.5" hidden="1" customHeight="1" thickBot="1" x14ac:dyDescent="0.3">
      <c r="A5" s="2741"/>
      <c r="B5" s="2743"/>
      <c r="C5" s="2743"/>
      <c r="D5" s="725" t="s">
        <v>592</v>
      </c>
      <c r="E5" s="725" t="s">
        <v>508</v>
      </c>
      <c r="F5" s="14" t="s">
        <v>505</v>
      </c>
      <c r="G5" s="62"/>
      <c r="H5" s="139"/>
    </row>
    <row r="6" spans="1:8" s="7" customFormat="1" ht="12.75" hidden="1" customHeight="1" x14ac:dyDescent="0.25">
      <c r="A6" s="386" t="s">
        <v>1123</v>
      </c>
      <c r="B6" s="2746" t="s">
        <v>1112</v>
      </c>
      <c r="C6" s="2746"/>
      <c r="D6" s="381">
        <f>SUM(D7:D10)</f>
        <v>0</v>
      </c>
      <c r="E6" s="381">
        <f>SUM(E7:E10)</f>
        <v>0</v>
      </c>
      <c r="F6" s="382">
        <f t="shared" ref="F6:F22" si="0">SUM(D6+E6)</f>
        <v>0</v>
      </c>
      <c r="G6" s="62"/>
      <c r="H6" s="139"/>
    </row>
    <row r="7" spans="1:8" s="7" customFormat="1" ht="12.75" hidden="1" customHeight="1" x14ac:dyDescent="0.2">
      <c r="A7" s="726" t="s">
        <v>1124</v>
      </c>
      <c r="B7" s="2732" t="s">
        <v>639</v>
      </c>
      <c r="C7" s="787" t="s">
        <v>1113</v>
      </c>
      <c r="D7" s="379"/>
      <c r="E7" s="379"/>
      <c r="F7" s="79">
        <f t="shared" si="0"/>
        <v>0</v>
      </c>
      <c r="G7" s="62"/>
      <c r="H7" s="4"/>
    </row>
    <row r="8" spans="1:8" s="7" customFormat="1" ht="12.75" hidden="1" customHeight="1" x14ac:dyDescent="0.2">
      <c r="A8" s="726" t="s">
        <v>1125</v>
      </c>
      <c r="B8" s="2733"/>
      <c r="C8" s="787" t="s">
        <v>1114</v>
      </c>
      <c r="D8" s="379"/>
      <c r="E8" s="379"/>
      <c r="F8" s="79">
        <f t="shared" si="0"/>
        <v>0</v>
      </c>
      <c r="G8" s="62"/>
      <c r="H8" s="4"/>
    </row>
    <row r="9" spans="1:8" s="7" customFormat="1" ht="12.75" hidden="1" customHeight="1" x14ac:dyDescent="0.2">
      <c r="A9" s="726" t="s">
        <v>1126</v>
      </c>
      <c r="B9" s="2733"/>
      <c r="C9" s="787" t="s">
        <v>1115</v>
      </c>
      <c r="D9" s="379"/>
      <c r="E9" s="379"/>
      <c r="F9" s="79">
        <f t="shared" si="0"/>
        <v>0</v>
      </c>
      <c r="G9" s="62"/>
      <c r="H9" s="4"/>
    </row>
    <row r="10" spans="1:8" s="7" customFormat="1" ht="12.75" hidden="1" customHeight="1" x14ac:dyDescent="0.2">
      <c r="A10" s="726" t="s">
        <v>1127</v>
      </c>
      <c r="B10" s="2734"/>
      <c r="C10" s="788" t="s">
        <v>1116</v>
      </c>
      <c r="D10" s="379"/>
      <c r="E10" s="379"/>
      <c r="F10" s="79">
        <f t="shared" si="0"/>
        <v>0</v>
      </c>
      <c r="G10" s="62"/>
      <c r="H10" s="4"/>
    </row>
    <row r="11" spans="1:8" s="7" customFormat="1" ht="12.75" hidden="1" customHeight="1" x14ac:dyDescent="0.2">
      <c r="A11" s="380" t="s">
        <v>1128</v>
      </c>
      <c r="B11" s="2730" t="s">
        <v>1137</v>
      </c>
      <c r="C11" s="2731"/>
      <c r="D11" s="381"/>
      <c r="E11" s="381"/>
      <c r="F11" s="382">
        <f t="shared" si="0"/>
        <v>0</v>
      </c>
      <c r="G11" s="62"/>
      <c r="H11" s="4"/>
    </row>
    <row r="12" spans="1:8" s="7" customFormat="1" ht="12.75" hidden="1" customHeight="1" x14ac:dyDescent="0.2">
      <c r="A12" s="380" t="s">
        <v>757</v>
      </c>
      <c r="B12" s="789" t="s">
        <v>703</v>
      </c>
      <c r="C12" s="790"/>
      <c r="D12" s="381">
        <f>SUM(D13:D16)</f>
        <v>0</v>
      </c>
      <c r="E12" s="381">
        <f>SUM(E13:E16)</f>
        <v>0</v>
      </c>
      <c r="F12" s="382">
        <f t="shared" si="0"/>
        <v>0</v>
      </c>
      <c r="G12" s="62"/>
      <c r="H12" s="4"/>
    </row>
    <row r="13" spans="1:8" s="7" customFormat="1" ht="12.75" hidden="1" customHeight="1" x14ac:dyDescent="0.2">
      <c r="A13" s="726" t="s">
        <v>1129</v>
      </c>
      <c r="B13" s="2732" t="s">
        <v>639</v>
      </c>
      <c r="C13" s="746" t="s">
        <v>511</v>
      </c>
      <c r="D13" s="78"/>
      <c r="E13" s="78"/>
      <c r="F13" s="79">
        <f t="shared" si="0"/>
        <v>0</v>
      </c>
      <c r="G13" s="62"/>
      <c r="H13" s="4"/>
    </row>
    <row r="14" spans="1:8" s="7" customFormat="1" ht="12.75" hidden="1" customHeight="1" x14ac:dyDescent="0.2">
      <c r="A14" s="726" t="s">
        <v>1130</v>
      </c>
      <c r="B14" s="2733"/>
      <c r="C14" s="746" t="s">
        <v>510</v>
      </c>
      <c r="D14" s="78"/>
      <c r="E14" s="78"/>
      <c r="F14" s="79">
        <f t="shared" si="0"/>
        <v>0</v>
      </c>
      <c r="G14" s="62"/>
      <c r="H14" s="4"/>
    </row>
    <row r="15" spans="1:8" s="7" customFormat="1" ht="12.75" hidden="1" customHeight="1" x14ac:dyDescent="0.2">
      <c r="A15" s="726" t="s">
        <v>1131</v>
      </c>
      <c r="B15" s="2733"/>
      <c r="C15" s="746" t="s">
        <v>1120</v>
      </c>
      <c r="D15" s="78"/>
      <c r="E15" s="78"/>
      <c r="F15" s="79">
        <f t="shared" si="0"/>
        <v>0</v>
      </c>
      <c r="G15" s="62"/>
      <c r="H15" s="4"/>
    </row>
    <row r="16" spans="1:8" s="7" customFormat="1" ht="12.75" hidden="1" customHeight="1" x14ac:dyDescent="0.2">
      <c r="A16" s="726" t="s">
        <v>1132</v>
      </c>
      <c r="B16" s="2734"/>
      <c r="C16" s="746" t="s">
        <v>483</v>
      </c>
      <c r="D16" s="78"/>
      <c r="E16" s="78"/>
      <c r="F16" s="79"/>
      <c r="G16" s="62"/>
      <c r="H16" s="4"/>
    </row>
    <row r="17" spans="1:8" s="7" customFormat="1" ht="12.75" hidden="1" customHeight="1" x14ac:dyDescent="0.2">
      <c r="A17" s="380" t="s">
        <v>759</v>
      </c>
      <c r="B17" s="789" t="s">
        <v>704</v>
      </c>
      <c r="C17" s="790"/>
      <c r="D17" s="381">
        <f>SUM(D18:D20)</f>
        <v>0</v>
      </c>
      <c r="E17" s="381">
        <f>SUM(E18:E20)</f>
        <v>0</v>
      </c>
      <c r="F17" s="382">
        <f t="shared" si="0"/>
        <v>0</v>
      </c>
      <c r="G17" s="62"/>
      <c r="H17" s="4"/>
    </row>
    <row r="18" spans="1:8" s="7" customFormat="1" ht="12.75" hidden="1" customHeight="1" x14ac:dyDescent="0.2">
      <c r="A18" s="726" t="s">
        <v>1134</v>
      </c>
      <c r="B18" s="2732" t="s">
        <v>639</v>
      </c>
      <c r="C18" s="791" t="s">
        <v>511</v>
      </c>
      <c r="D18" s="78"/>
      <c r="E18" s="78"/>
      <c r="F18" s="79">
        <f t="shared" si="0"/>
        <v>0</v>
      </c>
      <c r="G18" s="62"/>
      <c r="H18" s="4"/>
    </row>
    <row r="19" spans="1:8" s="7" customFormat="1" ht="12.75" hidden="1" customHeight="1" x14ac:dyDescent="0.2">
      <c r="A19" s="726" t="s">
        <v>1135</v>
      </c>
      <c r="B19" s="2733"/>
      <c r="C19" s="791" t="s">
        <v>510</v>
      </c>
      <c r="D19" s="78"/>
      <c r="E19" s="78"/>
      <c r="F19" s="79">
        <f t="shared" si="0"/>
        <v>0</v>
      </c>
      <c r="G19" s="62"/>
      <c r="H19" s="4"/>
    </row>
    <row r="20" spans="1:8" ht="12.75" hidden="1" customHeight="1" x14ac:dyDescent="0.2">
      <c r="A20" s="726" t="s">
        <v>1133</v>
      </c>
      <c r="B20" s="2734"/>
      <c r="C20" s="791" t="s">
        <v>483</v>
      </c>
      <c r="D20" s="78"/>
      <c r="E20" s="78"/>
      <c r="F20" s="79"/>
      <c r="G20" s="62"/>
      <c r="H20" s="4"/>
    </row>
    <row r="21" spans="1:8" ht="12.75" hidden="1" customHeight="1" x14ac:dyDescent="0.2">
      <c r="A21" s="380" t="s">
        <v>1136</v>
      </c>
      <c r="B21" s="2730" t="s">
        <v>705</v>
      </c>
      <c r="C21" s="2731"/>
      <c r="D21" s="381"/>
      <c r="E21" s="381"/>
      <c r="F21" s="382">
        <f t="shared" si="0"/>
        <v>0</v>
      </c>
      <c r="G21" s="62"/>
      <c r="H21" s="5"/>
    </row>
    <row r="22" spans="1:8" ht="12.75" hidden="1" customHeight="1" thickBot="1" x14ac:dyDescent="0.25">
      <c r="A22" s="383" t="s">
        <v>761</v>
      </c>
      <c r="B22" s="2735" t="s">
        <v>706</v>
      </c>
      <c r="C22" s="2736"/>
      <c r="D22" s="384"/>
      <c r="E22" s="384"/>
      <c r="F22" s="385">
        <f t="shared" si="0"/>
        <v>0</v>
      </c>
      <c r="G22" s="62"/>
      <c r="H22" s="5"/>
    </row>
    <row r="23" spans="1:8" hidden="1" x14ac:dyDescent="0.2">
      <c r="A23" s="81"/>
      <c r="B23" s="30"/>
      <c r="C23" s="30"/>
      <c r="D23" s="30"/>
      <c r="E23" s="81"/>
      <c r="F23" s="82"/>
      <c r="G23" s="62"/>
      <c r="H23" s="5"/>
    </row>
    <row r="24" spans="1:8" hidden="1" x14ac:dyDescent="0.2">
      <c r="A24" s="108" t="s">
        <v>638</v>
      </c>
      <c r="B24" s="123"/>
      <c r="C24" s="123"/>
      <c r="D24" s="30"/>
      <c r="E24" s="81"/>
      <c r="F24" s="82"/>
      <c r="G24" s="62"/>
      <c r="H24" s="5"/>
    </row>
    <row r="25" spans="1:8" ht="27.75" hidden="1" customHeight="1" x14ac:dyDescent="0.2">
      <c r="A25" s="2737" t="s">
        <v>1171</v>
      </c>
      <c r="B25" s="2738"/>
      <c r="C25" s="2738"/>
      <c r="D25" s="2738"/>
      <c r="E25" s="2738"/>
      <c r="F25" s="2738"/>
      <c r="G25" s="62"/>
      <c r="H25" s="5"/>
    </row>
    <row r="26" spans="1:8" ht="79.5" hidden="1" customHeight="1" x14ac:dyDescent="0.2">
      <c r="A26" s="2548" t="s">
        <v>1117</v>
      </c>
      <c r="B26" s="2739"/>
      <c r="C26" s="2739"/>
      <c r="D26" s="2739"/>
      <c r="E26" s="2739"/>
      <c r="F26" s="2739"/>
      <c r="G26" s="1"/>
    </row>
    <row r="27" spans="1:8" ht="81" hidden="1" customHeight="1" x14ac:dyDescent="0.2">
      <c r="A27" s="2728" t="s">
        <v>1191</v>
      </c>
      <c r="B27" s="2729"/>
      <c r="C27" s="2729"/>
      <c r="D27" s="2729"/>
      <c r="E27" s="2729"/>
      <c r="F27" s="2729"/>
      <c r="G27" s="1"/>
    </row>
    <row r="28" spans="1:8" ht="80.25" hidden="1" customHeight="1" x14ac:dyDescent="0.25">
      <c r="A28" s="2728" t="s">
        <v>1189</v>
      </c>
      <c r="B28" s="2729"/>
      <c r="C28" s="2729"/>
      <c r="D28" s="2729"/>
      <c r="E28" s="2729"/>
      <c r="F28" s="2729"/>
      <c r="G28" s="1"/>
      <c r="H28" s="804"/>
    </row>
    <row r="29" spans="1:8" ht="55.5" hidden="1" customHeight="1" x14ac:dyDescent="0.2">
      <c r="A29" s="2728" t="s">
        <v>1119</v>
      </c>
      <c r="B29" s="2729"/>
      <c r="C29" s="2729"/>
      <c r="D29" s="2729"/>
      <c r="E29" s="2729"/>
      <c r="F29" s="2729"/>
      <c r="G29" s="1"/>
    </row>
    <row r="30" spans="1:8" ht="43.5" hidden="1" customHeight="1" x14ac:dyDescent="0.2">
      <c r="A30" s="2728" t="s">
        <v>1138</v>
      </c>
      <c r="B30" s="2729"/>
      <c r="C30" s="2729"/>
      <c r="D30" s="2729"/>
      <c r="E30" s="2729"/>
      <c r="F30" s="2729"/>
      <c r="G30" s="1"/>
    </row>
    <row r="31" spans="1:8" ht="15.75" hidden="1" customHeight="1" x14ac:dyDescent="0.2">
      <c r="A31" s="2728" t="s">
        <v>1121</v>
      </c>
      <c r="B31" s="2729"/>
      <c r="C31" s="2729"/>
      <c r="D31" s="2729"/>
      <c r="E31" s="2729"/>
      <c r="F31" s="2729"/>
      <c r="G31" s="1"/>
    </row>
    <row r="32" spans="1:8" ht="15.75" hidden="1" customHeight="1" x14ac:dyDescent="0.2">
      <c r="A32" s="1825"/>
      <c r="B32" s="1826"/>
      <c r="C32" s="1826"/>
      <c r="D32" s="1826"/>
      <c r="E32" s="1826"/>
      <c r="F32" s="1826"/>
      <c r="G32" s="1"/>
    </row>
    <row r="33" spans="1:7" ht="15.75" customHeight="1" x14ac:dyDescent="0.2">
      <c r="A33" s="1964"/>
      <c r="B33" s="1826"/>
      <c r="C33" s="1826"/>
      <c r="D33" s="1826"/>
      <c r="E33" s="1826"/>
      <c r="F33" s="1826"/>
      <c r="G33" s="1"/>
    </row>
    <row r="34" spans="1:7" ht="14.25" customHeight="1" x14ac:dyDescent="0.2">
      <c r="A34" s="910" t="s">
        <v>1278</v>
      </c>
      <c r="G34" s="1"/>
    </row>
    <row r="35" spans="1:7" ht="15.75" x14ac:dyDescent="0.2">
      <c r="A35" s="1264" t="s">
        <v>1150</v>
      </c>
      <c r="B35" s="22"/>
      <c r="C35" s="22"/>
      <c r="D35" s="463"/>
      <c r="E35" s="17"/>
      <c r="F35" s="1940"/>
      <c r="G35" s="1"/>
    </row>
    <row r="36" spans="1:7" ht="13.5" thickBot="1" x14ac:dyDescent="0.25">
      <c r="A36" s="17"/>
      <c r="B36" s="17"/>
      <c r="C36" s="17"/>
      <c r="D36" s="17"/>
      <c r="E36" s="17"/>
      <c r="F36" s="23" t="s">
        <v>507</v>
      </c>
      <c r="G36" s="1"/>
    </row>
    <row r="37" spans="1:7" x14ac:dyDescent="0.2">
      <c r="A37" s="2747" t="s">
        <v>479</v>
      </c>
      <c r="B37" s="2749" t="s">
        <v>707</v>
      </c>
      <c r="C37" s="2749"/>
      <c r="D37" s="2751" t="s">
        <v>1167</v>
      </c>
      <c r="E37" s="2751"/>
      <c r="F37" s="2752"/>
      <c r="G37" s="1"/>
    </row>
    <row r="38" spans="1:7" ht="13.5" thickBot="1" x14ac:dyDescent="0.25">
      <c r="A38" s="2748"/>
      <c r="B38" s="2750"/>
      <c r="C38" s="2750"/>
      <c r="D38" s="1941" t="s">
        <v>592</v>
      </c>
      <c r="E38" s="1941" t="s">
        <v>508</v>
      </c>
      <c r="F38" s="1942" t="s">
        <v>505</v>
      </c>
      <c r="G38" s="1"/>
    </row>
    <row r="39" spans="1:7" x14ac:dyDescent="0.25">
      <c r="A39" s="1943" t="s">
        <v>1123</v>
      </c>
      <c r="B39" s="2753" t="s">
        <v>1877</v>
      </c>
      <c r="C39" s="2753"/>
      <c r="D39" s="1944">
        <f>SUM(D40:D43)</f>
        <v>9</v>
      </c>
      <c r="E39" s="1944">
        <f>SUM(E40:E43)</f>
        <v>469</v>
      </c>
      <c r="F39" s="1945">
        <f t="shared" ref="F39:F55" si="1">SUM(D39+E39)</f>
        <v>478</v>
      </c>
    </row>
    <row r="40" spans="1:7" x14ac:dyDescent="0.25">
      <c r="A40" s="1946" t="s">
        <v>1124</v>
      </c>
      <c r="B40" s="2754" t="s">
        <v>639</v>
      </c>
      <c r="C40" s="1947" t="s">
        <v>1113</v>
      </c>
      <c r="D40" s="2428">
        <v>9</v>
      </c>
      <c r="E40" s="2428">
        <v>469</v>
      </c>
      <c r="F40" s="1949">
        <f t="shared" si="1"/>
        <v>478</v>
      </c>
    </row>
    <row r="41" spans="1:7" x14ac:dyDescent="0.25">
      <c r="A41" s="1946" t="s">
        <v>1125</v>
      </c>
      <c r="B41" s="2755"/>
      <c r="C41" s="1947" t="s">
        <v>1114</v>
      </c>
      <c r="D41" s="1948"/>
      <c r="E41" s="1948"/>
      <c r="F41" s="1949">
        <f t="shared" si="1"/>
        <v>0</v>
      </c>
    </row>
    <row r="42" spans="1:7" ht="24" x14ac:dyDescent="0.25">
      <c r="A42" s="1946" t="s">
        <v>1126</v>
      </c>
      <c r="B42" s="2755"/>
      <c r="C42" s="1947" t="s">
        <v>1115</v>
      </c>
      <c r="D42" s="1948"/>
      <c r="E42" s="1948"/>
      <c r="F42" s="1949">
        <f t="shared" si="1"/>
        <v>0</v>
      </c>
    </row>
    <row r="43" spans="1:7" x14ac:dyDescent="0.25">
      <c r="A43" s="1946" t="s">
        <v>1127</v>
      </c>
      <c r="B43" s="2756"/>
      <c r="C43" s="1950" t="s">
        <v>1116</v>
      </c>
      <c r="D43" s="1948"/>
      <c r="E43" s="1948"/>
      <c r="F43" s="1949">
        <f t="shared" si="1"/>
        <v>0</v>
      </c>
    </row>
    <row r="44" spans="1:7" x14ac:dyDescent="0.25">
      <c r="A44" s="1951" t="s">
        <v>1128</v>
      </c>
      <c r="B44" s="2757" t="s">
        <v>1878</v>
      </c>
      <c r="C44" s="2758"/>
      <c r="D44" s="1944">
        <f>3004-9</f>
        <v>2995</v>
      </c>
      <c r="E44" s="1944">
        <f>25090-14946-469-80</f>
        <v>9595</v>
      </c>
      <c r="F44" s="1945">
        <f t="shared" si="1"/>
        <v>12590</v>
      </c>
    </row>
    <row r="45" spans="1:7" x14ac:dyDescent="0.25">
      <c r="A45" s="1951" t="s">
        <v>757</v>
      </c>
      <c r="B45" s="1952" t="s">
        <v>703</v>
      </c>
      <c r="C45" s="1953"/>
      <c r="D45" s="1944">
        <f>SUM(D46:D49)</f>
        <v>0</v>
      </c>
      <c r="E45" s="1944">
        <f>SUM(E46:E49)</f>
        <v>15026</v>
      </c>
      <c r="F45" s="1945">
        <f t="shared" si="1"/>
        <v>15026</v>
      </c>
    </row>
    <row r="46" spans="1:7" x14ac:dyDescent="0.25">
      <c r="A46" s="1946" t="s">
        <v>1129</v>
      </c>
      <c r="B46" s="2754" t="s">
        <v>639</v>
      </c>
      <c r="C46" s="1954" t="s">
        <v>511</v>
      </c>
      <c r="D46" s="1955"/>
      <c r="E46" s="1955"/>
      <c r="F46" s="1949">
        <f t="shared" si="1"/>
        <v>0</v>
      </c>
    </row>
    <row r="47" spans="1:7" x14ac:dyDescent="0.25">
      <c r="A47" s="1946" t="s">
        <v>1130</v>
      </c>
      <c r="B47" s="2755"/>
      <c r="C47" s="1954" t="s">
        <v>510</v>
      </c>
      <c r="D47" s="1955"/>
      <c r="E47" s="1955"/>
      <c r="F47" s="1949">
        <f t="shared" si="1"/>
        <v>0</v>
      </c>
    </row>
    <row r="48" spans="1:7" x14ac:dyDescent="0.25">
      <c r="A48" s="1946" t="s">
        <v>1131</v>
      </c>
      <c r="B48" s="2755"/>
      <c r="C48" s="1954" t="s">
        <v>1120</v>
      </c>
      <c r="D48" s="1955"/>
      <c r="E48" s="2390">
        <v>14946</v>
      </c>
      <c r="F48" s="1949">
        <f t="shared" si="1"/>
        <v>14946</v>
      </c>
    </row>
    <row r="49" spans="1:6" x14ac:dyDescent="0.25">
      <c r="A49" s="1946" t="s">
        <v>1132</v>
      </c>
      <c r="B49" s="2756"/>
      <c r="C49" s="1954" t="s">
        <v>483</v>
      </c>
      <c r="D49" s="1955"/>
      <c r="E49" s="2390">
        <v>80</v>
      </c>
      <c r="F49" s="1949">
        <f t="shared" si="1"/>
        <v>80</v>
      </c>
    </row>
    <row r="50" spans="1:6" x14ac:dyDescent="0.25">
      <c r="A50" s="1951" t="s">
        <v>759</v>
      </c>
      <c r="B50" s="1952" t="s">
        <v>704</v>
      </c>
      <c r="C50" s="1953"/>
      <c r="D50" s="1944">
        <f>SUM(D51:D53)</f>
        <v>11</v>
      </c>
      <c r="E50" s="1944">
        <f>SUM(E51:E53)</f>
        <v>0</v>
      </c>
      <c r="F50" s="1945">
        <f t="shared" si="1"/>
        <v>11</v>
      </c>
    </row>
    <row r="51" spans="1:6" x14ac:dyDescent="0.25">
      <c r="A51" s="1946" t="s">
        <v>1134</v>
      </c>
      <c r="B51" s="2754" t="s">
        <v>639</v>
      </c>
      <c r="C51" s="1956" t="s">
        <v>511</v>
      </c>
      <c r="D51" s="1955"/>
      <c r="E51" s="1955"/>
      <c r="F51" s="1949">
        <f t="shared" si="1"/>
        <v>0</v>
      </c>
    </row>
    <row r="52" spans="1:6" x14ac:dyDescent="0.25">
      <c r="A52" s="1946" t="s">
        <v>1135</v>
      </c>
      <c r="B52" s="2755"/>
      <c r="C52" s="1956" t="s">
        <v>510</v>
      </c>
      <c r="D52" s="1955"/>
      <c r="E52" s="1955"/>
      <c r="F52" s="1949">
        <f t="shared" si="1"/>
        <v>0</v>
      </c>
    </row>
    <row r="53" spans="1:6" x14ac:dyDescent="0.25">
      <c r="A53" s="1946" t="s">
        <v>1133</v>
      </c>
      <c r="B53" s="2756"/>
      <c r="C53" s="1956" t="s">
        <v>1879</v>
      </c>
      <c r="D53" s="2390">
        <v>11</v>
      </c>
      <c r="E53" s="1955"/>
      <c r="F53" s="1949">
        <f t="shared" si="1"/>
        <v>11</v>
      </c>
    </row>
    <row r="54" spans="1:6" x14ac:dyDescent="0.25">
      <c r="A54" s="1951" t="s">
        <v>1136</v>
      </c>
      <c r="B54" s="2757" t="s">
        <v>705</v>
      </c>
      <c r="C54" s="2758"/>
      <c r="D54" s="2429">
        <f>672+49</f>
        <v>721</v>
      </c>
      <c r="E54" s="1944">
        <v>0</v>
      </c>
      <c r="F54" s="1945">
        <f t="shared" si="1"/>
        <v>721</v>
      </c>
    </row>
    <row r="55" spans="1:6" ht="13.5" thickBot="1" x14ac:dyDescent="0.3">
      <c r="A55" s="1957" t="s">
        <v>761</v>
      </c>
      <c r="B55" s="2759" t="s">
        <v>706</v>
      </c>
      <c r="C55" s="2760"/>
      <c r="D55" s="1958">
        <v>0</v>
      </c>
      <c r="E55" s="1958">
        <v>0</v>
      </c>
      <c r="F55" s="1959">
        <f t="shared" si="1"/>
        <v>0</v>
      </c>
    </row>
    <row r="56" spans="1:6" x14ac:dyDescent="0.25">
      <c r="A56" s="1960"/>
      <c r="B56" s="1961"/>
      <c r="C56" s="1961"/>
      <c r="D56" s="1962"/>
      <c r="E56" s="1962"/>
      <c r="F56" s="1963"/>
    </row>
    <row r="57" spans="1:6" x14ac:dyDescent="0.25">
      <c r="A57" s="2761" t="s">
        <v>1922</v>
      </c>
      <c r="B57" s="2762"/>
      <c r="C57" s="2762"/>
      <c r="D57" s="2762"/>
      <c r="E57" s="2762"/>
      <c r="F57" s="2762"/>
    </row>
    <row r="58" spans="1:6" x14ac:dyDescent="0.25">
      <c r="A58" s="2762"/>
      <c r="B58" s="2762"/>
      <c r="C58" s="2762"/>
      <c r="D58" s="2762"/>
      <c r="E58" s="2762"/>
      <c r="F58" s="2762"/>
    </row>
    <row r="59" spans="1:6" x14ac:dyDescent="0.25">
      <c r="A59" s="2762"/>
      <c r="B59" s="2762"/>
      <c r="C59" s="2762"/>
      <c r="D59" s="2762"/>
      <c r="E59" s="2762"/>
      <c r="F59" s="2762"/>
    </row>
    <row r="60" spans="1:6" ht="17.100000000000001" customHeight="1" x14ac:dyDescent="0.2">
      <c r="A60" s="108" t="s">
        <v>638</v>
      </c>
      <c r="B60" s="123"/>
      <c r="C60" s="123"/>
      <c r="D60" s="30"/>
      <c r="E60" s="81"/>
      <c r="F60" s="82"/>
    </row>
    <row r="61" spans="1:6" ht="17.100000000000001" customHeight="1" x14ac:dyDescent="0.2">
      <c r="A61" s="2737" t="s">
        <v>1171</v>
      </c>
      <c r="B61" s="2738"/>
      <c r="C61" s="2738"/>
      <c r="D61" s="2738"/>
      <c r="E61" s="2738"/>
      <c r="F61" s="2738"/>
    </row>
    <row r="62" spans="1:6" ht="80.099999999999994" customHeight="1" x14ac:dyDescent="0.25">
      <c r="A62" s="2548" t="s">
        <v>1117</v>
      </c>
      <c r="B62" s="2739"/>
      <c r="C62" s="2739"/>
      <c r="D62" s="2739"/>
      <c r="E62" s="2739"/>
      <c r="F62" s="2739"/>
    </row>
    <row r="63" spans="1:6" ht="80.099999999999994" customHeight="1" x14ac:dyDescent="0.25">
      <c r="A63" s="2728" t="s">
        <v>1191</v>
      </c>
      <c r="B63" s="2729"/>
      <c r="C63" s="2729"/>
      <c r="D63" s="2729"/>
      <c r="E63" s="2729"/>
      <c r="F63" s="2729"/>
    </row>
    <row r="64" spans="1:6" ht="80.099999999999994" customHeight="1" x14ac:dyDescent="0.25">
      <c r="A64" s="2728" t="s">
        <v>1189</v>
      </c>
      <c r="B64" s="2729"/>
      <c r="C64" s="2729"/>
      <c r="D64" s="2729"/>
      <c r="E64" s="2729"/>
      <c r="F64" s="2729"/>
    </row>
    <row r="65" spans="1:6" ht="60" customHeight="1" x14ac:dyDescent="0.25">
      <c r="A65" s="2728" t="s">
        <v>1119</v>
      </c>
      <c r="B65" s="2729"/>
      <c r="C65" s="2729"/>
      <c r="D65" s="2729"/>
      <c r="E65" s="2729"/>
      <c r="F65" s="2729"/>
    </row>
    <row r="66" spans="1:6" ht="50.1" customHeight="1" x14ac:dyDescent="0.25">
      <c r="A66" s="2728" t="s">
        <v>1138</v>
      </c>
      <c r="B66" s="2729"/>
      <c r="C66" s="2729"/>
      <c r="D66" s="2729"/>
      <c r="E66" s="2729"/>
      <c r="F66" s="2729"/>
    </row>
    <row r="67" spans="1:6" ht="17.100000000000001" customHeight="1" x14ac:dyDescent="0.25">
      <c r="A67" s="2728" t="s">
        <v>1121</v>
      </c>
      <c r="B67" s="2729"/>
      <c r="C67" s="2729"/>
      <c r="D67" s="2729"/>
      <c r="E67" s="2729"/>
      <c r="F67" s="2729"/>
    </row>
    <row r="70" spans="1:6" ht="15.75" x14ac:dyDescent="0.25">
      <c r="D70" s="1128" t="s">
        <v>1325</v>
      </c>
      <c r="E70" s="1129"/>
      <c r="F70" s="1130"/>
    </row>
    <row r="71" spans="1:6" x14ac:dyDescent="0.25">
      <c r="D71" s="1131" t="s">
        <v>1327</v>
      </c>
      <c r="E71" s="1131"/>
      <c r="F71" s="1132"/>
    </row>
    <row r="72" spans="1:6" x14ac:dyDescent="0.25">
      <c r="D72" s="1131" t="s">
        <v>1328</v>
      </c>
      <c r="E72" s="1131"/>
      <c r="F72" s="1132"/>
    </row>
    <row r="73" spans="1:6" x14ac:dyDescent="0.25">
      <c r="D73" s="1134" t="s">
        <v>1329</v>
      </c>
    </row>
  </sheetData>
  <sheetProtection formatRows="0" insertRows="0" deleteRows="0"/>
  <customSheetViews>
    <customSheetView guid="{2AF6EA2A-E5C5-45EB-B6C4-875AD1E4E056}" fitToPage="1" printArea="1" topLeftCell="A16">
      <selection activeCell="A30" sqref="A30:F30"/>
      <pageMargins left="0.59055118110236227" right="0.59055118110236227" top="0.6692913385826772" bottom="0.6692913385826772" header="0.15748031496062992" footer="0.15748031496062992"/>
      <printOptions horizontalCentered="1"/>
      <pageSetup paperSize="9" scale="80" orientation="portrait" cellComments="asDisplayed" horizontalDpi="300" verticalDpi="300" r:id="rId1"/>
      <headerFooter alignWithMargins="0"/>
    </customSheetView>
  </customSheetViews>
  <mergeCells count="35">
    <mergeCell ref="A65:F65"/>
    <mergeCell ref="A66:F66"/>
    <mergeCell ref="A67:F67"/>
    <mergeCell ref="A57:F59"/>
    <mergeCell ref="A61:F61"/>
    <mergeCell ref="A62:F62"/>
    <mergeCell ref="A63:F63"/>
    <mergeCell ref="A64:F64"/>
    <mergeCell ref="B44:C44"/>
    <mergeCell ref="B46:B49"/>
    <mergeCell ref="B51:B53"/>
    <mergeCell ref="B54:C54"/>
    <mergeCell ref="B55:C55"/>
    <mergeCell ref="A37:A38"/>
    <mergeCell ref="B37:C38"/>
    <mergeCell ref="D37:F37"/>
    <mergeCell ref="B39:C39"/>
    <mergeCell ref="B40:B43"/>
    <mergeCell ref="A4:A5"/>
    <mergeCell ref="B4:C5"/>
    <mergeCell ref="D4:F4"/>
    <mergeCell ref="B6:C6"/>
    <mergeCell ref="B7:B10"/>
    <mergeCell ref="A28:F28"/>
    <mergeCell ref="A29:F29"/>
    <mergeCell ref="A31:F31"/>
    <mergeCell ref="A30:F30"/>
    <mergeCell ref="B11:C11"/>
    <mergeCell ref="B13:B16"/>
    <mergeCell ref="B18:B20"/>
    <mergeCell ref="B22:C22"/>
    <mergeCell ref="B21:C21"/>
    <mergeCell ref="A25:F25"/>
    <mergeCell ref="A26:F26"/>
    <mergeCell ref="A27:F27"/>
  </mergeCells>
  <printOptions horizontalCentered="1"/>
  <pageMargins left="0.59055118110236227" right="0.59055118110236227" top="0.6692913385826772" bottom="0.6692913385826772" header="0.15748031496062992" footer="0.15748031496062992"/>
  <pageSetup paperSize="9" orientation="portrait" cellComments="asDisplayed" horizontalDpi="300" verticalDpi="300"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L68"/>
  <sheetViews>
    <sheetView zoomScaleNormal="100" workbookViewId="0"/>
  </sheetViews>
  <sheetFormatPr defaultRowHeight="15" x14ac:dyDescent="0.25"/>
  <cols>
    <col min="1" max="1" width="3.42578125" style="28" customWidth="1"/>
    <col min="2" max="2" width="49.5703125" style="16" customWidth="1"/>
    <col min="3" max="3" width="16.42578125" style="16" customWidth="1"/>
    <col min="4" max="4" width="17.7109375" style="16" customWidth="1"/>
    <col min="5" max="5" width="17.28515625" style="16" customWidth="1"/>
    <col min="6" max="6" width="17" style="16" customWidth="1"/>
    <col min="7" max="7" width="14.140625" style="16" bestFit="1" customWidth="1"/>
    <col min="8" max="8" width="10.85546875" hidden="1" customWidth="1"/>
    <col min="9" max="9" width="0" hidden="1" customWidth="1"/>
    <col min="10" max="10" width="9.7109375" hidden="1" customWidth="1"/>
    <col min="11" max="14" width="0" style="16" hidden="1" customWidth="1"/>
    <col min="15" max="16384" width="9.140625" style="16"/>
  </cols>
  <sheetData>
    <row r="1" spans="1:12" x14ac:dyDescent="0.25">
      <c r="H1" s="139"/>
      <c r="I1" s="139"/>
      <c r="J1" s="139"/>
    </row>
    <row r="2" spans="1:12" ht="15.75" hidden="1" x14ac:dyDescent="0.25">
      <c r="A2" s="365" t="s">
        <v>819</v>
      </c>
      <c r="B2" s="11"/>
      <c r="C2" s="12"/>
      <c r="D2" s="12"/>
      <c r="E2" s="12"/>
    </row>
    <row r="3" spans="1:12" ht="15.75" hidden="1" thickBot="1" x14ac:dyDescent="0.3">
      <c r="A3" s="27"/>
      <c r="B3" s="12"/>
      <c r="C3" s="12"/>
      <c r="D3" s="13"/>
      <c r="E3" s="12"/>
      <c r="F3" s="228" t="s">
        <v>591</v>
      </c>
    </row>
    <row r="4" spans="1:12" ht="26.25" hidden="1" customHeight="1" x14ac:dyDescent="0.25">
      <c r="A4" s="2768" t="s">
        <v>479</v>
      </c>
      <c r="B4" s="2770" t="s">
        <v>512</v>
      </c>
      <c r="C4" s="806" t="s">
        <v>1195</v>
      </c>
      <c r="D4" s="84" t="s">
        <v>1198</v>
      </c>
      <c r="E4" s="329" t="s">
        <v>670</v>
      </c>
      <c r="F4" s="330" t="s">
        <v>715</v>
      </c>
    </row>
    <row r="5" spans="1:12" ht="12" hidden="1" customHeight="1" thickBot="1" x14ac:dyDescent="0.3">
      <c r="A5" s="2769"/>
      <c r="B5" s="2771"/>
      <c r="C5" s="235" t="s">
        <v>558</v>
      </c>
      <c r="D5" s="235" t="s">
        <v>559</v>
      </c>
      <c r="E5" s="235" t="s">
        <v>560</v>
      </c>
      <c r="F5" s="236" t="s">
        <v>561</v>
      </c>
    </row>
    <row r="6" spans="1:12" ht="18" hidden="1" customHeight="1" x14ac:dyDescent="0.25">
      <c r="A6" s="373">
        <v>1</v>
      </c>
      <c r="B6" s="778" t="s">
        <v>702</v>
      </c>
      <c r="C6" s="375">
        <f>SUM(C7:C10)</f>
        <v>0</v>
      </c>
      <c r="D6" s="375">
        <f>SUM(D7:D10)</f>
        <v>0</v>
      </c>
      <c r="E6" s="375">
        <f>SUM(E7:E10)</f>
        <v>0</v>
      </c>
      <c r="F6" s="376">
        <v>0</v>
      </c>
    </row>
    <row r="7" spans="1:12" ht="12.75" hidden="1" customHeight="1" x14ac:dyDescent="0.25">
      <c r="A7" s="233">
        <v>2</v>
      </c>
      <c r="B7" s="779" t="s">
        <v>513</v>
      </c>
      <c r="C7" s="807"/>
      <c r="D7" s="182">
        <v>0</v>
      </c>
      <c r="E7" s="194"/>
      <c r="F7" s="331"/>
      <c r="K7" s="173"/>
      <c r="L7" s="173"/>
    </row>
    <row r="8" spans="1:12" ht="12.75" hidden="1" customHeight="1" x14ac:dyDescent="0.25">
      <c r="A8" s="233">
        <v>3</v>
      </c>
      <c r="B8" s="780" t="s">
        <v>593</v>
      </c>
      <c r="C8" s="182"/>
      <c r="D8" s="182"/>
      <c r="E8" s="194"/>
      <c r="F8" s="372"/>
      <c r="K8" s="173"/>
      <c r="L8" s="173"/>
    </row>
    <row r="9" spans="1:12" ht="12.75" hidden="1" customHeight="1" x14ac:dyDescent="0.25">
      <c r="A9" s="233">
        <v>4</v>
      </c>
      <c r="B9" s="780" t="s">
        <v>594</v>
      </c>
      <c r="C9" s="182"/>
      <c r="D9" s="182"/>
      <c r="E9" s="194"/>
      <c r="F9" s="372"/>
      <c r="K9" s="173"/>
      <c r="L9" s="173"/>
    </row>
    <row r="10" spans="1:12" ht="12.75" hidden="1" customHeight="1" x14ac:dyDescent="0.25">
      <c r="A10" s="233">
        <v>5</v>
      </c>
      <c r="B10" s="781" t="s">
        <v>514</v>
      </c>
      <c r="C10" s="182"/>
      <c r="D10" s="182">
        <v>0</v>
      </c>
      <c r="E10" s="194"/>
      <c r="F10" s="372"/>
      <c r="K10" s="173"/>
    </row>
    <row r="11" spans="1:12" ht="21" hidden="1" customHeight="1" x14ac:dyDescent="0.25">
      <c r="A11" s="374">
        <v>6</v>
      </c>
      <c r="B11" s="782" t="s">
        <v>876</v>
      </c>
      <c r="C11" s="377">
        <f>SUM(C12:C14)</f>
        <v>0</v>
      </c>
      <c r="D11" s="805">
        <v>0</v>
      </c>
      <c r="E11" s="377">
        <f>SUM(E12:E14)</f>
        <v>0</v>
      </c>
      <c r="F11" s="378">
        <v>0</v>
      </c>
      <c r="K11" s="173"/>
    </row>
    <row r="12" spans="1:12" ht="12.75" hidden="1" customHeight="1" x14ac:dyDescent="0.25">
      <c r="A12" s="233">
        <v>7</v>
      </c>
      <c r="B12" s="783" t="s">
        <v>596</v>
      </c>
      <c r="C12" s="182"/>
      <c r="D12" s="182">
        <v>0</v>
      </c>
      <c r="E12" s="194"/>
      <c r="F12" s="372"/>
    </row>
    <row r="13" spans="1:12" ht="12.75" hidden="1" customHeight="1" x14ac:dyDescent="0.25">
      <c r="A13" s="233">
        <v>8</v>
      </c>
      <c r="B13" s="784" t="s">
        <v>595</v>
      </c>
      <c r="C13" s="182"/>
      <c r="D13" s="182">
        <v>0</v>
      </c>
      <c r="E13" s="194"/>
      <c r="F13" s="195"/>
    </row>
    <row r="14" spans="1:12" ht="12.75" hidden="1" customHeight="1" thickBot="1" x14ac:dyDescent="0.3">
      <c r="A14" s="234">
        <v>9</v>
      </c>
      <c r="B14" s="785"/>
      <c r="C14" s="191"/>
      <c r="D14" s="191">
        <v>0</v>
      </c>
      <c r="E14" s="196"/>
      <c r="F14" s="197"/>
    </row>
    <row r="15" spans="1:12" ht="17.25" hidden="1" customHeight="1" thickBot="1" x14ac:dyDescent="0.3">
      <c r="A15" s="325">
        <v>10</v>
      </c>
      <c r="B15" s="786" t="s">
        <v>505</v>
      </c>
      <c r="C15" s="229">
        <f>C6+C11</f>
        <v>0</v>
      </c>
      <c r="D15" s="229">
        <f>D6+D11</f>
        <v>0</v>
      </c>
      <c r="E15" s="229">
        <f>E6+E11</f>
        <v>0</v>
      </c>
      <c r="F15" s="326">
        <v>0</v>
      </c>
    </row>
    <row r="16" spans="1:12" ht="12.75" hidden="1" customHeight="1" x14ac:dyDescent="0.25">
      <c r="A16" s="366"/>
      <c r="B16" s="145"/>
      <c r="C16" s="230"/>
      <c r="D16" s="230"/>
      <c r="E16" s="231"/>
      <c r="F16" s="30"/>
    </row>
    <row r="17" spans="1:10" ht="12.75" hidden="1" customHeight="1" x14ac:dyDescent="0.25">
      <c r="A17" s="89" t="s">
        <v>638</v>
      </c>
      <c r="B17" s="367"/>
      <c r="C17" s="368"/>
      <c r="D17" s="368"/>
      <c r="E17" s="369"/>
      <c r="F17" s="89"/>
      <c r="H17" s="139"/>
      <c r="I17" s="139"/>
      <c r="J17" s="139"/>
    </row>
    <row r="18" spans="1:10" ht="24.75" hidden="1" customHeight="1" x14ac:dyDescent="0.25">
      <c r="A18" s="2767" t="s">
        <v>905</v>
      </c>
      <c r="B18" s="2767"/>
      <c r="C18" s="2767"/>
      <c r="D18" s="2767"/>
      <c r="E18" s="2767"/>
      <c r="F18" s="2767"/>
    </row>
    <row r="19" spans="1:10" ht="12.75" hidden="1" customHeight="1" x14ac:dyDescent="0.25">
      <c r="A19" s="569" t="s">
        <v>904</v>
      </c>
      <c r="B19" s="85"/>
      <c r="C19" s="370"/>
      <c r="D19" s="370"/>
      <c r="E19" s="370"/>
      <c r="F19" s="92"/>
    </row>
    <row r="20" spans="1:10" ht="26.25" hidden="1" customHeight="1" x14ac:dyDescent="0.25">
      <c r="A20" s="2767" t="s">
        <v>1196</v>
      </c>
      <c r="B20" s="2767"/>
      <c r="C20" s="2767"/>
      <c r="D20" s="2767"/>
      <c r="E20" s="2767"/>
      <c r="F20" s="2767"/>
    </row>
    <row r="21" spans="1:10" ht="15" hidden="1" customHeight="1" x14ac:dyDescent="0.25">
      <c r="A21" s="328" t="s">
        <v>1169</v>
      </c>
      <c r="B21" s="327"/>
      <c r="C21" s="327"/>
      <c r="D21" s="327"/>
      <c r="E21" s="327"/>
      <c r="F21" s="327"/>
      <c r="H21" s="139"/>
      <c r="I21" s="139"/>
      <c r="J21" s="139"/>
    </row>
    <row r="22" spans="1:10" ht="27.75" hidden="1" customHeight="1" x14ac:dyDescent="0.25">
      <c r="A22" s="2767" t="s">
        <v>1199</v>
      </c>
      <c r="B22" s="2767"/>
      <c r="C22" s="2767"/>
      <c r="D22" s="2767"/>
      <c r="E22" s="2767"/>
      <c r="F22" s="2767"/>
      <c r="H22" s="139"/>
      <c r="I22" s="139"/>
      <c r="J22" s="139"/>
    </row>
    <row r="23" spans="1:10" ht="12.75" hidden="1" customHeight="1" x14ac:dyDescent="0.25">
      <c r="A23" s="328"/>
      <c r="B23" s="327"/>
      <c r="C23" s="327"/>
      <c r="D23" s="327"/>
      <c r="E23" s="327"/>
      <c r="F23" s="327"/>
      <c r="H23" s="139"/>
      <c r="I23" s="139"/>
      <c r="J23" s="139"/>
    </row>
    <row r="24" spans="1:10" ht="12.75" hidden="1" customHeight="1" x14ac:dyDescent="0.25">
      <c r="A24" s="328" t="s">
        <v>684</v>
      </c>
      <c r="B24" s="327"/>
      <c r="C24" s="327"/>
      <c r="D24" s="327"/>
      <c r="E24" s="327"/>
      <c r="F24" s="327"/>
      <c r="H24" s="139"/>
      <c r="I24" s="139"/>
      <c r="J24" s="139"/>
    </row>
    <row r="25" spans="1:10" hidden="1" x14ac:dyDescent="0.25">
      <c r="A25" s="370" t="s">
        <v>1197</v>
      </c>
      <c r="B25" s="371"/>
      <c r="C25" s="370"/>
      <c r="D25" s="370"/>
      <c r="E25" s="370"/>
      <c r="F25" s="92"/>
    </row>
    <row r="26" spans="1:10" x14ac:dyDescent="0.25">
      <c r="A26" s="370"/>
      <c r="B26" s="12"/>
      <c r="C26" s="12"/>
      <c r="D26" s="232"/>
      <c r="E26" s="12"/>
    </row>
    <row r="27" spans="1:10" ht="18.75" x14ac:dyDescent="0.25">
      <c r="A27" s="910" t="s">
        <v>1278</v>
      </c>
      <c r="B27" s="6"/>
      <c r="C27" s="6"/>
      <c r="D27" s="232"/>
      <c r="E27" s="12"/>
      <c r="H27" s="139"/>
      <c r="I27" s="139"/>
      <c r="J27" s="139"/>
    </row>
    <row r="28" spans="1:10" ht="15.75" x14ac:dyDescent="0.25">
      <c r="A28" s="1845" t="s">
        <v>819</v>
      </c>
      <c r="B28" s="22"/>
      <c r="C28" s="17"/>
      <c r="D28" s="17"/>
      <c r="E28" s="17"/>
      <c r="F28" s="18"/>
      <c r="G28" s="18"/>
    </row>
    <row r="29" spans="1:10" ht="15.75" thickBot="1" x14ac:dyDescent="0.3">
      <c r="A29" s="1846"/>
      <c r="B29" s="17"/>
      <c r="C29" s="17"/>
      <c r="D29" s="23"/>
      <c r="E29" s="17"/>
      <c r="F29" s="1847"/>
      <c r="G29" s="1847" t="s">
        <v>591</v>
      </c>
    </row>
    <row r="30" spans="1:10" ht="38.25" x14ac:dyDescent="0.25">
      <c r="A30" s="2763" t="s">
        <v>479</v>
      </c>
      <c r="B30" s="2765" t="s">
        <v>512</v>
      </c>
      <c r="C30" s="1848" t="s">
        <v>1835</v>
      </c>
      <c r="D30" s="1848" t="s">
        <v>1195</v>
      </c>
      <c r="E30" s="1849" t="s">
        <v>1836</v>
      </c>
      <c r="F30" s="1850" t="s">
        <v>1837</v>
      </c>
      <c r="G30" s="1850" t="s">
        <v>1838</v>
      </c>
      <c r="H30" s="2374" t="s">
        <v>1916</v>
      </c>
    </row>
    <row r="31" spans="1:10" ht="15.75" thickBot="1" x14ac:dyDescent="0.3">
      <c r="A31" s="2764"/>
      <c r="B31" s="2766"/>
      <c r="C31" s="1851" t="s">
        <v>558</v>
      </c>
      <c r="D31" s="1851" t="s">
        <v>559</v>
      </c>
      <c r="E31" s="1852" t="s">
        <v>560</v>
      </c>
      <c r="F31" s="1853" t="s">
        <v>561</v>
      </c>
      <c r="G31" s="1853" t="s">
        <v>562</v>
      </c>
      <c r="H31" s="2405" t="s">
        <v>1917</v>
      </c>
      <c r="J31" s="2422">
        <v>4035</v>
      </c>
    </row>
    <row r="32" spans="1:10" x14ac:dyDescent="0.25">
      <c r="A32" s="1854">
        <v>1</v>
      </c>
      <c r="B32" s="1855" t="s">
        <v>702</v>
      </c>
      <c r="C32" s="1856">
        <f>SUM(C33:C36)</f>
        <v>4035</v>
      </c>
      <c r="D32" s="1856">
        <f>SUM(D33:D36)</f>
        <v>18284</v>
      </c>
      <c r="E32" s="1856">
        <f>SUM(E33:E36)</f>
        <v>2478</v>
      </c>
      <c r="F32" s="1857" t="s">
        <v>1466</v>
      </c>
      <c r="G32" s="1857" t="s">
        <v>1466</v>
      </c>
      <c r="J32" s="2421">
        <v>-2439</v>
      </c>
    </row>
    <row r="33" spans="1:12" ht="25.5" x14ac:dyDescent="0.25">
      <c r="A33" s="2377">
        <v>2</v>
      </c>
      <c r="B33" s="2378" t="s">
        <v>513</v>
      </c>
      <c r="C33" s="2379" t="s">
        <v>1466</v>
      </c>
      <c r="D33" s="1077">
        <v>856</v>
      </c>
      <c r="E33" s="2380">
        <f>700+392+908</f>
        <v>2000</v>
      </c>
      <c r="F33" s="2381">
        <f>D33/E33</f>
        <v>0.42799999999999999</v>
      </c>
      <c r="G33" s="1865">
        <f>D33/E33</f>
        <v>0.42799999999999999</v>
      </c>
      <c r="H33" s="2164">
        <v>856</v>
      </c>
      <c r="J33" s="829">
        <f>SUM(J31:J32)</f>
        <v>1596</v>
      </c>
    </row>
    <row r="34" spans="1:12" x14ac:dyDescent="0.25">
      <c r="A34" s="2377">
        <v>3</v>
      </c>
      <c r="B34" s="2382" t="s">
        <v>593</v>
      </c>
      <c r="C34" s="2383">
        <f>3694</f>
        <v>3694</v>
      </c>
      <c r="D34" s="2384" t="s">
        <v>1466</v>
      </c>
      <c r="E34" s="2380">
        <f>165+30+84</f>
        <v>279</v>
      </c>
      <c r="F34" s="2381">
        <f>C34/E34</f>
        <v>13.240143369175627</v>
      </c>
      <c r="G34" s="1865">
        <f>C34/E34</f>
        <v>13.240143369175627</v>
      </c>
      <c r="H34" s="2164"/>
    </row>
    <row r="35" spans="1:12" x14ac:dyDescent="0.25">
      <c r="A35" s="2377">
        <v>4</v>
      </c>
      <c r="B35" s="2382" t="s">
        <v>594</v>
      </c>
      <c r="C35" s="2383">
        <v>341</v>
      </c>
      <c r="D35" s="2384" t="s">
        <v>1466</v>
      </c>
      <c r="E35" s="2380">
        <f>47+30+44</f>
        <v>121</v>
      </c>
      <c r="F35" s="2381">
        <f>C35/E35</f>
        <v>2.8181818181818183</v>
      </c>
      <c r="G35" s="1865">
        <f>C35/E35</f>
        <v>2.8181818181818183</v>
      </c>
      <c r="H35" s="2164"/>
      <c r="J35" s="829"/>
    </row>
    <row r="36" spans="1:12" x14ac:dyDescent="0.25">
      <c r="A36" s="2377">
        <v>5</v>
      </c>
      <c r="B36" s="2378" t="s">
        <v>514</v>
      </c>
      <c r="C36" s="2384" t="s">
        <v>1466</v>
      </c>
      <c r="D36" s="2380">
        <v>17428</v>
      </c>
      <c r="E36" s="2380">
        <f>47+2+29</f>
        <v>78</v>
      </c>
      <c r="F36" s="2385">
        <f>D36/E36</f>
        <v>223.43589743589743</v>
      </c>
      <c r="G36" s="1865">
        <f>D36/E36</f>
        <v>223.43589743589743</v>
      </c>
      <c r="H36" s="2164">
        <v>17428</v>
      </c>
      <c r="J36" s="829"/>
    </row>
    <row r="37" spans="1:12" x14ac:dyDescent="0.25">
      <c r="A37" s="1860">
        <v>6</v>
      </c>
      <c r="B37" s="1861" t="s">
        <v>1839</v>
      </c>
      <c r="C37" s="1862">
        <f>SUM(C38:C47)-C40</f>
        <v>0</v>
      </c>
      <c r="D37" s="1862">
        <f>SUM(D38:D47)-D40</f>
        <v>37675</v>
      </c>
      <c r="E37" s="1862">
        <f>SUM(E38:E47)-E40</f>
        <v>1008</v>
      </c>
      <c r="F37" s="1068">
        <f>(D37+C37)/E37</f>
        <v>37.375992063492063</v>
      </c>
      <c r="G37" s="1863">
        <f>(C37+D37)/E37</f>
        <v>37.375992063492063</v>
      </c>
      <c r="H37" s="2164"/>
      <c r="I37" s="2156" t="s">
        <v>1895</v>
      </c>
      <c r="J37" s="829"/>
    </row>
    <row r="38" spans="1:12" x14ac:dyDescent="0.25">
      <c r="A38" s="2377">
        <v>7</v>
      </c>
      <c r="B38" s="2386" t="s">
        <v>596</v>
      </c>
      <c r="C38" s="2387" t="s">
        <v>1466</v>
      </c>
      <c r="D38" s="2388">
        <f>360+27</f>
        <v>387</v>
      </c>
      <c r="E38" s="2389">
        <f>115+64</f>
        <v>179</v>
      </c>
      <c r="F38" s="1858">
        <f>D38/E38</f>
        <v>2.1620111731843576</v>
      </c>
      <c r="G38" s="1859">
        <f>D38/E38</f>
        <v>2.1620111731843576</v>
      </c>
      <c r="H38" s="2164">
        <v>395</v>
      </c>
      <c r="I38" s="2157">
        <v>64917</v>
      </c>
      <c r="J38" s="2400">
        <v>360</v>
      </c>
      <c r="K38" s="172"/>
      <c r="L38" s="2400">
        <f>360+27</f>
        <v>387</v>
      </c>
    </row>
    <row r="39" spans="1:12" x14ac:dyDescent="0.25">
      <c r="A39" s="2377">
        <v>8</v>
      </c>
      <c r="B39" s="2390" t="s">
        <v>595</v>
      </c>
      <c r="C39" s="2387" t="s">
        <v>1466</v>
      </c>
      <c r="D39" s="2388">
        <v>8</v>
      </c>
      <c r="E39" s="2389">
        <f>48</f>
        <v>48</v>
      </c>
      <c r="F39" s="1858">
        <f>D39/E39</f>
        <v>0.16666666666666666</v>
      </c>
      <c r="G39" s="1859">
        <f t="shared" ref="G39:G47" si="0">D39/E39</f>
        <v>0.16666666666666666</v>
      </c>
      <c r="H39" s="2164"/>
      <c r="I39" s="2157"/>
      <c r="J39" s="2400">
        <v>8</v>
      </c>
      <c r="K39" s="172"/>
      <c r="L39" s="2400">
        <v>8</v>
      </c>
    </row>
    <row r="40" spans="1:12" x14ac:dyDescent="0.25">
      <c r="A40" s="2391">
        <v>9</v>
      </c>
      <c r="B40" s="2392" t="s">
        <v>1840</v>
      </c>
      <c r="C40" s="2379" t="s">
        <v>1466</v>
      </c>
      <c r="D40" s="2393">
        <f>SUM(D42:D47)</f>
        <v>37280</v>
      </c>
      <c r="E40" s="2393">
        <f>SUM(E42:E47)</f>
        <v>781</v>
      </c>
      <c r="F40" s="1864">
        <f>(D40+C40)/E40</f>
        <v>47.7336747759283</v>
      </c>
      <c r="G40" s="1865">
        <f t="shared" si="0"/>
        <v>47.7336747759283</v>
      </c>
      <c r="H40" s="2164"/>
      <c r="I40" s="2157"/>
      <c r="J40" s="2401">
        <f>SUM(J38:J39)</f>
        <v>368</v>
      </c>
      <c r="K40" s="172">
        <f>395-368</f>
        <v>27</v>
      </c>
      <c r="L40" s="2402">
        <f>SUM(L38:L39)</f>
        <v>395</v>
      </c>
    </row>
    <row r="41" spans="1:12" x14ac:dyDescent="0.25">
      <c r="A41" s="2394"/>
      <c r="B41" s="2395" t="s">
        <v>745</v>
      </c>
      <c r="C41" s="2387"/>
      <c r="D41" s="2396"/>
      <c r="E41" s="2397"/>
      <c r="F41" s="1866"/>
      <c r="G41" s="1859"/>
      <c r="H41" s="2164"/>
      <c r="I41" s="2157"/>
      <c r="J41" s="2403"/>
      <c r="K41" s="172"/>
      <c r="L41" s="172"/>
    </row>
    <row r="42" spans="1:12" x14ac:dyDescent="0.25">
      <c r="A42" s="2398">
        <f>A40+1</f>
        <v>10</v>
      </c>
      <c r="B42" s="2399" t="s">
        <v>1841</v>
      </c>
      <c r="C42" s="2387" t="s">
        <v>1466</v>
      </c>
      <c r="D42" s="2396">
        <f>146+16</f>
        <v>162</v>
      </c>
      <c r="E42" s="2397">
        <f>210+5+31</f>
        <v>246</v>
      </c>
      <c r="F42" s="1866">
        <f>D42/E42</f>
        <v>0.65853658536585369</v>
      </c>
      <c r="G42" s="1859">
        <f t="shared" si="0"/>
        <v>0.65853658536585369</v>
      </c>
      <c r="H42" s="2164">
        <v>289</v>
      </c>
      <c r="I42" s="2157">
        <v>64912</v>
      </c>
      <c r="J42" s="2404">
        <f>146+16</f>
        <v>162</v>
      </c>
      <c r="K42" s="172"/>
      <c r="L42" s="172"/>
    </row>
    <row r="43" spans="1:12" x14ac:dyDescent="0.25">
      <c r="A43" s="2398">
        <f t="shared" ref="A43:A48" si="1">A42+1</f>
        <v>11</v>
      </c>
      <c r="B43" s="2399" t="s">
        <v>1842</v>
      </c>
      <c r="C43" s="2387" t="s">
        <v>1466</v>
      </c>
      <c r="D43" s="2396">
        <f>2</f>
        <v>2</v>
      </c>
      <c r="E43" s="2397">
        <f>5</f>
        <v>5</v>
      </c>
      <c r="F43" s="1866"/>
      <c r="G43" s="1859"/>
      <c r="H43" s="2164"/>
      <c r="I43" s="2157"/>
      <c r="J43" s="2404">
        <f>2</f>
        <v>2</v>
      </c>
      <c r="K43" s="172"/>
      <c r="L43" s="172"/>
    </row>
    <row r="44" spans="1:12" x14ac:dyDescent="0.25">
      <c r="A44" s="2398">
        <f t="shared" si="1"/>
        <v>12</v>
      </c>
      <c r="B44" s="2399" t="s">
        <v>1843</v>
      </c>
      <c r="C44" s="2387" t="s">
        <v>1466</v>
      </c>
      <c r="D44" s="2396">
        <f>42+38</f>
        <v>80</v>
      </c>
      <c r="E44" s="2397">
        <f>20+19</f>
        <v>39</v>
      </c>
      <c r="F44" s="1866">
        <f>D44/E44</f>
        <v>2.0512820512820511</v>
      </c>
      <c r="G44" s="1859">
        <f t="shared" si="0"/>
        <v>2.0512820512820511</v>
      </c>
      <c r="H44" s="2164"/>
      <c r="I44" s="2157"/>
      <c r="J44" s="2404">
        <f>42+38</f>
        <v>80</v>
      </c>
      <c r="K44" s="172"/>
      <c r="L44" s="172"/>
    </row>
    <row r="45" spans="1:12" x14ac:dyDescent="0.25">
      <c r="A45" s="2398">
        <f t="shared" si="1"/>
        <v>13</v>
      </c>
      <c r="B45" s="2399" t="s">
        <v>1844</v>
      </c>
      <c r="C45" s="2387" t="s">
        <v>1466</v>
      </c>
      <c r="D45" s="2396">
        <f>10+35</f>
        <v>45</v>
      </c>
      <c r="E45" s="2397">
        <f>18+69</f>
        <v>87</v>
      </c>
      <c r="F45" s="1866">
        <f>D45/E45</f>
        <v>0.51724137931034486</v>
      </c>
      <c r="G45" s="1859">
        <f t="shared" si="0"/>
        <v>0.51724137931034486</v>
      </c>
      <c r="H45" s="2164"/>
      <c r="I45" s="2157"/>
      <c r="J45" s="2404">
        <f>10+35</f>
        <v>45</v>
      </c>
      <c r="K45" s="172"/>
      <c r="L45" s="172"/>
    </row>
    <row r="46" spans="1:12" x14ac:dyDescent="0.25">
      <c r="A46" s="2398">
        <f t="shared" si="1"/>
        <v>14</v>
      </c>
      <c r="B46" s="2395" t="s">
        <v>1845</v>
      </c>
      <c r="C46" s="2387" t="s">
        <v>1466</v>
      </c>
      <c r="D46" s="2396">
        <f>36813</f>
        <v>36813</v>
      </c>
      <c r="E46" s="2397">
        <f>250+6+1</f>
        <v>257</v>
      </c>
      <c r="F46" s="1866">
        <f>D46/E46</f>
        <v>143.24124513618676</v>
      </c>
      <c r="G46" s="1859">
        <f t="shared" si="0"/>
        <v>143.24124513618676</v>
      </c>
      <c r="H46" s="2164">
        <v>36813</v>
      </c>
      <c r="I46" s="2157">
        <v>64919</v>
      </c>
      <c r="J46" s="2401">
        <f>SUM(J42:J45)</f>
        <v>289</v>
      </c>
      <c r="K46" s="172"/>
      <c r="L46" s="172"/>
    </row>
    <row r="47" spans="1:12" ht="15.75" thickBot="1" x14ac:dyDescent="0.3">
      <c r="A47" s="2398">
        <f t="shared" si="1"/>
        <v>15</v>
      </c>
      <c r="B47" s="2399" t="s">
        <v>1846</v>
      </c>
      <c r="C47" s="2387" t="s">
        <v>1466</v>
      </c>
      <c r="D47" s="2396">
        <v>178</v>
      </c>
      <c r="E47" s="2397">
        <f>8+139</f>
        <v>147</v>
      </c>
      <c r="F47" s="1866">
        <f>D47/E47</f>
        <v>1.2108843537414966</v>
      </c>
      <c r="G47" s="1859">
        <f t="shared" si="0"/>
        <v>1.2108843537414966</v>
      </c>
      <c r="H47" s="2164">
        <v>178</v>
      </c>
      <c r="I47" s="2157">
        <v>64920</v>
      </c>
      <c r="J47" s="2403">
        <v>-289</v>
      </c>
      <c r="K47" s="172"/>
      <c r="L47" s="172"/>
    </row>
    <row r="48" spans="1:12" ht="15.75" thickBot="1" x14ac:dyDescent="0.3">
      <c r="A48" s="1867">
        <f t="shared" si="1"/>
        <v>16</v>
      </c>
      <c r="B48" s="1868" t="s">
        <v>1847</v>
      </c>
      <c r="C48" s="1869">
        <f>C32+C37</f>
        <v>4035</v>
      </c>
      <c r="D48" s="1869">
        <f>D32+D37</f>
        <v>55959</v>
      </c>
      <c r="E48" s="1869">
        <f>E32+E37</f>
        <v>3486</v>
      </c>
      <c r="F48" s="935">
        <f>(D48+C48)/E48</f>
        <v>17.209982788296042</v>
      </c>
      <c r="G48" s="1870">
        <f>(C48+D48)/E48</f>
        <v>17.209982788296042</v>
      </c>
      <c r="H48" s="2164">
        <f>SUM(H33:H47)</f>
        <v>55959</v>
      </c>
      <c r="I48" s="139"/>
      <c r="J48" s="2401">
        <f>SUM(J46:J47)</f>
        <v>0</v>
      </c>
      <c r="K48" s="172"/>
      <c r="L48" s="172"/>
    </row>
    <row r="49" spans="1:8" x14ac:dyDescent="0.25">
      <c r="A49"/>
      <c r="B49"/>
      <c r="C49"/>
      <c r="D49"/>
      <c r="E49"/>
      <c r="F49"/>
      <c r="G49"/>
      <c r="H49" s="829"/>
    </row>
    <row r="50" spans="1:8" ht="15.95" customHeight="1" x14ac:dyDescent="0.25">
      <c r="A50" s="1871" t="s">
        <v>638</v>
      </c>
      <c r="B50" s="1872"/>
      <c r="C50" s="1874"/>
      <c r="D50" s="1874"/>
      <c r="E50" s="1874"/>
      <c r="F50" s="1874"/>
      <c r="G50" s="1873"/>
    </row>
    <row r="51" spans="1:8" ht="30" customHeight="1" x14ac:dyDescent="0.25">
      <c r="A51" s="2767" t="s">
        <v>905</v>
      </c>
      <c r="B51" s="2767"/>
      <c r="C51" s="2767"/>
      <c r="D51" s="2767"/>
      <c r="E51" s="2767"/>
      <c r="F51" s="2767"/>
      <c r="G51" s="18"/>
    </row>
    <row r="52" spans="1:8" ht="15.95" customHeight="1" x14ac:dyDescent="0.25">
      <c r="A52" s="569" t="s">
        <v>904</v>
      </c>
      <c r="B52" s="569"/>
      <c r="C52" s="328"/>
      <c r="D52" s="328"/>
      <c r="E52" s="328"/>
      <c r="F52" s="1875"/>
      <c r="G52" s="18"/>
    </row>
    <row r="53" spans="1:8" ht="30" customHeight="1" x14ac:dyDescent="0.25">
      <c r="A53" s="2767" t="s">
        <v>1848</v>
      </c>
      <c r="B53" s="2767"/>
      <c r="C53" s="2767"/>
      <c r="D53" s="2767"/>
      <c r="E53" s="2767"/>
      <c r="F53" s="2767"/>
      <c r="G53" s="18"/>
    </row>
    <row r="54" spans="1:8" ht="15.95" customHeight="1" x14ac:dyDescent="0.25">
      <c r="A54" s="328" t="s">
        <v>1849</v>
      </c>
      <c r="B54" s="1647"/>
      <c r="C54" s="1647"/>
      <c r="D54" s="1647"/>
      <c r="E54" s="1647"/>
      <c r="F54" s="1647"/>
      <c r="G54" s="18"/>
    </row>
    <row r="55" spans="1:8" ht="30" customHeight="1" x14ac:dyDescent="0.25">
      <c r="A55" s="2767" t="s">
        <v>1850</v>
      </c>
      <c r="B55" s="2767"/>
      <c r="C55" s="2767"/>
      <c r="D55" s="2767"/>
      <c r="E55" s="2767"/>
      <c r="F55" s="2767"/>
      <c r="G55" s="18"/>
    </row>
    <row r="56" spans="1:8" ht="30" customHeight="1" x14ac:dyDescent="0.25">
      <c r="A56" s="328"/>
      <c r="B56" s="1647"/>
      <c r="C56" s="1647"/>
      <c r="D56" s="1647"/>
      <c r="E56" s="1647"/>
      <c r="F56" s="1647"/>
      <c r="G56" s="18"/>
    </row>
    <row r="57" spans="1:8" ht="15.95" customHeight="1" x14ac:dyDescent="0.25">
      <c r="A57" s="328" t="s">
        <v>685</v>
      </c>
      <c r="B57" s="1647"/>
      <c r="C57" s="1647"/>
      <c r="D57" s="1647"/>
      <c r="E57" s="1647"/>
      <c r="F57" s="1647"/>
      <c r="G57" s="18"/>
    </row>
    <row r="58" spans="1:8" ht="15.95" customHeight="1" x14ac:dyDescent="0.25">
      <c r="A58" s="328" t="s">
        <v>1851</v>
      </c>
      <c r="B58" s="1876"/>
      <c r="C58" s="328"/>
      <c r="D58" s="328"/>
      <c r="E58" s="328"/>
      <c r="F58" s="1875"/>
      <c r="G58" s="18"/>
    </row>
    <row r="59" spans="1:8" ht="15.95" customHeight="1" x14ac:dyDescent="0.25">
      <c r="A59" s="328" t="s">
        <v>1852</v>
      </c>
      <c r="B59" s="17"/>
      <c r="C59" s="17"/>
      <c r="D59" s="1877"/>
      <c r="E59" s="17"/>
      <c r="F59" s="18"/>
      <c r="G59" s="18"/>
    </row>
    <row r="60" spans="1:8" x14ac:dyDescent="0.25">
      <c r="A60" s="139"/>
      <c r="B60" s="139"/>
      <c r="C60" s="139"/>
      <c r="D60" s="139"/>
      <c r="E60" s="139"/>
      <c r="F60" s="139"/>
      <c r="G60" s="139"/>
    </row>
    <row r="61" spans="1:8" x14ac:dyDescent="0.25">
      <c r="A61" s="139"/>
      <c r="B61" s="139"/>
      <c r="C61" s="139"/>
      <c r="D61" s="139"/>
      <c r="E61" s="139"/>
      <c r="F61" s="139"/>
      <c r="G61" s="139"/>
    </row>
    <row r="62" spans="1:8" x14ac:dyDescent="0.25">
      <c r="A62" s="139"/>
      <c r="B62" s="139"/>
      <c r="C62" s="139"/>
      <c r="D62" s="139"/>
      <c r="E62" s="139"/>
      <c r="F62" s="139"/>
      <c r="G62" s="139"/>
    </row>
    <row r="63" spans="1:8" x14ac:dyDescent="0.25">
      <c r="A63" s="139"/>
      <c r="B63" s="139"/>
      <c r="C63" s="139"/>
      <c r="D63" s="139"/>
      <c r="E63" s="139"/>
      <c r="F63" s="139"/>
      <c r="G63" s="139"/>
    </row>
    <row r="64" spans="1:8" x14ac:dyDescent="0.25">
      <c r="A64" s="139"/>
      <c r="B64" s="139"/>
      <c r="C64" s="139"/>
      <c r="D64" s="139"/>
      <c r="E64" s="139"/>
      <c r="F64" s="139"/>
      <c r="G64" s="139"/>
    </row>
    <row r="65" spans="1:7" x14ac:dyDescent="0.25">
      <c r="A65" s="139"/>
      <c r="B65" s="139"/>
      <c r="C65" s="139"/>
      <c r="D65" s="139"/>
      <c r="E65" s="139"/>
      <c r="F65" s="139"/>
      <c r="G65" s="139"/>
    </row>
    <row r="66" spans="1:7" x14ac:dyDescent="0.25">
      <c r="A66" s="139"/>
      <c r="B66" s="139"/>
      <c r="C66" s="139"/>
      <c r="D66" s="139"/>
      <c r="E66" s="139"/>
      <c r="F66" s="139"/>
      <c r="G66" s="139"/>
    </row>
    <row r="67" spans="1:7" x14ac:dyDescent="0.25">
      <c r="A67" s="139"/>
      <c r="B67" s="139"/>
      <c r="C67" s="139"/>
      <c r="D67" s="139"/>
      <c r="E67" s="139"/>
      <c r="F67" s="139"/>
      <c r="G67" s="139"/>
    </row>
    <row r="68" spans="1:7" x14ac:dyDescent="0.25">
      <c r="A68" s="139"/>
      <c r="B68" s="139"/>
      <c r="C68" s="139"/>
      <c r="D68" s="139"/>
      <c r="E68" s="139"/>
      <c r="F68" s="139"/>
      <c r="G68" s="139"/>
    </row>
  </sheetData>
  <protectedRanges>
    <protectedRange sqref="D16:D17 C8:D9" name="Oblast1"/>
    <protectedRange sqref="D34:D36 D50:G50" name="Oblast1_1"/>
    <protectedRange sqref="D38:D39 J38:J39 L38:L39" name="Oblast1_1_1"/>
    <protectedRange sqref="E40 J42:J45 D40:D47" name="Oblast1_1_1_1"/>
  </protectedRanges>
  <customSheetViews>
    <customSheetView guid="{2AF6EA2A-E5C5-45EB-B6C4-875AD1E4E056}" fitToPage="1">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10">
    <mergeCell ref="A22:F22"/>
    <mergeCell ref="A20:F20"/>
    <mergeCell ref="A18:F18"/>
    <mergeCell ref="A4:A5"/>
    <mergeCell ref="B4:B5"/>
    <mergeCell ref="A30:A31"/>
    <mergeCell ref="B30:B31"/>
    <mergeCell ref="A51:F51"/>
    <mergeCell ref="A53:F53"/>
    <mergeCell ref="A55:F55"/>
  </mergeCells>
  <printOptions horizontalCentered="1"/>
  <pageMargins left="0.78740157480314965" right="0.78740157480314965" top="0.98425196850393704" bottom="0.98425196850393704" header="0.51181102362204722" footer="0.51181102362204722"/>
  <pageSetup paperSize="9" scale="62" orientation="portrait" cellComments="asDisplayed" horizontalDpi="300" verticalDpi="300" r:id="rId2"/>
  <headerFooter alignWithMargins="0"/>
  <ignoredErrors>
    <ignoredError sqref="C6:D6 E6:E11"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7"/>
  <sheetViews>
    <sheetView tabSelected="1" zoomScaleNormal="100" workbookViewId="0">
      <selection activeCell="Y19" sqref="Y19"/>
    </sheetView>
  </sheetViews>
  <sheetFormatPr defaultRowHeight="12.75" x14ac:dyDescent="0.25"/>
  <cols>
    <col min="1" max="1" width="3.85546875" style="16" customWidth="1"/>
    <col min="2" max="2" width="6.42578125" style="92" customWidth="1"/>
    <col min="3" max="3" width="9.28515625" style="92" customWidth="1"/>
    <col min="4" max="4" width="16.28515625" style="92" customWidth="1"/>
    <col min="5" max="5" width="9.7109375" style="3123" customWidth="1"/>
    <col min="6" max="6" width="8.5703125" style="3123" customWidth="1"/>
    <col min="7" max="7" width="8.7109375" style="3123" customWidth="1"/>
    <col min="8" max="8" width="9.7109375" style="3123" customWidth="1"/>
    <col min="9" max="10" width="10.42578125" style="3028" customWidth="1"/>
    <col min="11" max="11" width="9.5703125" style="3028" customWidth="1"/>
    <col min="12" max="12" width="8.85546875" style="3028" customWidth="1"/>
    <col min="13" max="13" width="10" style="3028" customWidth="1"/>
    <col min="14" max="14" width="8.85546875" style="3028" customWidth="1"/>
    <col min="15" max="15" width="8.28515625" style="3028" customWidth="1"/>
    <col min="16" max="16" width="9.5703125" style="3028" customWidth="1"/>
    <col min="17" max="17" width="8.5703125" style="2015" customWidth="1"/>
    <col min="18" max="18" width="9.140625" style="2015" customWidth="1"/>
    <col min="19" max="19" width="8.42578125" style="2015" customWidth="1"/>
    <col min="20" max="20" width="9.42578125" style="2015" customWidth="1"/>
    <col min="21" max="21" width="8.42578125" style="2015" customWidth="1"/>
    <col min="22" max="24" width="9.140625" style="2015"/>
    <col min="25" max="26" width="9.140625" style="3028"/>
    <col min="27" max="16384" width="9.140625" style="16"/>
  </cols>
  <sheetData>
    <row r="1" spans="1:42" ht="15.75" x14ac:dyDescent="0.25">
      <c r="A1" s="11" t="s">
        <v>1140</v>
      </c>
      <c r="B1" s="85"/>
      <c r="C1" s="85"/>
      <c r="D1" s="85"/>
      <c r="E1" s="3024"/>
      <c r="F1" s="3024"/>
      <c r="G1" s="3024"/>
      <c r="H1" s="3024"/>
      <c r="I1" s="3025"/>
      <c r="J1" s="3025"/>
      <c r="K1" s="3025"/>
      <c r="L1" s="3025"/>
      <c r="M1" s="3025"/>
      <c r="N1" s="3025"/>
      <c r="O1" s="3025"/>
      <c r="P1" s="598"/>
      <c r="Q1" s="3026"/>
      <c r="R1" s="3026"/>
      <c r="S1" s="3026"/>
      <c r="T1" s="3026"/>
      <c r="U1" s="3026"/>
      <c r="V1" s="3026"/>
      <c r="W1" s="3027"/>
      <c r="X1" s="3027"/>
    </row>
    <row r="2" spans="1:42" s="173" customFormat="1" ht="15" customHeight="1" x14ac:dyDescent="0.25">
      <c r="E2" s="1221"/>
      <c r="F2" s="1221"/>
      <c r="G2" s="1221"/>
      <c r="H2" s="1221"/>
      <c r="I2" s="1651"/>
      <c r="J2" s="1651"/>
      <c r="K2" s="1651"/>
      <c r="L2" s="1651"/>
      <c r="M2" s="1651"/>
      <c r="N2" s="1651"/>
      <c r="O2" s="1651"/>
      <c r="P2" s="1651"/>
      <c r="Q2" s="1221"/>
      <c r="R2" s="1221"/>
      <c r="S2" s="1221"/>
      <c r="T2" s="1221"/>
      <c r="U2" s="1221"/>
      <c r="V2" s="1221"/>
      <c r="W2" s="1221"/>
      <c r="X2" s="1221"/>
      <c r="Y2" s="1651"/>
      <c r="Z2" s="1651"/>
    </row>
    <row r="3" spans="1:42" s="173" customFormat="1" ht="15" customHeight="1" x14ac:dyDescent="0.25">
      <c r="A3" s="174" t="s">
        <v>1139</v>
      </c>
      <c r="E3" s="1221"/>
      <c r="F3" s="1221"/>
      <c r="G3" s="1221"/>
      <c r="H3" s="1221"/>
      <c r="I3" s="1651"/>
      <c r="J3" s="1651"/>
      <c r="K3" s="1651"/>
      <c r="L3" s="1651"/>
      <c r="M3" s="1651"/>
      <c r="N3" s="1651"/>
      <c r="O3" s="1651"/>
      <c r="P3" s="1651"/>
      <c r="Q3" s="1221"/>
      <c r="R3" s="1221"/>
      <c r="S3" s="1221"/>
      <c r="T3" s="1221"/>
      <c r="U3" s="1221"/>
      <c r="V3" s="1221"/>
      <c r="W3" s="1221"/>
      <c r="X3" s="1221"/>
      <c r="Y3" s="1651"/>
      <c r="Z3" s="1651"/>
    </row>
    <row r="4" spans="1:42" s="173" customFormat="1" ht="15" customHeight="1" thickBot="1" x14ac:dyDescent="0.3">
      <c r="E4" s="1221"/>
      <c r="F4" s="1221"/>
      <c r="G4" s="1221"/>
      <c r="H4" s="1221"/>
      <c r="I4" s="1651"/>
      <c r="J4" s="1651"/>
      <c r="K4" s="1651"/>
      <c r="L4" s="1651"/>
      <c r="M4" s="1651"/>
      <c r="N4" s="1651"/>
      <c r="O4" s="1651"/>
      <c r="P4" s="1651"/>
      <c r="Q4" s="1221"/>
      <c r="R4" s="3029"/>
      <c r="S4" s="1221"/>
      <c r="T4" s="1221"/>
      <c r="U4" s="1221"/>
      <c r="V4" s="1221"/>
      <c r="W4" s="1221"/>
      <c r="X4" s="1221"/>
      <c r="Y4" s="1651"/>
      <c r="Z4" s="3030" t="s">
        <v>507</v>
      </c>
    </row>
    <row r="5" spans="1:42" ht="28.5" customHeight="1" thickBot="1" x14ac:dyDescent="0.3">
      <c r="A5" s="2781" t="s">
        <v>479</v>
      </c>
      <c r="B5" s="2772" t="s">
        <v>516</v>
      </c>
      <c r="C5" s="2773"/>
      <c r="D5" s="2774"/>
      <c r="E5" s="3031" t="s">
        <v>635</v>
      </c>
      <c r="F5" s="3032"/>
      <c r="G5" s="3032"/>
      <c r="H5" s="3032"/>
      <c r="I5" s="3032"/>
      <c r="J5" s="3032"/>
      <c r="K5" s="3032"/>
      <c r="L5" s="3032"/>
      <c r="M5" s="3032"/>
      <c r="N5" s="3032"/>
      <c r="O5" s="3032"/>
      <c r="P5" s="3032"/>
      <c r="Q5" s="3032"/>
      <c r="R5" s="3032"/>
      <c r="S5" s="3032"/>
      <c r="T5" s="3032"/>
      <c r="U5" s="3032"/>
      <c r="V5" s="3032"/>
      <c r="W5" s="3032"/>
      <c r="X5" s="3032"/>
      <c r="Y5" s="3032"/>
      <c r="Z5" s="3033"/>
      <c r="AA5" s="173"/>
      <c r="AB5" s="173"/>
      <c r="AC5" s="173"/>
      <c r="AD5" s="173"/>
      <c r="AE5" s="173"/>
      <c r="AF5" s="173"/>
      <c r="AG5" s="173"/>
      <c r="AH5" s="173"/>
      <c r="AI5" s="173"/>
      <c r="AJ5" s="173"/>
      <c r="AK5" s="173"/>
      <c r="AL5" s="30"/>
      <c r="AM5" s="12"/>
      <c r="AN5" s="12"/>
    </row>
    <row r="6" spans="1:42" ht="19.5" customHeight="1" x14ac:dyDescent="0.25">
      <c r="A6" s="2782"/>
      <c r="B6" s="2775"/>
      <c r="C6" s="2776"/>
      <c r="D6" s="2777"/>
      <c r="E6" s="3034" t="s">
        <v>624</v>
      </c>
      <c r="F6" s="3035"/>
      <c r="G6" s="3035"/>
      <c r="H6" s="3036"/>
      <c r="I6" s="3037" t="s">
        <v>628</v>
      </c>
      <c r="J6" s="3038"/>
      <c r="K6" s="3038"/>
      <c r="L6" s="3039"/>
      <c r="M6" s="3034" t="s">
        <v>620</v>
      </c>
      <c r="N6" s="3035"/>
      <c r="O6" s="3035"/>
      <c r="P6" s="3035"/>
      <c r="Q6" s="3035"/>
      <c r="R6" s="3036"/>
      <c r="S6" s="3040" t="s">
        <v>618</v>
      </c>
      <c r="T6" s="3041"/>
      <c r="U6" s="3040" t="s">
        <v>508</v>
      </c>
      <c r="V6" s="3041"/>
      <c r="W6" s="3040" t="s">
        <v>621</v>
      </c>
      <c r="X6" s="3041"/>
      <c r="Y6" s="3042" t="s">
        <v>617</v>
      </c>
      <c r="Z6" s="3043"/>
      <c r="AA6" s="173"/>
      <c r="AB6" s="173"/>
      <c r="AC6" s="173"/>
      <c r="AD6" s="173"/>
      <c r="AE6" s="173"/>
      <c r="AF6" s="173"/>
      <c r="AG6" s="173"/>
      <c r="AH6" s="173"/>
      <c r="AI6" s="173"/>
      <c r="AJ6" s="173"/>
      <c r="AK6" s="173"/>
      <c r="AL6" s="173"/>
      <c r="AM6" s="173"/>
      <c r="AN6" s="30"/>
      <c r="AO6" s="12"/>
      <c r="AP6" s="12"/>
    </row>
    <row r="7" spans="1:42" ht="19.5" customHeight="1" x14ac:dyDescent="0.25">
      <c r="A7" s="2782"/>
      <c r="B7" s="2775"/>
      <c r="C7" s="2776"/>
      <c r="D7" s="2777"/>
      <c r="E7" s="3044" t="s">
        <v>619</v>
      </c>
      <c r="F7" s="3045"/>
      <c r="G7" s="3046" t="s">
        <v>627</v>
      </c>
      <c r="H7" s="3047"/>
      <c r="I7" s="3048" t="s">
        <v>808</v>
      </c>
      <c r="J7" s="3049"/>
      <c r="K7" s="3046" t="s">
        <v>629</v>
      </c>
      <c r="L7" s="3047"/>
      <c r="M7" s="3044" t="s">
        <v>636</v>
      </c>
      <c r="N7" s="3045"/>
      <c r="O7" s="3046" t="s">
        <v>637</v>
      </c>
      <c r="P7" s="3045"/>
      <c r="Q7" s="3046" t="s">
        <v>631</v>
      </c>
      <c r="R7" s="3047"/>
      <c r="S7" s="3050"/>
      <c r="T7" s="3051"/>
      <c r="U7" s="3050"/>
      <c r="V7" s="3051"/>
      <c r="W7" s="3050"/>
      <c r="X7" s="3051"/>
      <c r="Y7" s="3052"/>
      <c r="Z7" s="3053"/>
      <c r="AA7" s="173"/>
      <c r="AB7" s="173"/>
      <c r="AC7" s="173"/>
      <c r="AD7" s="173"/>
      <c r="AE7" s="173"/>
      <c r="AF7" s="173"/>
      <c r="AG7" s="173"/>
      <c r="AH7" s="173"/>
      <c r="AI7" s="173"/>
      <c r="AJ7" s="173"/>
      <c r="AK7" s="173"/>
      <c r="AL7" s="173"/>
      <c r="AM7" s="30"/>
      <c r="AN7" s="12"/>
      <c r="AO7" s="12"/>
    </row>
    <row r="8" spans="1:42" s="28" customFormat="1" ht="18.75" customHeight="1" thickBot="1" x14ac:dyDescent="0.3">
      <c r="A8" s="2783"/>
      <c r="B8" s="2778"/>
      <c r="C8" s="2779"/>
      <c r="D8" s="2780"/>
      <c r="E8" s="3054" t="s">
        <v>515</v>
      </c>
      <c r="F8" s="3055" t="s">
        <v>781</v>
      </c>
      <c r="G8" s="3056" t="s">
        <v>515</v>
      </c>
      <c r="H8" s="3057" t="s">
        <v>781</v>
      </c>
      <c r="I8" s="3054" t="s">
        <v>515</v>
      </c>
      <c r="J8" s="3056" t="s">
        <v>781</v>
      </c>
      <c r="K8" s="3056" t="s">
        <v>515</v>
      </c>
      <c r="L8" s="3057" t="s">
        <v>781</v>
      </c>
      <c r="M8" s="3054" t="s">
        <v>515</v>
      </c>
      <c r="N8" s="3056" t="s">
        <v>781</v>
      </c>
      <c r="O8" s="3056" t="s">
        <v>515</v>
      </c>
      <c r="P8" s="3056" t="s">
        <v>781</v>
      </c>
      <c r="Q8" s="3056" t="s">
        <v>515</v>
      </c>
      <c r="R8" s="3057" t="s">
        <v>781</v>
      </c>
      <c r="S8" s="3054" t="s">
        <v>515</v>
      </c>
      <c r="T8" s="3057" t="s">
        <v>781</v>
      </c>
      <c r="U8" s="3054" t="s">
        <v>515</v>
      </c>
      <c r="V8" s="3057" t="s">
        <v>781</v>
      </c>
      <c r="W8" s="3054" t="s">
        <v>515</v>
      </c>
      <c r="X8" s="3057" t="s">
        <v>781</v>
      </c>
      <c r="Y8" s="3058" t="s">
        <v>1163</v>
      </c>
      <c r="Z8" s="3059" t="s">
        <v>781</v>
      </c>
      <c r="AA8" s="176"/>
      <c r="AB8" s="176"/>
      <c r="AC8" s="176"/>
      <c r="AD8" s="176"/>
      <c r="AE8" s="176"/>
      <c r="AF8" s="176"/>
      <c r="AG8" s="176"/>
      <c r="AH8" s="176"/>
      <c r="AI8" s="176"/>
      <c r="AJ8" s="176"/>
      <c r="AK8" s="176"/>
      <c r="AL8" s="176"/>
      <c r="AM8" s="2409"/>
      <c r="AN8" s="27"/>
      <c r="AO8" s="27"/>
    </row>
    <row r="9" spans="1:42" ht="15" customHeight="1" x14ac:dyDescent="0.25">
      <c r="A9" s="142">
        <v>1</v>
      </c>
      <c r="B9" s="2803" t="s">
        <v>630</v>
      </c>
      <c r="C9" s="2790" t="s">
        <v>616</v>
      </c>
      <c r="D9" s="2791"/>
      <c r="E9" s="3060">
        <v>86553</v>
      </c>
      <c r="F9" s="3061">
        <v>8351</v>
      </c>
      <c r="G9" s="3062">
        <v>1922</v>
      </c>
      <c r="H9" s="3063">
        <v>26</v>
      </c>
      <c r="I9" s="3060">
        <v>0</v>
      </c>
      <c r="J9" s="3062">
        <v>0</v>
      </c>
      <c r="K9" s="3062">
        <v>0</v>
      </c>
      <c r="L9" s="3063">
        <v>0</v>
      </c>
      <c r="M9" s="3060">
        <v>0</v>
      </c>
      <c r="N9" s="3062">
        <v>0</v>
      </c>
      <c r="O9" s="3062">
        <v>0</v>
      </c>
      <c r="P9" s="3062">
        <v>0</v>
      </c>
      <c r="Q9" s="72">
        <v>123</v>
      </c>
      <c r="R9" s="164">
        <v>0</v>
      </c>
      <c r="S9" s="166">
        <v>3446</v>
      </c>
      <c r="T9" s="164">
        <v>0</v>
      </c>
      <c r="U9" s="166">
        <v>4345</v>
      </c>
      <c r="V9" s="164">
        <v>858</v>
      </c>
      <c r="W9" s="3064">
        <v>6344</v>
      </c>
      <c r="X9" s="3065">
        <v>1631</v>
      </c>
      <c r="Y9" s="3066">
        <f>SUM(E9+G9+I9+K9+M9+O9+Q9+S9+U9+W9)</f>
        <v>102733</v>
      </c>
      <c r="Z9" s="3066">
        <f t="shared" ref="Z9:Z13" si="0">SUM(F9+H9+J9+L9+N9+P9+R9+T9+V9+X9)</f>
        <v>10866</v>
      </c>
      <c r="AA9" s="173"/>
      <c r="AB9" s="173"/>
      <c r="AC9" s="173"/>
      <c r="AD9" s="173"/>
      <c r="AE9" s="173"/>
      <c r="AF9" s="173"/>
      <c r="AG9" s="30"/>
      <c r="AH9" s="12"/>
      <c r="AI9" s="12"/>
    </row>
    <row r="10" spans="1:42" ht="15" customHeight="1" x14ac:dyDescent="0.25">
      <c r="A10" s="142">
        <v>2</v>
      </c>
      <c r="B10" s="2804"/>
      <c r="C10" s="2794" t="s">
        <v>518</v>
      </c>
      <c r="D10" s="2795"/>
      <c r="E10" s="3067">
        <v>327</v>
      </c>
      <c r="F10" s="3068">
        <v>448</v>
      </c>
      <c r="G10" s="78">
        <v>5213</v>
      </c>
      <c r="H10" s="3069">
        <v>4514</v>
      </c>
      <c r="I10" s="3067">
        <v>708</v>
      </c>
      <c r="J10" s="78">
        <v>65</v>
      </c>
      <c r="K10" s="78">
        <v>0</v>
      </c>
      <c r="L10" s="3069">
        <v>0</v>
      </c>
      <c r="M10" s="3067">
        <v>0</v>
      </c>
      <c r="N10" s="78">
        <v>0</v>
      </c>
      <c r="O10" s="78">
        <v>0</v>
      </c>
      <c r="P10" s="78">
        <v>0</v>
      </c>
      <c r="Q10" s="73">
        <v>0</v>
      </c>
      <c r="R10" s="165">
        <v>0</v>
      </c>
      <c r="S10" s="167">
        <v>48</v>
      </c>
      <c r="T10" s="165">
        <v>0</v>
      </c>
      <c r="U10" s="167">
        <v>128</v>
      </c>
      <c r="V10" s="165">
        <v>374</v>
      </c>
      <c r="W10" s="3070">
        <v>278</v>
      </c>
      <c r="X10" s="3071">
        <v>21</v>
      </c>
      <c r="Y10" s="3066">
        <f t="shared" ref="Y10:Y13" si="1">SUM(E10+G10+I10+K10+M10+O10+Q10+S10+U10+W10)</f>
        <v>6702</v>
      </c>
      <c r="Z10" s="3066">
        <f t="shared" si="0"/>
        <v>5422</v>
      </c>
      <c r="AA10" s="173"/>
      <c r="AB10" s="173"/>
      <c r="AC10" s="173"/>
      <c r="AD10" s="173"/>
      <c r="AE10" s="173"/>
      <c r="AF10" s="173"/>
      <c r="AG10" s="30"/>
      <c r="AH10" s="12"/>
      <c r="AI10" s="12"/>
    </row>
    <row r="11" spans="1:42" ht="15" customHeight="1" x14ac:dyDescent="0.25">
      <c r="A11" s="144">
        <v>3</v>
      </c>
      <c r="B11" s="2804"/>
      <c r="C11" s="2792" t="s">
        <v>483</v>
      </c>
      <c r="D11" s="2793"/>
      <c r="E11" s="3067">
        <v>53218</v>
      </c>
      <c r="F11" s="3068">
        <v>2409</v>
      </c>
      <c r="G11" s="78">
        <v>1994</v>
      </c>
      <c r="H11" s="3069">
        <v>106</v>
      </c>
      <c r="I11" s="3067">
        <v>0</v>
      </c>
      <c r="J11" s="78">
        <v>0</v>
      </c>
      <c r="K11" s="78">
        <v>0</v>
      </c>
      <c r="L11" s="3069">
        <v>53</v>
      </c>
      <c r="M11" s="3067">
        <v>0</v>
      </c>
      <c r="N11" s="78">
        <v>0</v>
      </c>
      <c r="O11" s="78">
        <v>0</v>
      </c>
      <c r="P11" s="78">
        <v>0</v>
      </c>
      <c r="Q11" s="73">
        <v>167</v>
      </c>
      <c r="R11" s="165">
        <v>120</v>
      </c>
      <c r="S11" s="167">
        <v>3641</v>
      </c>
      <c r="T11" s="165">
        <v>0</v>
      </c>
      <c r="U11" s="167">
        <v>8160</v>
      </c>
      <c r="V11" s="165">
        <v>70</v>
      </c>
      <c r="W11" s="3070">
        <v>2223</v>
      </c>
      <c r="X11" s="3071">
        <v>175</v>
      </c>
      <c r="Y11" s="3066">
        <f t="shared" si="1"/>
        <v>69403</v>
      </c>
      <c r="Z11" s="3066">
        <f t="shared" si="0"/>
        <v>2933</v>
      </c>
      <c r="AA11" s="173"/>
      <c r="AB11" s="173"/>
      <c r="AC11" s="173"/>
      <c r="AD11" s="173"/>
      <c r="AE11" s="173"/>
      <c r="AF11" s="173"/>
      <c r="AG11" s="30"/>
      <c r="AH11" s="12"/>
      <c r="AI11" s="12"/>
    </row>
    <row r="12" spans="1:42" ht="15" customHeight="1" x14ac:dyDescent="0.25">
      <c r="A12" s="144">
        <v>4</v>
      </c>
      <c r="B12" s="2796" t="s">
        <v>517</v>
      </c>
      <c r="C12" s="2797"/>
      <c r="D12" s="2798"/>
      <c r="E12" s="3067">
        <v>0</v>
      </c>
      <c r="F12" s="3068">
        <v>0</v>
      </c>
      <c r="G12" s="78">
        <v>0</v>
      </c>
      <c r="H12" s="3069">
        <v>0</v>
      </c>
      <c r="I12" s="3067">
        <v>0</v>
      </c>
      <c r="J12" s="78">
        <v>0</v>
      </c>
      <c r="K12" s="78">
        <v>0</v>
      </c>
      <c r="L12" s="3069">
        <v>0</v>
      </c>
      <c r="M12" s="3067">
        <v>0</v>
      </c>
      <c r="N12" s="78">
        <v>0</v>
      </c>
      <c r="O12" s="78">
        <v>0</v>
      </c>
      <c r="P12" s="78">
        <v>0</v>
      </c>
      <c r="Q12" s="73">
        <v>0</v>
      </c>
      <c r="R12" s="165">
        <v>0</v>
      </c>
      <c r="S12" s="167">
        <v>160</v>
      </c>
      <c r="T12" s="165">
        <v>0</v>
      </c>
      <c r="U12" s="167">
        <v>432</v>
      </c>
      <c r="V12" s="165">
        <v>0</v>
      </c>
      <c r="W12" s="3070">
        <v>0</v>
      </c>
      <c r="X12" s="3071">
        <v>0</v>
      </c>
      <c r="Y12" s="3066">
        <f t="shared" si="1"/>
        <v>592</v>
      </c>
      <c r="Z12" s="3066">
        <f t="shared" si="0"/>
        <v>0</v>
      </c>
      <c r="AA12" s="173"/>
      <c r="AB12" s="173"/>
      <c r="AC12" s="173"/>
      <c r="AD12" s="173"/>
      <c r="AE12" s="173"/>
      <c r="AF12" s="173"/>
      <c r="AG12" s="30"/>
      <c r="AH12" s="12"/>
      <c r="AI12" s="12"/>
    </row>
    <row r="13" spans="1:42" ht="15" customHeight="1" thickBot="1" x14ac:dyDescent="0.3">
      <c r="A13" s="3072">
        <v>5</v>
      </c>
      <c r="B13" s="3073" t="s">
        <v>625</v>
      </c>
      <c r="C13" s="3074"/>
      <c r="D13" s="3075"/>
      <c r="E13" s="3076">
        <v>0</v>
      </c>
      <c r="F13" s="3077">
        <v>0</v>
      </c>
      <c r="G13" s="3078">
        <v>0</v>
      </c>
      <c r="H13" s="3079">
        <v>0</v>
      </c>
      <c r="I13" s="3076">
        <v>0</v>
      </c>
      <c r="J13" s="3078">
        <v>0</v>
      </c>
      <c r="K13" s="3078">
        <v>0</v>
      </c>
      <c r="L13" s="3079">
        <v>0</v>
      </c>
      <c r="M13" s="3076">
        <v>0</v>
      </c>
      <c r="N13" s="3078">
        <v>0</v>
      </c>
      <c r="O13" s="3078">
        <v>0</v>
      </c>
      <c r="P13" s="3078">
        <v>0</v>
      </c>
      <c r="Q13" s="3080">
        <v>0</v>
      </c>
      <c r="R13" s="3081">
        <v>0</v>
      </c>
      <c r="S13" s="3082">
        <v>0</v>
      </c>
      <c r="T13" s="3083">
        <v>0</v>
      </c>
      <c r="U13" s="3084">
        <v>0</v>
      </c>
      <c r="V13" s="3085">
        <v>0</v>
      </c>
      <c r="W13" s="3086">
        <v>0</v>
      </c>
      <c r="X13" s="3083">
        <v>0</v>
      </c>
      <c r="Y13" s="3066">
        <f t="shared" si="1"/>
        <v>0</v>
      </c>
      <c r="Z13" s="3066">
        <f t="shared" si="0"/>
        <v>0</v>
      </c>
      <c r="AA13" s="173"/>
      <c r="AB13" s="173"/>
      <c r="AC13" s="173"/>
      <c r="AD13" s="173"/>
      <c r="AE13" s="30"/>
      <c r="AF13" s="12"/>
      <c r="AG13" s="12"/>
    </row>
    <row r="14" spans="1:42" s="3099" customFormat="1" ht="15" customHeight="1" thickBot="1" x14ac:dyDescent="0.3">
      <c r="A14" s="146">
        <v>6</v>
      </c>
      <c r="B14" s="2799" t="s">
        <v>617</v>
      </c>
      <c r="C14" s="2800"/>
      <c r="D14" s="2801"/>
      <c r="E14" s="3087">
        <f>SUM(E9:E13)</f>
        <v>140098</v>
      </c>
      <c r="F14" s="3088">
        <f t="shared" ref="F14:Z14" si="2">SUM(F9:F13)</f>
        <v>11208</v>
      </c>
      <c r="G14" s="3089">
        <f t="shared" si="2"/>
        <v>9129</v>
      </c>
      <c r="H14" s="3090">
        <f t="shared" si="2"/>
        <v>4646</v>
      </c>
      <c r="I14" s="3087">
        <f t="shared" si="2"/>
        <v>708</v>
      </c>
      <c r="J14" s="3089">
        <f t="shared" si="2"/>
        <v>65</v>
      </c>
      <c r="K14" s="3089">
        <f t="shared" si="2"/>
        <v>0</v>
      </c>
      <c r="L14" s="3090">
        <f t="shared" si="2"/>
        <v>53</v>
      </c>
      <c r="M14" s="3087">
        <f t="shared" si="2"/>
        <v>0</v>
      </c>
      <c r="N14" s="3089">
        <f t="shared" si="2"/>
        <v>0</v>
      </c>
      <c r="O14" s="3089">
        <f t="shared" si="2"/>
        <v>0</v>
      </c>
      <c r="P14" s="3089">
        <f t="shared" si="2"/>
        <v>0</v>
      </c>
      <c r="Q14" s="3089">
        <f t="shared" si="2"/>
        <v>290</v>
      </c>
      <c r="R14" s="3090">
        <f t="shared" si="2"/>
        <v>120</v>
      </c>
      <c r="S14" s="3091">
        <f t="shared" si="2"/>
        <v>7295</v>
      </c>
      <c r="T14" s="3092">
        <f t="shared" si="2"/>
        <v>0</v>
      </c>
      <c r="U14" s="3091">
        <f t="shared" si="2"/>
        <v>13065</v>
      </c>
      <c r="V14" s="3092">
        <f t="shared" si="2"/>
        <v>1302</v>
      </c>
      <c r="W14" s="3093">
        <f t="shared" si="2"/>
        <v>8845</v>
      </c>
      <c r="X14" s="3092">
        <f t="shared" si="2"/>
        <v>1827</v>
      </c>
      <c r="Y14" s="3094">
        <f t="shared" si="2"/>
        <v>179430</v>
      </c>
      <c r="Z14" s="3095">
        <f t="shared" si="2"/>
        <v>19221</v>
      </c>
      <c r="AA14" s="3096"/>
      <c r="AB14" s="3096"/>
      <c r="AC14" s="3096"/>
      <c r="AD14" s="3096"/>
      <c r="AE14" s="3097"/>
      <c r="AF14" s="3098"/>
      <c r="AG14" s="3098"/>
    </row>
    <row r="15" spans="1:42" s="173" customFormat="1" ht="15" customHeight="1" x14ac:dyDescent="0.25">
      <c r="E15" s="1221"/>
      <c r="F15" s="1221"/>
      <c r="G15" s="1221"/>
      <c r="H15" s="1221"/>
      <c r="I15" s="1651"/>
      <c r="J15" s="1651"/>
      <c r="K15" s="1651"/>
      <c r="L15" s="1651"/>
      <c r="M15" s="1651"/>
      <c r="N15" s="1651"/>
      <c r="O15" s="1651"/>
      <c r="P15" s="1651"/>
      <c r="Q15" s="1221"/>
      <c r="R15" s="1221"/>
      <c r="S15" s="1221"/>
      <c r="T15" s="1221"/>
      <c r="U15" s="1221"/>
      <c r="V15" s="1221"/>
      <c r="W15" s="1221"/>
      <c r="X15" s="1221"/>
      <c r="Y15" s="1651"/>
      <c r="Z15" s="1651"/>
    </row>
    <row r="16" spans="1:42" ht="14.25" customHeight="1" x14ac:dyDescent="0.25">
      <c r="A16" s="174" t="s">
        <v>1141</v>
      </c>
      <c r="B16" s="143"/>
      <c r="C16" s="143"/>
      <c r="D16" s="143"/>
      <c r="E16" s="3100"/>
      <c r="F16" s="3100"/>
      <c r="G16" s="3100"/>
      <c r="H16" s="3100"/>
      <c r="I16" s="3101"/>
      <c r="J16" s="3101"/>
      <c r="K16" s="3101"/>
      <c r="L16" s="3101"/>
      <c r="M16" s="3101"/>
      <c r="N16" s="3101"/>
      <c r="O16" s="3101"/>
      <c r="P16" s="3101"/>
      <c r="Q16" s="3100"/>
      <c r="R16" s="3100"/>
      <c r="S16" s="3100"/>
      <c r="T16" s="3100"/>
      <c r="U16" s="3100"/>
      <c r="V16" s="3027"/>
      <c r="W16" s="3027"/>
      <c r="X16" s="3027"/>
    </row>
    <row r="17" spans="1:33" ht="14.25" customHeight="1" thickBot="1" x14ac:dyDescent="0.3">
      <c r="A17" s="174"/>
      <c r="B17" s="143"/>
      <c r="C17" s="143"/>
      <c r="D17" s="143"/>
      <c r="E17" s="3100"/>
      <c r="F17" s="3100"/>
      <c r="G17" s="3100"/>
      <c r="H17" s="3100"/>
      <c r="I17" s="3101"/>
      <c r="J17" s="3101"/>
      <c r="K17" s="3101"/>
      <c r="L17" s="3101"/>
      <c r="M17" s="3101" t="s">
        <v>507</v>
      </c>
      <c r="N17" s="1651"/>
      <c r="O17" s="1651"/>
      <c r="P17" s="1651"/>
      <c r="Q17" s="1221"/>
      <c r="R17" s="1221"/>
      <c r="S17" s="1221"/>
      <c r="T17" s="1221"/>
      <c r="U17" s="1221"/>
      <c r="V17" s="1221"/>
      <c r="W17" s="3027"/>
      <c r="X17" s="3027"/>
    </row>
    <row r="18" spans="1:33" ht="28.5" customHeight="1" x14ac:dyDescent="0.25">
      <c r="A18" s="2787" t="s">
        <v>479</v>
      </c>
      <c r="B18" s="2784" t="s">
        <v>516</v>
      </c>
      <c r="C18" s="2784"/>
      <c r="D18" s="2784"/>
      <c r="E18" s="3102" t="s">
        <v>632</v>
      </c>
      <c r="F18" s="3103"/>
      <c r="G18" s="3104"/>
      <c r="H18" s="3034" t="s">
        <v>634</v>
      </c>
      <c r="I18" s="3035"/>
      <c r="J18" s="3036"/>
      <c r="K18" s="3103" t="s">
        <v>617</v>
      </c>
      <c r="L18" s="3103"/>
      <c r="M18" s="3104"/>
      <c r="N18" s="1651"/>
      <c r="O18" s="1651"/>
      <c r="P18" s="1651"/>
      <c r="Q18" s="1221"/>
      <c r="R18" s="1221"/>
      <c r="S18" s="1221"/>
      <c r="T18" s="1221"/>
      <c r="U18" s="1221"/>
      <c r="V18" s="1221"/>
      <c r="W18" s="3027"/>
      <c r="X18" s="3027"/>
    </row>
    <row r="19" spans="1:33" ht="44.25" customHeight="1" x14ac:dyDescent="0.25">
      <c r="A19" s="2788"/>
      <c r="B19" s="2785"/>
      <c r="C19" s="2785"/>
      <c r="D19" s="2785"/>
      <c r="E19" s="3105" t="s">
        <v>809</v>
      </c>
      <c r="F19" s="3106" t="s">
        <v>633</v>
      </c>
      <c r="G19" s="3107" t="s">
        <v>623</v>
      </c>
      <c r="H19" s="3105" t="s">
        <v>622</v>
      </c>
      <c r="I19" s="3106" t="s">
        <v>633</v>
      </c>
      <c r="J19" s="3107" t="s">
        <v>623</v>
      </c>
      <c r="K19" s="3108" t="s">
        <v>622</v>
      </c>
      <c r="L19" s="3109" t="s">
        <v>633</v>
      </c>
      <c r="M19" s="3107" t="s">
        <v>623</v>
      </c>
      <c r="N19" s="1651"/>
      <c r="O19" s="1651"/>
      <c r="P19" s="1651"/>
      <c r="Q19" s="1221"/>
      <c r="R19" s="1221"/>
      <c r="S19" s="1221"/>
      <c r="T19" s="1221"/>
      <c r="U19" s="1221"/>
      <c r="V19" s="1221"/>
      <c r="W19" s="1221"/>
      <c r="X19" s="1221"/>
      <c r="Y19" s="1651"/>
      <c r="Z19" s="1651"/>
      <c r="AA19" s="173"/>
      <c r="AB19" s="173"/>
      <c r="AC19" s="173"/>
      <c r="AD19" s="173"/>
      <c r="AE19" s="173"/>
      <c r="AF19" s="173"/>
      <c r="AG19" s="173"/>
    </row>
    <row r="20" spans="1:33" s="28" customFormat="1" ht="25.5" customHeight="1" thickBot="1" x14ac:dyDescent="0.3">
      <c r="A20" s="2789"/>
      <c r="B20" s="2786"/>
      <c r="C20" s="2786"/>
      <c r="D20" s="2786"/>
      <c r="E20" s="3054">
        <v>1</v>
      </c>
      <c r="F20" s="3056">
        <v>2</v>
      </c>
      <c r="G20" s="3057" t="s">
        <v>894</v>
      </c>
      <c r="H20" s="3054">
        <v>4</v>
      </c>
      <c r="I20" s="3056">
        <v>5</v>
      </c>
      <c r="J20" s="3057" t="s">
        <v>895</v>
      </c>
      <c r="K20" s="3055">
        <v>7</v>
      </c>
      <c r="L20" s="3110">
        <v>8</v>
      </c>
      <c r="M20" s="3057" t="s">
        <v>896</v>
      </c>
      <c r="N20" s="1651"/>
      <c r="O20" s="1651"/>
      <c r="P20" s="1651"/>
      <c r="Q20" s="1221"/>
      <c r="R20" s="1221"/>
      <c r="S20" s="1221"/>
      <c r="T20" s="1221"/>
      <c r="U20" s="3111"/>
      <c r="V20" s="3111"/>
      <c r="W20" s="3111"/>
      <c r="X20" s="3111"/>
      <c r="Y20" s="1651"/>
      <c r="Z20" s="1651"/>
      <c r="AA20" s="176"/>
      <c r="AB20" s="176"/>
      <c r="AC20" s="176"/>
      <c r="AD20" s="176"/>
      <c r="AE20" s="176"/>
      <c r="AF20" s="176"/>
      <c r="AG20" s="176"/>
    </row>
    <row r="21" spans="1:33" ht="13.5" customHeight="1" x14ac:dyDescent="0.25">
      <c r="A21" s="2410">
        <v>1</v>
      </c>
      <c r="B21" s="2812" t="s">
        <v>626</v>
      </c>
      <c r="C21" s="2805" t="s">
        <v>811</v>
      </c>
      <c r="D21" s="163" t="s">
        <v>611</v>
      </c>
      <c r="E21" s="3060">
        <v>50</v>
      </c>
      <c r="F21" s="3062">
        <v>20444</v>
      </c>
      <c r="G21" s="164">
        <f>SUM(F21/12)/E21</f>
        <v>34.073333333333338</v>
      </c>
      <c r="H21" s="166">
        <v>0</v>
      </c>
      <c r="I21" s="3062">
        <v>1746</v>
      </c>
      <c r="J21" s="3063">
        <v>581</v>
      </c>
      <c r="K21" s="3061">
        <f>E21+H21</f>
        <v>50</v>
      </c>
      <c r="L21" s="3062">
        <f>F21+I21</f>
        <v>22190</v>
      </c>
      <c r="M21" s="3063">
        <f>L21/12/K21</f>
        <v>36.983333333333334</v>
      </c>
      <c r="N21" s="1651"/>
      <c r="O21" s="1651"/>
      <c r="P21" s="1651"/>
      <c r="Q21" s="1221"/>
      <c r="R21" s="1221"/>
      <c r="S21" s="1221"/>
      <c r="T21" s="1221"/>
      <c r="U21" s="1221"/>
      <c r="V21" s="1221"/>
      <c r="W21" s="1221"/>
      <c r="X21" s="1221"/>
      <c r="Y21" s="1651"/>
      <c r="Z21" s="1651"/>
      <c r="AA21" s="173"/>
      <c r="AB21" s="173"/>
      <c r="AC21" s="173"/>
      <c r="AD21" s="173"/>
      <c r="AE21" s="173"/>
      <c r="AF21" s="173"/>
      <c r="AG21" s="173"/>
    </row>
    <row r="22" spans="1:33" ht="14.25" customHeight="1" x14ac:dyDescent="0.25">
      <c r="A22" s="86">
        <v>2</v>
      </c>
      <c r="B22" s="2813"/>
      <c r="C22" s="2805"/>
      <c r="D22" s="2408" t="s">
        <v>612</v>
      </c>
      <c r="E22" s="3067">
        <v>57</v>
      </c>
      <c r="F22" s="78">
        <v>21099</v>
      </c>
      <c r="G22" s="164">
        <f t="shared" ref="G22:G28" si="3">SUM(F22/12)/E22</f>
        <v>30.846491228070175</v>
      </c>
      <c r="H22" s="167">
        <v>3</v>
      </c>
      <c r="I22" s="78">
        <v>5183</v>
      </c>
      <c r="J22" s="3063">
        <f t="shared" ref="J22:J29" si="4">I22/12/H22</f>
        <v>143.97222222222223</v>
      </c>
      <c r="K22" s="3068">
        <f t="shared" ref="K22:L30" si="5">E22+H22</f>
        <v>60</v>
      </c>
      <c r="L22" s="78">
        <f t="shared" si="5"/>
        <v>26282</v>
      </c>
      <c r="M22" s="3063">
        <f t="shared" ref="M22:M31" si="6">L22/12/K22</f>
        <v>36.502777777777773</v>
      </c>
      <c r="N22" s="1651"/>
      <c r="O22" s="1651"/>
      <c r="P22" s="1651"/>
      <c r="Q22" s="1221"/>
      <c r="R22" s="1221"/>
      <c r="S22" s="1221"/>
      <c r="T22" s="1221"/>
      <c r="U22" s="1221"/>
      <c r="V22" s="1221"/>
      <c r="W22" s="1221"/>
      <c r="X22" s="1221"/>
      <c r="Y22" s="1651"/>
      <c r="Z22" s="1651"/>
      <c r="AA22" s="173"/>
      <c r="AB22" s="173"/>
      <c r="AC22" s="173"/>
      <c r="AD22" s="173"/>
      <c r="AE22" s="173"/>
      <c r="AF22" s="173"/>
      <c r="AG22" s="173"/>
    </row>
    <row r="23" spans="1:33" ht="15" customHeight="1" x14ac:dyDescent="0.25">
      <c r="A23" s="86">
        <v>3</v>
      </c>
      <c r="B23" s="2813"/>
      <c r="C23" s="2805"/>
      <c r="D23" s="2408" t="s">
        <v>613</v>
      </c>
      <c r="E23" s="3067">
        <v>145</v>
      </c>
      <c r="F23" s="78">
        <v>46305</v>
      </c>
      <c r="G23" s="164">
        <f t="shared" si="3"/>
        <v>26.612068965517242</v>
      </c>
      <c r="H23" s="167">
        <v>5</v>
      </c>
      <c r="I23" s="78">
        <v>7311</v>
      </c>
      <c r="J23" s="3063">
        <f t="shared" si="4"/>
        <v>121.85</v>
      </c>
      <c r="K23" s="3068">
        <f t="shared" si="5"/>
        <v>150</v>
      </c>
      <c r="L23" s="78">
        <f t="shared" si="5"/>
        <v>53616</v>
      </c>
      <c r="M23" s="3063">
        <f t="shared" si="6"/>
        <v>29.786666666666665</v>
      </c>
      <c r="N23" s="1651"/>
      <c r="O23" s="1651"/>
      <c r="P23" s="1651"/>
      <c r="Q23" s="1221"/>
      <c r="R23" s="1221"/>
      <c r="S23" s="1221"/>
      <c r="T23" s="1221"/>
      <c r="U23" s="1221"/>
      <c r="V23" s="1221"/>
      <c r="W23" s="1221"/>
      <c r="X23" s="1221"/>
      <c r="Y23" s="1651"/>
      <c r="Z23" s="1651"/>
      <c r="AA23" s="173"/>
      <c r="AB23" s="173"/>
      <c r="AC23" s="173"/>
      <c r="AD23" s="173"/>
      <c r="AE23" s="173"/>
      <c r="AF23" s="173"/>
      <c r="AG23" s="173"/>
    </row>
    <row r="24" spans="1:33" ht="15" customHeight="1" x14ac:dyDescent="0.25">
      <c r="A24" s="86">
        <v>4</v>
      </c>
      <c r="B24" s="2813"/>
      <c r="C24" s="2805"/>
      <c r="D24" s="2408" t="s">
        <v>614</v>
      </c>
      <c r="E24" s="3067">
        <v>0</v>
      </c>
      <c r="F24" s="78">
        <v>0</v>
      </c>
      <c r="G24" s="164">
        <v>0</v>
      </c>
      <c r="H24" s="167">
        <v>0</v>
      </c>
      <c r="I24" s="78">
        <v>0</v>
      </c>
      <c r="J24" s="3063">
        <v>0</v>
      </c>
      <c r="K24" s="3068">
        <f t="shared" si="5"/>
        <v>0</v>
      </c>
      <c r="L24" s="78">
        <v>0</v>
      </c>
      <c r="M24" s="3063">
        <v>0</v>
      </c>
      <c r="N24" s="1651"/>
      <c r="O24" s="1651"/>
      <c r="P24" s="1651"/>
      <c r="Q24" s="1221"/>
      <c r="R24" s="1221"/>
      <c r="S24" s="1221"/>
      <c r="T24" s="1221"/>
      <c r="U24" s="1221"/>
      <c r="V24" s="1221"/>
      <c r="W24" s="1221"/>
      <c r="X24" s="1221"/>
      <c r="Y24" s="1651"/>
      <c r="Z24" s="1651"/>
      <c r="AA24" s="173"/>
      <c r="AB24" s="173"/>
      <c r="AC24" s="173"/>
      <c r="AD24" s="173"/>
      <c r="AE24" s="173"/>
      <c r="AF24" s="173"/>
      <c r="AG24" s="173"/>
    </row>
    <row r="25" spans="1:33" ht="15" customHeight="1" x14ac:dyDescent="0.25">
      <c r="A25" s="86">
        <v>5</v>
      </c>
      <c r="B25" s="2813"/>
      <c r="C25" s="2805"/>
      <c r="D25" s="2408" t="s">
        <v>615</v>
      </c>
      <c r="E25" s="3067">
        <v>2</v>
      </c>
      <c r="F25" s="78">
        <v>627</v>
      </c>
      <c r="G25" s="164">
        <f t="shared" si="3"/>
        <v>26.125</v>
      </c>
      <c r="H25" s="167">
        <v>0</v>
      </c>
      <c r="I25" s="78">
        <v>18</v>
      </c>
      <c r="J25" s="3063">
        <v>0</v>
      </c>
      <c r="K25" s="3068">
        <f t="shared" si="5"/>
        <v>2</v>
      </c>
      <c r="L25" s="78">
        <f t="shared" si="5"/>
        <v>645</v>
      </c>
      <c r="M25" s="3063">
        <f t="shared" si="6"/>
        <v>26.875</v>
      </c>
      <c r="N25" s="1651"/>
      <c r="O25" s="1651"/>
      <c r="P25" s="1651"/>
      <c r="Q25" s="1221"/>
      <c r="R25" s="1221"/>
      <c r="S25" s="1221"/>
      <c r="T25" s="1221"/>
      <c r="U25" s="1221"/>
      <c r="V25" s="1221"/>
      <c r="W25" s="1221"/>
      <c r="X25" s="1221"/>
      <c r="Y25" s="1651"/>
      <c r="Z25" s="1651"/>
      <c r="AA25" s="173"/>
      <c r="AB25" s="173"/>
      <c r="AC25" s="173"/>
      <c r="AD25" s="173"/>
      <c r="AE25" s="173"/>
      <c r="AF25" s="173"/>
      <c r="AG25" s="173"/>
    </row>
    <row r="26" spans="1:33" ht="15" customHeight="1" x14ac:dyDescent="0.25">
      <c r="A26" s="86">
        <v>6</v>
      </c>
      <c r="B26" s="2813"/>
      <c r="C26" s="2806"/>
      <c r="D26" s="2408" t="s">
        <v>617</v>
      </c>
      <c r="E26" s="3067">
        <f>SUM(E21:E25)</f>
        <v>254</v>
      </c>
      <c r="F26" s="78">
        <f>SUM(F21:F25)</f>
        <v>88475</v>
      </c>
      <c r="G26" s="164">
        <f t="shared" si="3"/>
        <v>29.02723097112861</v>
      </c>
      <c r="H26" s="167">
        <f>SUM(H21:H25)</f>
        <v>8</v>
      </c>
      <c r="I26" s="167">
        <f>SUM(I21:I25)</f>
        <v>14258</v>
      </c>
      <c r="J26" s="3063">
        <f t="shared" si="4"/>
        <v>148.52083333333334</v>
      </c>
      <c r="K26" s="3068">
        <f t="shared" si="5"/>
        <v>262</v>
      </c>
      <c r="L26" s="78">
        <f t="shared" si="5"/>
        <v>102733</v>
      </c>
      <c r="M26" s="3063">
        <f t="shared" si="6"/>
        <v>32.675890585241731</v>
      </c>
      <c r="N26" s="1651"/>
      <c r="O26" s="1651"/>
      <c r="P26" s="1651"/>
      <c r="Q26" s="1221"/>
      <c r="R26" s="1221"/>
      <c r="S26" s="1221"/>
      <c r="T26" s="1221"/>
      <c r="U26" s="1221"/>
      <c r="V26" s="1221"/>
      <c r="W26" s="1221"/>
      <c r="X26" s="1221"/>
      <c r="Y26" s="1651"/>
      <c r="Z26" s="1651"/>
      <c r="AA26" s="173"/>
      <c r="AB26" s="173"/>
      <c r="AC26" s="173"/>
      <c r="AD26" s="173"/>
      <c r="AE26" s="173"/>
      <c r="AF26" s="173"/>
      <c r="AG26" s="173"/>
    </row>
    <row r="27" spans="1:33" ht="15" customHeight="1" x14ac:dyDescent="0.25">
      <c r="A27" s="86">
        <v>7</v>
      </c>
      <c r="B27" s="2813"/>
      <c r="C27" s="2814" t="s">
        <v>812</v>
      </c>
      <c r="D27" s="2815"/>
      <c r="E27" s="3067">
        <v>14</v>
      </c>
      <c r="F27" s="78">
        <v>5540</v>
      </c>
      <c r="G27" s="164">
        <f t="shared" si="3"/>
        <v>32.976190476190474</v>
      </c>
      <c r="H27" s="167">
        <v>3</v>
      </c>
      <c r="I27" s="78">
        <v>1162</v>
      </c>
      <c r="J27" s="3063">
        <f t="shared" si="4"/>
        <v>32.277777777777779</v>
      </c>
      <c r="K27" s="3068">
        <f t="shared" si="5"/>
        <v>17</v>
      </c>
      <c r="L27" s="78">
        <f t="shared" si="5"/>
        <v>6702</v>
      </c>
      <c r="M27" s="3063">
        <f t="shared" si="6"/>
        <v>32.852941176470587</v>
      </c>
      <c r="N27" s="1651"/>
      <c r="O27" s="1651"/>
      <c r="P27" s="1651"/>
      <c r="Q27" s="1221"/>
      <c r="R27" s="1221"/>
      <c r="S27" s="1221"/>
      <c r="T27" s="1221"/>
      <c r="U27" s="1221"/>
      <c r="V27" s="1221"/>
      <c r="W27" s="1221"/>
      <c r="X27" s="1221"/>
      <c r="Y27" s="1651"/>
      <c r="Z27" s="1651"/>
      <c r="AA27" s="173"/>
      <c r="AB27" s="173"/>
      <c r="AC27" s="173"/>
      <c r="AD27" s="173"/>
      <c r="AE27" s="173"/>
      <c r="AF27" s="173"/>
      <c r="AG27" s="173"/>
    </row>
    <row r="28" spans="1:33" ht="15" customHeight="1" x14ac:dyDescent="0.25">
      <c r="A28" s="86">
        <v>8</v>
      </c>
      <c r="B28" s="2803"/>
      <c r="C28" s="2807" t="s">
        <v>813</v>
      </c>
      <c r="D28" s="2808"/>
      <c r="E28" s="167">
        <v>161</v>
      </c>
      <c r="F28" s="78">
        <v>55212</v>
      </c>
      <c r="G28" s="164">
        <f t="shared" si="3"/>
        <v>28.577639751552795</v>
      </c>
      <c r="H28" s="167">
        <v>18</v>
      </c>
      <c r="I28" s="78">
        <v>14191</v>
      </c>
      <c r="J28" s="3063">
        <f t="shared" si="4"/>
        <v>65.699074074074076</v>
      </c>
      <c r="K28" s="3068">
        <f t="shared" si="5"/>
        <v>179</v>
      </c>
      <c r="L28" s="78">
        <f t="shared" si="5"/>
        <v>69403</v>
      </c>
      <c r="M28" s="3063">
        <f t="shared" si="6"/>
        <v>32.310521415270017</v>
      </c>
      <c r="N28" s="1651"/>
      <c r="O28" s="1651"/>
      <c r="P28" s="1651"/>
      <c r="Q28" s="1221"/>
      <c r="R28" s="1221"/>
      <c r="S28" s="1221"/>
      <c r="T28" s="1221"/>
      <c r="U28" s="1221"/>
      <c r="V28" s="1221"/>
      <c r="W28" s="1221"/>
      <c r="X28" s="1221"/>
      <c r="Y28" s="1651"/>
      <c r="Z28" s="1651"/>
      <c r="AA28" s="173"/>
      <c r="AB28" s="173"/>
      <c r="AC28" s="173"/>
      <c r="AD28" s="173"/>
      <c r="AE28" s="173"/>
      <c r="AF28" s="173"/>
      <c r="AG28" s="173"/>
    </row>
    <row r="29" spans="1:33" ht="15" customHeight="1" x14ac:dyDescent="0.25">
      <c r="A29" s="86">
        <v>9</v>
      </c>
      <c r="B29" s="2810" t="s">
        <v>517</v>
      </c>
      <c r="C29" s="2810"/>
      <c r="D29" s="2810"/>
      <c r="E29" s="167">
        <v>0</v>
      </c>
      <c r="F29" s="73">
        <v>0</v>
      </c>
      <c r="G29" s="165">
        <v>0</v>
      </c>
      <c r="H29" s="167">
        <v>1</v>
      </c>
      <c r="I29" s="78">
        <v>592</v>
      </c>
      <c r="J29" s="3063">
        <f t="shared" si="4"/>
        <v>49.333333333333336</v>
      </c>
      <c r="K29" s="3068">
        <f t="shared" si="5"/>
        <v>1</v>
      </c>
      <c r="L29" s="78">
        <f t="shared" si="5"/>
        <v>592</v>
      </c>
      <c r="M29" s="3063">
        <f t="shared" si="6"/>
        <v>49.333333333333336</v>
      </c>
      <c r="N29" s="1651"/>
      <c r="O29" s="1651"/>
      <c r="P29" s="1651"/>
      <c r="Q29" s="1221"/>
      <c r="R29" s="1221"/>
      <c r="S29" s="1221"/>
      <c r="T29" s="1221"/>
      <c r="U29" s="1221"/>
      <c r="V29" s="1221"/>
      <c r="W29" s="1221"/>
      <c r="X29" s="1221"/>
      <c r="Y29" s="1651"/>
      <c r="Z29" s="1651"/>
      <c r="AA29" s="173"/>
      <c r="AB29" s="173"/>
      <c r="AC29" s="173"/>
      <c r="AD29" s="173"/>
      <c r="AE29" s="173"/>
      <c r="AF29" s="173"/>
      <c r="AG29" s="173"/>
    </row>
    <row r="30" spans="1:33" ht="15" customHeight="1" thickBot="1" x14ac:dyDescent="0.3">
      <c r="A30" s="169">
        <v>10</v>
      </c>
      <c r="B30" s="2811" t="s">
        <v>625</v>
      </c>
      <c r="C30" s="2811"/>
      <c r="D30" s="2811"/>
      <c r="E30" s="171">
        <v>0</v>
      </c>
      <c r="F30" s="80">
        <v>0</v>
      </c>
      <c r="G30" s="170">
        <v>0</v>
      </c>
      <c r="H30" s="171">
        <v>0</v>
      </c>
      <c r="I30" s="3112">
        <v>0</v>
      </c>
      <c r="J30" s="3113">
        <v>0</v>
      </c>
      <c r="K30" s="3114">
        <f t="shared" si="5"/>
        <v>0</v>
      </c>
      <c r="L30" s="3112">
        <f t="shared" si="5"/>
        <v>0</v>
      </c>
      <c r="M30" s="3113">
        <v>0</v>
      </c>
      <c r="N30" s="1651"/>
      <c r="O30" s="1651"/>
      <c r="P30" s="1651"/>
      <c r="Q30" s="1221"/>
      <c r="R30" s="1221"/>
      <c r="S30" s="1221"/>
      <c r="T30" s="1221"/>
      <c r="U30" s="1221"/>
      <c r="V30" s="1221"/>
      <c r="W30" s="1221"/>
      <c r="X30" s="1221"/>
      <c r="Y30" s="1651"/>
      <c r="Z30" s="1651"/>
      <c r="AA30" s="173"/>
      <c r="AB30" s="173"/>
      <c r="AC30" s="173"/>
      <c r="AD30" s="173"/>
      <c r="AE30" s="173"/>
      <c r="AF30" s="173"/>
      <c r="AG30" s="173"/>
    </row>
    <row r="31" spans="1:33" s="74" customFormat="1" ht="15" customHeight="1" thickBot="1" x14ac:dyDescent="0.3">
      <c r="A31" s="168">
        <v>11</v>
      </c>
      <c r="B31" s="2809" t="s">
        <v>617</v>
      </c>
      <c r="C31" s="2809"/>
      <c r="D31" s="2809"/>
      <c r="E31" s="3087">
        <f>E26+E27+E28+E29+E30</f>
        <v>429</v>
      </c>
      <c r="F31" s="3089">
        <f t="shared" ref="F31:L31" si="7">F26+F27+F28+F29+F30</f>
        <v>149227</v>
      </c>
      <c r="G31" s="3115">
        <f t="shared" ref="G31" si="8">SUM(F31/12)/E31</f>
        <v>28.987373737373737</v>
      </c>
      <c r="H31" s="3087">
        <f t="shared" si="7"/>
        <v>30</v>
      </c>
      <c r="I31" s="3089">
        <f t="shared" si="7"/>
        <v>30203</v>
      </c>
      <c r="J31" s="3115">
        <f t="shared" ref="J31" si="9">SUM(I31/12)/H31</f>
        <v>83.897222222222211</v>
      </c>
      <c r="K31" s="3088">
        <f t="shared" si="7"/>
        <v>459</v>
      </c>
      <c r="L31" s="3089">
        <f t="shared" si="7"/>
        <v>179430</v>
      </c>
      <c r="M31" s="3090">
        <f t="shared" si="6"/>
        <v>32.576252723311548</v>
      </c>
      <c r="N31" s="3116"/>
      <c r="O31" s="3116"/>
      <c r="P31" s="3116"/>
      <c r="Q31" s="3117"/>
      <c r="R31" s="3117"/>
      <c r="S31" s="3117"/>
      <c r="T31" s="3117"/>
      <c r="U31" s="3117"/>
      <c r="V31" s="3117"/>
      <c r="W31" s="3117"/>
      <c r="X31" s="3117"/>
      <c r="Y31" s="3116"/>
      <c r="Z31" s="3116"/>
      <c r="AA31" s="175"/>
      <c r="AB31" s="175"/>
      <c r="AC31" s="175"/>
      <c r="AD31" s="175"/>
      <c r="AE31" s="175"/>
      <c r="AF31" s="175"/>
      <c r="AG31" s="175"/>
    </row>
    <row r="32" spans="1:33" s="173" customFormat="1" ht="15" customHeight="1" x14ac:dyDescent="0.25">
      <c r="E32" s="1221"/>
      <c r="F32" s="1221"/>
      <c r="G32" s="1221"/>
      <c r="H32" s="1221"/>
      <c r="I32" s="1651"/>
      <c r="J32" s="1651"/>
      <c r="K32" s="1651"/>
      <c r="L32" s="1651"/>
      <c r="M32" s="1651"/>
      <c r="N32" s="1651"/>
      <c r="O32" s="1651"/>
      <c r="P32" s="1651"/>
      <c r="Q32" s="1221"/>
      <c r="R32" s="1221"/>
      <c r="S32" s="1221"/>
      <c r="T32" s="1221"/>
      <c r="U32" s="1221"/>
      <c r="V32" s="1221"/>
      <c r="W32" s="1221"/>
      <c r="X32" s="1221"/>
      <c r="Y32" s="1651"/>
      <c r="Z32" s="1651"/>
    </row>
    <row r="33" spans="1:26" s="177" customFormat="1" ht="12.75" customHeight="1" x14ac:dyDescent="0.25">
      <c r="A33" s="177" t="s">
        <v>638</v>
      </c>
      <c r="E33" s="3118"/>
      <c r="F33" s="3118"/>
      <c r="G33" s="3118"/>
      <c r="H33" s="3118"/>
      <c r="I33" s="3030"/>
      <c r="J33" s="3030"/>
      <c r="K33" s="3030"/>
      <c r="L33" s="3030"/>
      <c r="M33" s="3030"/>
      <c r="N33" s="3030"/>
      <c r="O33" s="3030"/>
      <c r="P33" s="3030"/>
      <c r="Q33" s="3118"/>
      <c r="R33" s="3118"/>
      <c r="S33" s="3118"/>
      <c r="T33" s="3118"/>
      <c r="U33" s="3118"/>
      <c r="V33" s="3118"/>
      <c r="W33" s="3118"/>
      <c r="X33" s="3118"/>
      <c r="Y33" s="3030"/>
      <c r="Z33" s="3030"/>
    </row>
    <row r="34" spans="1:26" s="177" customFormat="1" ht="42" customHeight="1" x14ac:dyDescent="0.25">
      <c r="A34" s="2548" t="s">
        <v>1122</v>
      </c>
      <c r="B34" s="2607"/>
      <c r="C34" s="2607"/>
      <c r="D34" s="2607"/>
      <c r="E34" s="2607"/>
      <c r="F34" s="2607"/>
      <c r="G34" s="2607"/>
      <c r="H34" s="2607"/>
      <c r="I34" s="2607"/>
      <c r="J34" s="2607"/>
      <c r="K34" s="2607"/>
      <c r="L34" s="2607"/>
      <c r="M34" s="2607"/>
      <c r="N34" s="3030"/>
      <c r="O34" s="3030"/>
      <c r="P34" s="3030"/>
      <c r="Q34" s="3118"/>
      <c r="R34" s="3118"/>
      <c r="S34" s="3118"/>
      <c r="T34" s="3118"/>
      <c r="U34" s="3118"/>
      <c r="V34" s="3118"/>
      <c r="W34" s="3118"/>
      <c r="X34" s="3118"/>
      <c r="Y34" s="3030"/>
      <c r="Z34" s="3030"/>
    </row>
    <row r="35" spans="1:26" s="177" customFormat="1" ht="15.75" customHeight="1" x14ac:dyDescent="0.25">
      <c r="A35" s="2548" t="s">
        <v>893</v>
      </c>
      <c r="B35" s="2607"/>
      <c r="C35" s="2607"/>
      <c r="D35" s="2607"/>
      <c r="E35" s="2607"/>
      <c r="F35" s="2607"/>
      <c r="G35" s="2607"/>
      <c r="H35" s="2607"/>
      <c r="I35" s="2607"/>
      <c r="J35" s="2607"/>
      <c r="K35" s="2607"/>
      <c r="L35" s="2607"/>
      <c r="M35" s="2607"/>
      <c r="N35" s="3030"/>
      <c r="O35" s="3030"/>
      <c r="P35" s="3030"/>
      <c r="Q35" s="3118"/>
      <c r="R35" s="3118"/>
      <c r="S35" s="3118"/>
      <c r="T35" s="3118"/>
      <c r="U35" s="3118"/>
      <c r="V35" s="3118"/>
      <c r="W35" s="3118"/>
      <c r="X35" s="3118"/>
      <c r="Y35" s="3030"/>
      <c r="Z35" s="3030"/>
    </row>
    <row r="36" spans="1:26" s="177" customFormat="1" ht="43.5" customHeight="1" x14ac:dyDescent="0.25">
      <c r="A36" s="2548" t="s">
        <v>810</v>
      </c>
      <c r="B36" s="2607"/>
      <c r="C36" s="2607"/>
      <c r="D36" s="2607"/>
      <c r="E36" s="2607"/>
      <c r="F36" s="2607"/>
      <c r="G36" s="2607"/>
      <c r="H36" s="2607"/>
      <c r="I36" s="2607"/>
      <c r="J36" s="2607"/>
      <c r="K36" s="2607"/>
      <c r="L36" s="2607"/>
      <c r="M36" s="2607"/>
      <c r="N36" s="3030"/>
      <c r="O36" s="3030"/>
      <c r="P36" s="3030"/>
      <c r="Q36" s="3118"/>
      <c r="R36" s="3118"/>
      <c r="S36" s="3118"/>
      <c r="T36" s="3118"/>
      <c r="U36" s="3118"/>
      <c r="V36" s="3118"/>
      <c r="W36" s="3118"/>
      <c r="X36" s="3118"/>
      <c r="Y36" s="3030"/>
      <c r="Z36" s="3030"/>
    </row>
    <row r="37" spans="1:26" s="177" customFormat="1" ht="105.75" customHeight="1" x14ac:dyDescent="0.25">
      <c r="A37" s="2548" t="s">
        <v>1194</v>
      </c>
      <c r="B37" s="2607"/>
      <c r="C37" s="2607"/>
      <c r="D37" s="2607"/>
      <c r="E37" s="2607"/>
      <c r="F37" s="2607"/>
      <c r="G37" s="2607"/>
      <c r="H37" s="2607"/>
      <c r="I37" s="2607"/>
      <c r="J37" s="2607"/>
      <c r="K37" s="2607"/>
      <c r="L37" s="2607"/>
      <c r="M37" s="2607"/>
      <c r="N37" s="3030"/>
      <c r="O37" s="3030"/>
      <c r="P37" s="3030"/>
      <c r="Q37" s="3118"/>
      <c r="R37" s="3118"/>
      <c r="S37" s="3118"/>
      <c r="T37" s="3118"/>
      <c r="U37" s="3118"/>
      <c r="V37" s="3118"/>
      <c r="W37" s="3118"/>
      <c r="X37" s="3118"/>
      <c r="Y37" s="3030"/>
      <c r="Z37" s="3030"/>
    </row>
    <row r="38" spans="1:26" s="177" customFormat="1" ht="15.75" customHeight="1" x14ac:dyDescent="0.25">
      <c r="A38" s="2548" t="s">
        <v>814</v>
      </c>
      <c r="B38" s="2607"/>
      <c r="C38" s="2607"/>
      <c r="D38" s="2607"/>
      <c r="E38" s="2607"/>
      <c r="F38" s="2607"/>
      <c r="G38" s="2607"/>
      <c r="H38" s="2607"/>
      <c r="I38" s="2607"/>
      <c r="J38" s="2607"/>
      <c r="K38" s="2607"/>
      <c r="L38" s="2607"/>
      <c r="M38" s="2607"/>
      <c r="N38" s="3030"/>
      <c r="O38" s="3030"/>
      <c r="P38" s="3030"/>
      <c r="Q38" s="3118"/>
      <c r="R38" s="3118"/>
      <c r="S38" s="3118"/>
      <c r="T38" s="3118"/>
      <c r="U38" s="3118"/>
      <c r="V38" s="3118"/>
      <c r="W38" s="3118"/>
      <c r="X38" s="3118"/>
      <c r="Y38" s="3030"/>
      <c r="Z38" s="3030"/>
    </row>
    <row r="39" spans="1:26" s="177" customFormat="1" ht="29.25" customHeight="1" x14ac:dyDescent="0.25">
      <c r="A39" s="2548" t="s">
        <v>1193</v>
      </c>
      <c r="B39" s="2607"/>
      <c r="C39" s="2607"/>
      <c r="D39" s="2607"/>
      <c r="E39" s="2607"/>
      <c r="F39" s="2607"/>
      <c r="G39" s="2607"/>
      <c r="H39" s="2607"/>
      <c r="I39" s="2607"/>
      <c r="J39" s="2607"/>
      <c r="K39" s="2607"/>
      <c r="L39" s="2607"/>
      <c r="M39" s="2607"/>
      <c r="N39" s="3030"/>
      <c r="O39" s="3030"/>
      <c r="P39" s="3030"/>
      <c r="Q39" s="3118"/>
      <c r="R39" s="3118"/>
      <c r="S39" s="3118"/>
      <c r="T39" s="3118"/>
      <c r="U39" s="3118"/>
      <c r="V39" s="3118"/>
      <c r="W39" s="3118"/>
      <c r="X39" s="3118"/>
      <c r="Y39" s="3030"/>
      <c r="Z39" s="3030"/>
    </row>
    <row r="40" spans="1:26" s="177" customFormat="1" ht="12.75" customHeight="1" x14ac:dyDescent="0.25">
      <c r="A40" s="2548" t="s">
        <v>1172</v>
      </c>
      <c r="B40" s="2607"/>
      <c r="C40" s="2607"/>
      <c r="D40" s="2607"/>
      <c r="E40" s="2607"/>
      <c r="F40" s="2607"/>
      <c r="G40" s="2607"/>
      <c r="H40" s="2607"/>
      <c r="I40" s="2607"/>
      <c r="J40" s="2607"/>
      <c r="K40" s="2607"/>
      <c r="L40" s="2607"/>
      <c r="M40" s="2607"/>
      <c r="N40" s="3030"/>
      <c r="O40" s="3030"/>
      <c r="P40" s="3030"/>
      <c r="Q40" s="3118"/>
      <c r="R40" s="3118"/>
      <c r="S40" s="3118"/>
      <c r="T40" s="3118"/>
      <c r="U40" s="3118"/>
      <c r="V40" s="3118"/>
      <c r="W40" s="3118"/>
      <c r="X40" s="3118"/>
      <c r="Y40" s="3030"/>
      <c r="Z40" s="3030"/>
    </row>
    <row r="41" spans="1:26" s="177" customFormat="1" ht="13.5" customHeight="1" x14ac:dyDescent="0.25">
      <c r="E41" s="3118"/>
      <c r="F41" s="3118"/>
      <c r="G41" s="3118"/>
      <c r="H41" s="3118"/>
      <c r="I41" s="3030"/>
      <c r="J41" s="3030"/>
      <c r="K41" s="3030"/>
      <c r="L41" s="3030"/>
      <c r="M41" s="3030"/>
      <c r="N41" s="3030"/>
      <c r="O41" s="3030"/>
      <c r="P41" s="3030"/>
      <c r="Q41" s="3118"/>
      <c r="R41" s="3118"/>
      <c r="S41" s="3118"/>
      <c r="T41" s="3118"/>
      <c r="U41" s="3118"/>
      <c r="V41" s="3118"/>
      <c r="W41" s="3118"/>
      <c r="X41" s="3118"/>
      <c r="Y41" s="3030"/>
      <c r="Z41" s="3030"/>
    </row>
    <row r="42" spans="1:26" s="173" customFormat="1" ht="15" customHeight="1" x14ac:dyDescent="0.25">
      <c r="E42" s="1221"/>
      <c r="F42" s="1221"/>
      <c r="G42" s="1221"/>
      <c r="H42" s="1221"/>
      <c r="I42" s="1651"/>
      <c r="J42" s="1651"/>
      <c r="K42" s="1651"/>
      <c r="L42" s="1651"/>
      <c r="M42" s="1651"/>
      <c r="N42" s="1651"/>
      <c r="O42" s="1651"/>
      <c r="P42" s="1651"/>
      <c r="Q42" s="1221"/>
      <c r="R42" s="1221"/>
      <c r="S42" s="1221"/>
      <c r="T42" s="1221"/>
      <c r="U42" s="1221"/>
      <c r="V42" s="1221"/>
      <c r="W42" s="1221"/>
      <c r="X42" s="1221"/>
      <c r="Y42" s="1651"/>
      <c r="Z42" s="1651"/>
    </row>
    <row r="43" spans="1:26" s="173" customFormat="1" ht="15" x14ac:dyDescent="0.25">
      <c r="E43" s="1221"/>
      <c r="F43" s="1221"/>
      <c r="G43" s="1221"/>
      <c r="H43" s="1221"/>
      <c r="I43" s="1651"/>
      <c r="J43" s="1651"/>
      <c r="K43" s="1651"/>
      <c r="L43" s="1651"/>
      <c r="M43" s="1651"/>
      <c r="N43" s="1651"/>
      <c r="O43" s="1651"/>
      <c r="P43" s="1651"/>
      <c r="Q43" s="1221"/>
      <c r="R43" s="1221"/>
      <c r="S43" s="1221"/>
      <c r="T43" s="1221"/>
      <c r="U43" s="1221"/>
      <c r="V43" s="1221"/>
      <c r="W43" s="1221"/>
      <c r="X43" s="1221"/>
      <c r="Y43" s="1651"/>
      <c r="Z43" s="1651"/>
    </row>
    <row r="44" spans="1:26" s="173" customFormat="1" ht="12.75" customHeight="1" x14ac:dyDescent="0.25">
      <c r="E44" s="1221"/>
      <c r="F44" s="1221"/>
      <c r="G44" s="1221"/>
      <c r="H44" s="1221"/>
      <c r="I44" s="1651"/>
      <c r="J44" s="1651"/>
      <c r="K44" s="1651"/>
      <c r="L44" s="1651"/>
      <c r="M44" s="1651"/>
      <c r="N44" s="1651"/>
      <c r="O44" s="1651"/>
      <c r="P44" s="1651"/>
      <c r="Q44" s="1221"/>
      <c r="R44" s="1221"/>
      <c r="S44" s="1221"/>
      <c r="T44" s="1221"/>
      <c r="U44" s="1221"/>
      <c r="V44" s="1221"/>
      <c r="W44" s="1221"/>
      <c r="X44" s="1221"/>
      <c r="Y44" s="1651"/>
      <c r="Z44" s="1651"/>
    </row>
    <row r="45" spans="1:26" s="173" customFormat="1" ht="15.75" customHeight="1" x14ac:dyDescent="0.25">
      <c r="E45" s="1221"/>
      <c r="F45" s="1221"/>
      <c r="G45" s="1221"/>
      <c r="H45" s="1221"/>
      <c r="I45" s="1651"/>
      <c r="J45" s="1651"/>
      <c r="K45" s="1651"/>
      <c r="L45" s="1651"/>
      <c r="M45" s="1651"/>
      <c r="N45" s="1651"/>
      <c r="O45" s="1651"/>
      <c r="P45" s="1651"/>
      <c r="Q45" s="1221"/>
      <c r="R45" s="1221"/>
      <c r="S45" s="1221"/>
      <c r="T45" s="1221"/>
      <c r="U45" s="1221"/>
      <c r="V45" s="1221"/>
      <c r="W45" s="1221"/>
      <c r="X45" s="1221"/>
      <c r="Y45" s="1651"/>
      <c r="Z45" s="1651"/>
    </row>
    <row r="46" spans="1:26" s="173" customFormat="1" ht="24.75" customHeight="1" x14ac:dyDescent="0.25">
      <c r="E46" s="1221"/>
      <c r="F46" s="1221"/>
      <c r="G46" s="1221"/>
      <c r="H46" s="1221"/>
      <c r="I46" s="1651"/>
      <c r="J46" s="1651"/>
      <c r="K46" s="1651"/>
      <c r="L46" s="1651"/>
      <c r="M46" s="1651"/>
      <c r="N46" s="1651"/>
      <c r="O46" s="1651"/>
      <c r="P46" s="1651"/>
      <c r="Q46" s="1221"/>
      <c r="R46" s="1221"/>
      <c r="S46" s="1221"/>
      <c r="T46" s="1221"/>
      <c r="U46" s="1221"/>
      <c r="V46" s="1221"/>
      <c r="W46" s="1221"/>
      <c r="X46" s="1221"/>
      <c r="Y46" s="1651"/>
      <c r="Z46" s="1651"/>
    </row>
    <row r="47" spans="1:26" s="173" customFormat="1" ht="24" customHeight="1" x14ac:dyDescent="0.25">
      <c r="E47" s="1221"/>
      <c r="F47" s="1221"/>
      <c r="G47" s="1221"/>
      <c r="H47" s="1221"/>
      <c r="I47" s="1651"/>
      <c r="J47" s="1651"/>
      <c r="K47" s="1651"/>
      <c r="L47" s="1651"/>
      <c r="M47" s="1651"/>
      <c r="N47" s="1651"/>
      <c r="O47" s="1651"/>
      <c r="P47" s="1651"/>
      <c r="Q47" s="1221"/>
      <c r="R47" s="1221"/>
      <c r="S47" s="1221"/>
      <c r="T47" s="1221"/>
      <c r="U47" s="1221"/>
      <c r="V47" s="1221"/>
      <c r="W47" s="1221"/>
      <c r="X47" s="1221"/>
      <c r="Y47" s="1651"/>
      <c r="Z47" s="1651"/>
    </row>
    <row r="48" spans="1:26" s="173" customFormat="1" ht="37.5" customHeight="1" x14ac:dyDescent="0.25">
      <c r="E48" s="1221"/>
      <c r="F48" s="1221"/>
      <c r="G48" s="1221"/>
      <c r="H48" s="1221"/>
      <c r="I48" s="1651"/>
      <c r="J48" s="1651"/>
      <c r="K48" s="1651"/>
      <c r="L48" s="1651"/>
      <c r="M48" s="1651"/>
      <c r="N48" s="1651"/>
      <c r="O48" s="1651"/>
      <c r="P48" s="1651"/>
      <c r="Q48" s="1221"/>
      <c r="R48" s="1221"/>
      <c r="S48" s="1221"/>
      <c r="T48" s="1221"/>
      <c r="U48" s="1221"/>
      <c r="V48" s="1221"/>
      <c r="W48" s="1221"/>
      <c r="X48" s="1221"/>
      <c r="Y48" s="1651"/>
      <c r="Z48" s="1651"/>
    </row>
    <row r="49" spans="1:26" s="173" customFormat="1" ht="15.75" customHeight="1" x14ac:dyDescent="0.25">
      <c r="E49" s="1221"/>
      <c r="F49" s="1221"/>
      <c r="G49" s="1221"/>
      <c r="H49" s="1221"/>
      <c r="I49" s="1651"/>
      <c r="J49" s="1651"/>
      <c r="K49" s="1651"/>
      <c r="L49" s="1651"/>
      <c r="M49" s="1651"/>
      <c r="N49" s="1651"/>
      <c r="O49" s="1651"/>
      <c r="P49" s="1651"/>
      <c r="Q49" s="1221"/>
      <c r="R49" s="1221"/>
      <c r="S49" s="1221"/>
      <c r="T49" s="1221"/>
      <c r="U49" s="1221"/>
      <c r="V49" s="1221"/>
      <c r="W49" s="1221"/>
      <c r="X49" s="1221"/>
      <c r="Y49" s="1651"/>
      <c r="Z49" s="1651"/>
    </row>
    <row r="50" spans="1:26" s="173" customFormat="1" ht="15.75" customHeight="1" x14ac:dyDescent="0.25">
      <c r="E50" s="1221"/>
      <c r="F50" s="1221"/>
      <c r="G50" s="1221"/>
      <c r="H50" s="1221"/>
      <c r="I50" s="1651"/>
      <c r="J50" s="1651"/>
      <c r="K50" s="1651"/>
      <c r="L50" s="1651"/>
      <c r="M50" s="1651"/>
      <c r="N50" s="1651"/>
      <c r="O50" s="1651"/>
      <c r="P50" s="1651"/>
      <c r="Q50" s="1221"/>
      <c r="R50" s="1221"/>
      <c r="S50" s="1221"/>
      <c r="T50" s="1221"/>
      <c r="U50" s="1221"/>
      <c r="V50" s="1221"/>
      <c r="W50" s="1221"/>
      <c r="X50" s="1221"/>
      <c r="Y50" s="1651"/>
      <c r="Z50" s="1651"/>
    </row>
    <row r="51" spans="1:26" s="173" customFormat="1" ht="15" customHeight="1" x14ac:dyDescent="0.25">
      <c r="E51" s="1221"/>
      <c r="F51" s="1221"/>
      <c r="G51" s="1221"/>
      <c r="H51" s="1221"/>
      <c r="I51" s="1651"/>
      <c r="J51" s="1651"/>
      <c r="K51" s="1651"/>
      <c r="L51" s="1651"/>
      <c r="M51" s="1651"/>
      <c r="N51" s="1651"/>
      <c r="O51" s="1651"/>
      <c r="P51" s="1651"/>
      <c r="Q51" s="1221"/>
      <c r="R51" s="1221"/>
      <c r="S51" s="1221"/>
      <c r="T51" s="1221"/>
      <c r="U51" s="1221"/>
      <c r="V51" s="1221"/>
      <c r="W51" s="1221"/>
      <c r="X51" s="1221"/>
      <c r="Y51" s="1651"/>
      <c r="Z51" s="1651"/>
    </row>
    <row r="52" spans="1:26" s="173" customFormat="1" ht="14.25" customHeight="1" x14ac:dyDescent="0.25">
      <c r="E52" s="1221"/>
      <c r="F52" s="1221"/>
      <c r="G52" s="1221"/>
      <c r="H52" s="1221"/>
      <c r="I52" s="1651"/>
      <c r="J52" s="1651"/>
      <c r="K52" s="1651"/>
      <c r="L52" s="1651"/>
      <c r="M52" s="1651"/>
      <c r="N52" s="1651"/>
      <c r="O52" s="1651"/>
      <c r="P52" s="1651"/>
      <c r="Q52" s="1221"/>
      <c r="R52" s="1221"/>
      <c r="S52" s="1221"/>
      <c r="T52" s="1221"/>
      <c r="U52" s="1221"/>
      <c r="V52" s="1221"/>
      <c r="W52" s="1221"/>
      <c r="X52" s="1221"/>
      <c r="Y52" s="1651"/>
      <c r="Z52" s="1651"/>
    </row>
    <row r="53" spans="1:26" s="173" customFormat="1" ht="16.5" customHeight="1" x14ac:dyDescent="0.25">
      <c r="E53" s="1221"/>
      <c r="F53" s="1221"/>
      <c r="G53" s="1221"/>
      <c r="H53" s="1221"/>
      <c r="I53" s="1651"/>
      <c r="J53" s="1651"/>
      <c r="K53" s="1651"/>
      <c r="L53" s="1651"/>
      <c r="M53" s="1651"/>
      <c r="N53" s="1651"/>
      <c r="O53" s="1651"/>
      <c r="P53" s="1651"/>
      <c r="Q53" s="1221"/>
      <c r="R53" s="1221"/>
      <c r="S53" s="1221"/>
      <c r="T53" s="1221"/>
      <c r="U53" s="1221"/>
      <c r="V53" s="1221"/>
      <c r="W53" s="1221"/>
      <c r="X53" s="1221"/>
      <c r="Y53" s="1651"/>
      <c r="Z53" s="1651"/>
    </row>
    <row r="54" spans="1:26" s="173" customFormat="1" ht="18.75" customHeight="1" x14ac:dyDescent="0.25">
      <c r="E54" s="1221"/>
      <c r="F54" s="1221"/>
      <c r="G54" s="1221"/>
      <c r="H54" s="1221"/>
      <c r="I54" s="1651"/>
      <c r="J54" s="1651"/>
      <c r="K54" s="1651"/>
      <c r="L54" s="1651"/>
      <c r="M54" s="1651"/>
      <c r="N54" s="1651"/>
      <c r="O54" s="1651"/>
      <c r="P54" s="1651"/>
      <c r="Q54" s="1221"/>
      <c r="R54" s="1221"/>
      <c r="S54" s="1221"/>
      <c r="T54" s="1221"/>
      <c r="U54" s="1221"/>
      <c r="V54" s="1221"/>
      <c r="W54" s="1221"/>
      <c r="X54" s="1221"/>
      <c r="Y54" s="1651"/>
      <c r="Z54" s="1651"/>
    </row>
    <row r="55" spans="1:26" x14ac:dyDescent="0.25">
      <c r="A55" s="82"/>
      <c r="B55" s="87"/>
      <c r="C55" s="87"/>
      <c r="D55" s="87"/>
      <c r="E55" s="3119"/>
      <c r="F55" s="3119"/>
      <c r="G55" s="3119"/>
      <c r="H55" s="3119"/>
      <c r="I55" s="585"/>
      <c r="J55" s="585"/>
      <c r="K55" s="585"/>
      <c r="L55" s="585"/>
      <c r="M55" s="585"/>
      <c r="N55" s="585"/>
      <c r="O55" s="585"/>
      <c r="P55" s="585"/>
      <c r="Q55" s="3027"/>
      <c r="R55" s="3027"/>
      <c r="S55" s="3027"/>
      <c r="T55" s="3027"/>
      <c r="U55" s="3027"/>
      <c r="V55" s="3027"/>
      <c r="W55" s="3027"/>
      <c r="X55" s="3027"/>
    </row>
    <row r="56" spans="1:26" ht="15.75" customHeight="1" x14ac:dyDescent="0.25">
      <c r="A56" s="2802"/>
      <c r="B56" s="2802"/>
      <c r="C56" s="2802"/>
      <c r="D56" s="2802"/>
      <c r="E56" s="2802"/>
      <c r="F56" s="2802"/>
      <c r="G56" s="2802"/>
      <c r="H56" s="2802"/>
      <c r="I56" s="2802"/>
      <c r="J56" s="2802"/>
      <c r="K56" s="2802"/>
      <c r="L56" s="2802"/>
      <c r="M56" s="2802"/>
      <c r="N56" s="2802"/>
      <c r="O56" s="2802"/>
      <c r="P56" s="2802"/>
      <c r="Q56" s="2802"/>
      <c r="R56" s="2802"/>
      <c r="S56" s="2802"/>
      <c r="T56" s="2802"/>
      <c r="U56" s="2802"/>
      <c r="V56" s="3027"/>
      <c r="W56" s="3027"/>
      <c r="X56" s="3027"/>
    </row>
    <row r="57" spans="1:26" ht="15.75" x14ac:dyDescent="0.25">
      <c r="A57" s="88"/>
      <c r="B57" s="89"/>
      <c r="C57" s="89"/>
      <c r="D57" s="89"/>
      <c r="E57" s="3120"/>
      <c r="F57" s="3120"/>
      <c r="G57" s="3120"/>
      <c r="H57" s="3120"/>
      <c r="I57" s="598"/>
      <c r="J57" s="598"/>
      <c r="K57" s="598"/>
      <c r="L57" s="598"/>
      <c r="M57" s="598"/>
      <c r="N57" s="598"/>
      <c r="O57" s="598"/>
      <c r="P57" s="598"/>
    </row>
    <row r="58" spans="1:26" x14ac:dyDescent="0.25">
      <c r="A58" s="30"/>
      <c r="B58" s="89"/>
      <c r="C58" s="89"/>
      <c r="D58" s="89"/>
      <c r="E58" s="3120"/>
      <c r="F58" s="3120"/>
      <c r="G58" s="3120"/>
      <c r="H58" s="3120"/>
      <c r="I58" s="598"/>
      <c r="J58" s="598"/>
      <c r="K58" s="598"/>
      <c r="L58" s="598"/>
      <c r="M58" s="598"/>
      <c r="N58" s="598"/>
      <c r="O58" s="598"/>
      <c r="P58" s="598"/>
    </row>
    <row r="59" spans="1:26" x14ac:dyDescent="0.25">
      <c r="A59" s="90"/>
      <c r="B59" s="91"/>
      <c r="C59" s="91"/>
      <c r="D59" s="91"/>
      <c r="E59" s="3121"/>
      <c r="F59" s="3121"/>
      <c r="G59" s="3121"/>
      <c r="H59" s="3121"/>
      <c r="I59" s="3122"/>
      <c r="J59" s="3122"/>
      <c r="K59" s="3122"/>
      <c r="L59" s="3122"/>
      <c r="M59" s="3122"/>
      <c r="N59" s="3122"/>
      <c r="O59" s="3122"/>
      <c r="P59" s="3122"/>
    </row>
    <row r="60" spans="1:26" x14ac:dyDescent="0.25">
      <c r="A60" s="90"/>
      <c r="B60" s="91"/>
      <c r="C60" s="91"/>
      <c r="D60" s="91"/>
      <c r="E60" s="3121"/>
      <c r="F60" s="3121"/>
      <c r="G60" s="3121"/>
      <c r="H60" s="3121"/>
      <c r="I60" s="3122"/>
      <c r="J60" s="3122"/>
      <c r="K60" s="3122"/>
      <c r="L60" s="3122"/>
      <c r="M60" s="3122"/>
      <c r="N60" s="3122"/>
      <c r="O60" s="3122"/>
      <c r="P60" s="3122"/>
    </row>
    <row r="61" spans="1:26" x14ac:dyDescent="0.25">
      <c r="A61" s="90"/>
      <c r="B61" s="91"/>
      <c r="C61" s="91"/>
      <c r="D61" s="91"/>
      <c r="E61" s="3121"/>
      <c r="F61" s="3121"/>
      <c r="G61" s="3121"/>
      <c r="H61" s="3121"/>
      <c r="I61" s="3122"/>
      <c r="J61" s="3122"/>
      <c r="K61" s="3122"/>
      <c r="L61" s="3122"/>
      <c r="M61" s="3122"/>
      <c r="N61" s="3122"/>
      <c r="O61" s="3122"/>
      <c r="P61" s="3122"/>
    </row>
    <row r="62" spans="1:26" x14ac:dyDescent="0.25">
      <c r="A62" s="90"/>
      <c r="B62" s="91"/>
      <c r="C62" s="91"/>
      <c r="D62" s="91"/>
      <c r="E62" s="3121"/>
      <c r="F62" s="3121"/>
      <c r="G62" s="3121"/>
      <c r="H62" s="3121"/>
      <c r="I62" s="3122"/>
      <c r="J62" s="3122"/>
      <c r="K62" s="3122"/>
      <c r="L62" s="3122"/>
      <c r="M62" s="3122"/>
      <c r="N62" s="3122"/>
      <c r="O62" s="3122"/>
      <c r="P62" s="3122"/>
    </row>
    <row r="63" spans="1:26" x14ac:dyDescent="0.25">
      <c r="A63" s="90"/>
      <c r="B63" s="91"/>
      <c r="C63" s="91"/>
      <c r="D63" s="91"/>
      <c r="E63" s="3121"/>
      <c r="F63" s="3121"/>
      <c r="G63" s="3121"/>
      <c r="H63" s="3121"/>
      <c r="I63" s="3122"/>
      <c r="J63" s="3122"/>
      <c r="K63" s="3122"/>
      <c r="L63" s="3122"/>
      <c r="M63" s="3122"/>
      <c r="N63" s="3122"/>
      <c r="O63" s="3122"/>
      <c r="P63" s="3122"/>
    </row>
    <row r="64" spans="1:26" x14ac:dyDescent="0.25">
      <c r="A64" s="90"/>
      <c r="B64" s="91"/>
      <c r="C64" s="91"/>
      <c r="D64" s="91"/>
      <c r="E64" s="3121"/>
      <c r="F64" s="3121"/>
      <c r="G64" s="3121"/>
      <c r="H64" s="3121"/>
      <c r="I64" s="3122"/>
      <c r="J64" s="3122"/>
      <c r="K64" s="3122"/>
      <c r="L64" s="3122"/>
      <c r="M64" s="3122"/>
      <c r="N64" s="3122"/>
      <c r="O64" s="3122"/>
      <c r="P64" s="3122"/>
    </row>
    <row r="65" spans="1:16" x14ac:dyDescent="0.25">
      <c r="A65" s="90"/>
      <c r="B65" s="91"/>
      <c r="C65" s="91"/>
      <c r="D65" s="91"/>
      <c r="E65" s="3121"/>
      <c r="F65" s="3121"/>
      <c r="G65" s="3121"/>
      <c r="H65" s="3121"/>
      <c r="I65" s="3122"/>
      <c r="J65" s="3122"/>
      <c r="K65" s="3122"/>
      <c r="L65" s="3122"/>
      <c r="M65" s="3122"/>
      <c r="N65" s="3122"/>
      <c r="O65" s="3122"/>
      <c r="P65" s="3122"/>
    </row>
    <row r="66" spans="1:16" x14ac:dyDescent="0.25">
      <c r="A66" s="90"/>
      <c r="B66" s="91"/>
      <c r="C66" s="91"/>
      <c r="D66" s="91"/>
      <c r="E66" s="3121"/>
      <c r="F66" s="3121"/>
      <c r="G66" s="3121"/>
      <c r="H66" s="3121"/>
      <c r="I66" s="3122"/>
      <c r="J66" s="3122"/>
      <c r="K66" s="3122"/>
      <c r="L66" s="3122"/>
      <c r="M66" s="3122"/>
      <c r="N66" s="3122"/>
      <c r="O66" s="3122"/>
      <c r="P66" s="3122"/>
    </row>
    <row r="67" spans="1:16" x14ac:dyDescent="0.25">
      <c r="A67" s="90"/>
      <c r="B67" s="91"/>
      <c r="C67" s="91"/>
      <c r="D67" s="91"/>
      <c r="E67" s="3121"/>
      <c r="F67" s="3121"/>
      <c r="G67" s="3121"/>
      <c r="H67" s="3121"/>
      <c r="I67" s="3122"/>
      <c r="J67" s="3122"/>
      <c r="K67" s="3122"/>
      <c r="L67" s="3122"/>
      <c r="M67" s="3122"/>
      <c r="N67" s="3122"/>
      <c r="O67" s="3122"/>
      <c r="P67" s="3122"/>
    </row>
  </sheetData>
  <mergeCells count="44">
    <mergeCell ref="A38:M38"/>
    <mergeCell ref="A39:M39"/>
    <mergeCell ref="A40:M40"/>
    <mergeCell ref="A56:U56"/>
    <mergeCell ref="B30:D30"/>
    <mergeCell ref="B31:D31"/>
    <mergeCell ref="A34:M34"/>
    <mergeCell ref="A35:M35"/>
    <mergeCell ref="A36:M36"/>
    <mergeCell ref="A37:M37"/>
    <mergeCell ref="K18:M18"/>
    <mergeCell ref="B21:B28"/>
    <mergeCell ref="C21:C26"/>
    <mergeCell ref="C27:D27"/>
    <mergeCell ref="C28:D28"/>
    <mergeCell ref="B29:D29"/>
    <mergeCell ref="B13:D13"/>
    <mergeCell ref="B14:D14"/>
    <mergeCell ref="A18:A20"/>
    <mergeCell ref="B18:D20"/>
    <mergeCell ref="E18:G18"/>
    <mergeCell ref="H18:J18"/>
    <mergeCell ref="Q7:R7"/>
    <mergeCell ref="B9:B11"/>
    <mergeCell ref="C9:D9"/>
    <mergeCell ref="C10:D10"/>
    <mergeCell ref="C11:D11"/>
    <mergeCell ref="B12:D12"/>
    <mergeCell ref="E7:F7"/>
    <mergeCell ref="G7:H7"/>
    <mergeCell ref="I7:J7"/>
    <mergeCell ref="K7:L7"/>
    <mergeCell ref="M7:N7"/>
    <mergeCell ref="O7:P7"/>
    <mergeCell ref="A5:A8"/>
    <mergeCell ref="B5:D8"/>
    <mergeCell ref="E5:Z5"/>
    <mergeCell ref="E6:H6"/>
    <mergeCell ref="I6:L6"/>
    <mergeCell ref="M6:R6"/>
    <mergeCell ref="S6:T7"/>
    <mergeCell ref="U6:V7"/>
    <mergeCell ref="W6:X7"/>
    <mergeCell ref="Y6:Z7"/>
  </mergeCells>
  <printOptions horizontalCentered="1"/>
  <pageMargins left="0" right="0" top="0.98425196850393704" bottom="0.98425196850393704" header="0.51181102362204722" footer="0.51181102362204722"/>
  <pageSetup paperSize="9" scale="60" orientation="landscape" cellComments="asDisplaye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pageSetUpPr fitToPage="1"/>
  </sheetPr>
  <dimension ref="A2:J78"/>
  <sheetViews>
    <sheetView topLeftCell="A42" workbookViewId="0">
      <selection activeCell="F63" sqref="F63"/>
    </sheetView>
  </sheetViews>
  <sheetFormatPr defaultRowHeight="15" x14ac:dyDescent="0.25"/>
  <cols>
    <col min="2" max="2" width="8.28515625" customWidth="1"/>
    <col min="3" max="3" width="9" customWidth="1"/>
    <col min="4" max="4" width="23.85546875" bestFit="1" customWidth="1"/>
    <col min="5" max="5" width="7.28515625" customWidth="1"/>
    <col min="6" max="6" width="38.7109375" bestFit="1" customWidth="1"/>
    <col min="7" max="7" width="5.140625" customWidth="1"/>
    <col min="8" max="8" width="12.7109375" bestFit="1" customWidth="1"/>
    <col min="9" max="9" width="26.42578125" bestFit="1" customWidth="1"/>
  </cols>
  <sheetData>
    <row r="2" spans="2:9" ht="18.75" x14ac:dyDescent="0.25">
      <c r="B2" s="809" t="s">
        <v>1203</v>
      </c>
    </row>
    <row r="3" spans="2:9" ht="26.25" x14ac:dyDescent="0.25">
      <c r="B3" s="2816" t="s">
        <v>1420</v>
      </c>
      <c r="C3" s="2816"/>
      <c r="D3" s="2816"/>
      <c r="E3" s="2816"/>
      <c r="F3" s="2816"/>
      <c r="G3" s="2816"/>
      <c r="H3" s="2816"/>
      <c r="I3" s="2816"/>
    </row>
    <row r="4" spans="2:9" x14ac:dyDescent="0.25">
      <c r="B4" s="1226"/>
      <c r="C4" s="1226"/>
      <c r="D4" s="1226"/>
      <c r="E4" s="1226"/>
      <c r="F4" s="1226"/>
      <c r="G4" s="1226"/>
      <c r="H4" s="1227"/>
      <c r="I4" s="1228"/>
    </row>
    <row r="5" spans="2:9" x14ac:dyDescent="0.25">
      <c r="B5" s="1226"/>
      <c r="C5" s="1226"/>
      <c r="D5" s="1226"/>
      <c r="E5" s="1226"/>
      <c r="F5" s="1226"/>
      <c r="G5" s="1226"/>
      <c r="H5" s="1227"/>
      <c r="I5" s="1228"/>
    </row>
    <row r="6" spans="2:9" ht="15.75" x14ac:dyDescent="0.25">
      <c r="B6" s="1229" t="s">
        <v>1421</v>
      </c>
      <c r="C6" s="1230"/>
      <c r="D6" s="1230"/>
      <c r="E6" s="1230"/>
      <c r="F6" s="1230"/>
      <c r="G6" s="1230"/>
      <c r="H6" s="1231"/>
      <c r="I6" s="1232"/>
    </row>
    <row r="7" spans="2:9" x14ac:dyDescent="0.25">
      <c r="B7" s="1230"/>
      <c r="C7" s="1230"/>
      <c r="D7" s="1230"/>
      <c r="E7" s="1230"/>
      <c r="F7" s="1230"/>
      <c r="G7" s="1230"/>
      <c r="H7" s="1231"/>
      <c r="I7" s="1232"/>
    </row>
    <row r="8" spans="2:9" x14ac:dyDescent="0.25">
      <c r="B8" s="1233" t="s">
        <v>1422</v>
      </c>
      <c r="C8" s="1233" t="s">
        <v>1423</v>
      </c>
      <c r="D8" s="1233" t="s">
        <v>1424</v>
      </c>
      <c r="E8" s="1233" t="s">
        <v>1425</v>
      </c>
      <c r="F8" s="1233" t="s">
        <v>1426</v>
      </c>
      <c r="G8" s="1233" t="s">
        <v>1427</v>
      </c>
      <c r="H8" s="1233" t="s">
        <v>1428</v>
      </c>
      <c r="I8" s="1234" t="s">
        <v>1429</v>
      </c>
    </row>
    <row r="9" spans="2:9" x14ac:dyDescent="0.25">
      <c r="B9" s="1235"/>
      <c r="C9" s="1236"/>
      <c r="D9" s="1236"/>
      <c r="E9" s="1235"/>
      <c r="F9" s="1236"/>
      <c r="G9" s="1235"/>
      <c r="H9" s="1237"/>
      <c r="I9" s="1238"/>
    </row>
    <row r="10" spans="2:9" x14ac:dyDescent="0.25">
      <c r="B10" s="1239">
        <v>549</v>
      </c>
      <c r="C10" s="1240">
        <v>549445</v>
      </c>
      <c r="D10" s="1241" t="s">
        <v>1430</v>
      </c>
      <c r="E10" s="1242" t="s">
        <v>1431</v>
      </c>
      <c r="F10" s="1243" t="s">
        <v>1432</v>
      </c>
      <c r="G10" s="1242" t="s">
        <v>1433</v>
      </c>
      <c r="H10" s="1244">
        <v>310000</v>
      </c>
      <c r="I10" s="1238"/>
    </row>
    <row r="11" spans="2:9" x14ac:dyDescent="0.25">
      <c r="B11" s="1239">
        <v>549</v>
      </c>
      <c r="C11" s="1240">
        <v>549446</v>
      </c>
      <c r="D11" s="1241" t="s">
        <v>1434</v>
      </c>
      <c r="E11" s="1242" t="s">
        <v>1431</v>
      </c>
      <c r="F11" s="1243" t="s">
        <v>1432</v>
      </c>
      <c r="G11" s="1242" t="s">
        <v>1433</v>
      </c>
      <c r="H11" s="1244">
        <v>2687086</v>
      </c>
      <c r="I11" s="1238"/>
    </row>
    <row r="12" spans="2:9" x14ac:dyDescent="0.25">
      <c r="B12" s="1239">
        <v>549</v>
      </c>
      <c r="C12" s="1240">
        <v>549448</v>
      </c>
      <c r="D12" s="1241" t="s">
        <v>1435</v>
      </c>
      <c r="E12" s="1242" t="s">
        <v>1431</v>
      </c>
      <c r="F12" s="1243" t="s">
        <v>1432</v>
      </c>
      <c r="G12" s="1242" t="s">
        <v>1433</v>
      </c>
      <c r="H12" s="1244">
        <v>372000</v>
      </c>
      <c r="I12" s="1238"/>
    </row>
    <row r="13" spans="2:9" x14ac:dyDescent="0.25">
      <c r="B13" s="1239"/>
      <c r="C13" s="1245"/>
      <c r="D13" s="1246"/>
      <c r="E13" s="1242"/>
      <c r="F13" s="1236"/>
      <c r="G13" s="1242"/>
      <c r="H13" s="1247">
        <f>SUM(H10:H12)</f>
        <v>3369086</v>
      </c>
      <c r="I13" s="1238"/>
    </row>
    <row r="14" spans="2:9" x14ac:dyDescent="0.25">
      <c r="B14" s="1239">
        <v>549</v>
      </c>
      <c r="C14" s="1240">
        <v>549449</v>
      </c>
      <c r="D14" s="1241" t="s">
        <v>1436</v>
      </c>
      <c r="E14" s="1242" t="s">
        <v>1431</v>
      </c>
      <c r="F14" s="1243" t="s">
        <v>1432</v>
      </c>
      <c r="G14" s="1242" t="s">
        <v>1433</v>
      </c>
      <c r="H14" s="1244">
        <v>520809.15</v>
      </c>
      <c r="I14" s="1238"/>
    </row>
    <row r="15" spans="2:9" x14ac:dyDescent="0.25">
      <c r="B15" s="1239"/>
      <c r="C15" s="1245"/>
      <c r="D15" s="1246"/>
      <c r="E15" s="1242"/>
      <c r="F15" s="1236"/>
      <c r="G15" s="1242"/>
      <c r="H15" s="1247">
        <f>SUM(H14)</f>
        <v>520809.15</v>
      </c>
      <c r="I15" s="1238"/>
    </row>
    <row r="16" spans="2:9" x14ac:dyDescent="0.25">
      <c r="B16" s="1239">
        <v>549</v>
      </c>
      <c r="C16" s="1245">
        <v>549492</v>
      </c>
      <c r="D16" s="1248" t="s">
        <v>1437</v>
      </c>
      <c r="E16" s="1242" t="s">
        <v>1431</v>
      </c>
      <c r="F16" s="1249" t="s">
        <v>1438</v>
      </c>
      <c r="G16" s="1242" t="s">
        <v>1433</v>
      </c>
      <c r="H16" s="1250">
        <v>108760</v>
      </c>
      <c r="I16" s="1238"/>
    </row>
    <row r="17" spans="1:10" x14ac:dyDescent="0.25">
      <c r="B17" s="1239">
        <v>549</v>
      </c>
      <c r="C17" s="1245">
        <v>549492</v>
      </c>
      <c r="D17" s="1248" t="s">
        <v>1437</v>
      </c>
      <c r="E17" s="1242" t="s">
        <v>1431</v>
      </c>
      <c r="F17" s="1249" t="s">
        <v>1439</v>
      </c>
      <c r="G17" s="1242" t="s">
        <v>1433</v>
      </c>
      <c r="H17" s="1250">
        <v>787773.42</v>
      </c>
      <c r="I17" s="1238"/>
    </row>
    <row r="18" spans="1:10" x14ac:dyDescent="0.25">
      <c r="B18" s="1239">
        <v>549</v>
      </c>
      <c r="C18" s="1245">
        <v>549492</v>
      </c>
      <c r="D18" s="1248" t="s">
        <v>1437</v>
      </c>
      <c r="E18" s="1242" t="s">
        <v>1431</v>
      </c>
      <c r="F18" s="1249" t="s">
        <v>1440</v>
      </c>
      <c r="G18" s="1242" t="s">
        <v>1433</v>
      </c>
      <c r="H18" s="1250">
        <v>144216.95000000001</v>
      </c>
      <c r="I18" s="1238"/>
    </row>
    <row r="19" spans="1:10" x14ac:dyDescent="0.25">
      <c r="B19" s="1239">
        <v>549</v>
      </c>
      <c r="C19" s="1245">
        <v>549492</v>
      </c>
      <c r="D19" s="1248" t="s">
        <v>1437</v>
      </c>
      <c r="E19" s="1242" t="s">
        <v>1431</v>
      </c>
      <c r="F19" s="1249" t="s">
        <v>1441</v>
      </c>
      <c r="G19" s="1242" t="s">
        <v>1433</v>
      </c>
      <c r="H19" s="1250">
        <v>533853.81999999995</v>
      </c>
      <c r="I19" s="1238"/>
    </row>
    <row r="20" spans="1:10" x14ac:dyDescent="0.25">
      <c r="B20" s="1239"/>
      <c r="C20" s="1245"/>
      <c r="D20" s="1246"/>
      <c r="E20" s="1242"/>
      <c r="F20" s="1236"/>
      <c r="G20" s="1242"/>
      <c r="H20" s="1251">
        <f>SUM(H16:H19)</f>
        <v>1574604.19</v>
      </c>
      <c r="I20" s="1238"/>
    </row>
    <row r="21" spans="1:10" x14ac:dyDescent="0.25">
      <c r="B21" s="1239">
        <v>549</v>
      </c>
      <c r="C21" s="1245">
        <v>549493</v>
      </c>
      <c r="D21" s="1248" t="s">
        <v>1442</v>
      </c>
      <c r="E21" s="1242" t="s">
        <v>1431</v>
      </c>
      <c r="F21" s="1249" t="s">
        <v>1443</v>
      </c>
      <c r="G21" s="1242" t="s">
        <v>1433</v>
      </c>
      <c r="H21" s="1250">
        <v>2013842.21</v>
      </c>
      <c r="I21" s="1238"/>
    </row>
    <row r="22" spans="1:10" x14ac:dyDescent="0.25">
      <c r="B22" s="1239">
        <v>549</v>
      </c>
      <c r="C22" s="1245">
        <v>549493</v>
      </c>
      <c r="D22" s="1248" t="s">
        <v>1442</v>
      </c>
      <c r="E22" s="1242" t="s">
        <v>1431</v>
      </c>
      <c r="F22" s="1249" t="s">
        <v>1444</v>
      </c>
      <c r="G22" s="1242" t="s">
        <v>1433</v>
      </c>
      <c r="H22" s="1250">
        <v>998472.95</v>
      </c>
      <c r="I22" s="1238"/>
    </row>
    <row r="23" spans="1:10" x14ac:dyDescent="0.25">
      <c r="B23" s="1239">
        <v>549</v>
      </c>
      <c r="C23" s="1245">
        <v>549493</v>
      </c>
      <c r="D23" s="1248" t="s">
        <v>1442</v>
      </c>
      <c r="E23" s="1242" t="s">
        <v>1431</v>
      </c>
      <c r="F23" s="1249" t="s">
        <v>1445</v>
      </c>
      <c r="G23" s="1242" t="s">
        <v>1433</v>
      </c>
      <c r="H23" s="1250">
        <v>150000</v>
      </c>
      <c r="I23" s="1238"/>
    </row>
    <row r="24" spans="1:10" x14ac:dyDescent="0.25">
      <c r="B24" s="1239"/>
      <c r="C24" s="1245"/>
      <c r="D24" s="1246"/>
      <c r="E24" s="1242"/>
      <c r="F24" s="1236"/>
      <c r="G24" s="1242"/>
      <c r="H24" s="1251">
        <f>SUM(H21:H23)</f>
        <v>3162315.16</v>
      </c>
      <c r="I24" s="1238"/>
    </row>
    <row r="25" spans="1:10" x14ac:dyDescent="0.25">
      <c r="B25" s="1239">
        <v>549</v>
      </c>
      <c r="C25" s="1245">
        <v>549494</v>
      </c>
      <c r="D25" s="1248" t="s">
        <v>1446</v>
      </c>
      <c r="E25" s="1242" t="s">
        <v>1431</v>
      </c>
      <c r="F25" s="1249" t="s">
        <v>1439</v>
      </c>
      <c r="G25" s="1242" t="s">
        <v>1433</v>
      </c>
      <c r="H25" s="1250">
        <v>29160</v>
      </c>
      <c r="I25" s="1238"/>
    </row>
    <row r="26" spans="1:10" x14ac:dyDescent="0.25">
      <c r="B26" s="1239">
        <v>549</v>
      </c>
      <c r="C26" s="1245">
        <v>549495</v>
      </c>
      <c r="D26" s="1248" t="s">
        <v>1447</v>
      </c>
      <c r="E26" s="1242" t="s">
        <v>1431</v>
      </c>
      <c r="F26" s="1249" t="s">
        <v>1448</v>
      </c>
      <c r="G26" s="1242" t="s">
        <v>1433</v>
      </c>
      <c r="H26" s="1250">
        <v>2339830.35</v>
      </c>
      <c r="I26" s="1238"/>
    </row>
    <row r="27" spans="1:10" x14ac:dyDescent="0.25">
      <c r="B27" s="1252">
        <v>549</v>
      </c>
      <c r="C27" s="1253">
        <v>549495</v>
      </c>
      <c r="D27" s="1254" t="s">
        <v>1447</v>
      </c>
      <c r="E27" s="1255" t="s">
        <v>1431</v>
      </c>
      <c r="F27" s="1256" t="s">
        <v>1449</v>
      </c>
      <c r="G27" s="1255" t="s">
        <v>1433</v>
      </c>
      <c r="H27" s="1257">
        <v>3071030.39</v>
      </c>
      <c r="I27" s="1258" t="s">
        <v>1450</v>
      </c>
    </row>
    <row r="28" spans="1:10" x14ac:dyDescent="0.25">
      <c r="B28" s="1239">
        <v>549</v>
      </c>
      <c r="C28" s="1245">
        <v>549495</v>
      </c>
      <c r="D28" s="1248" t="s">
        <v>1447</v>
      </c>
      <c r="E28" s="1242" t="s">
        <v>1431</v>
      </c>
      <c r="F28" s="1249" t="s">
        <v>1441</v>
      </c>
      <c r="G28" s="1242" t="s">
        <v>1433</v>
      </c>
      <c r="H28" s="1250">
        <v>1349457.62</v>
      </c>
      <c r="I28" s="1238"/>
    </row>
    <row r="29" spans="1:10" x14ac:dyDescent="0.25">
      <c r="B29" s="1239">
        <v>549</v>
      </c>
      <c r="C29" s="1245">
        <v>549496</v>
      </c>
      <c r="D29" s="1248" t="s">
        <v>1451</v>
      </c>
      <c r="E29" s="1242" t="s">
        <v>1431</v>
      </c>
      <c r="F29" s="1249" t="s">
        <v>1439</v>
      </c>
      <c r="G29" s="1242" t="s">
        <v>1433</v>
      </c>
      <c r="H29" s="1250">
        <v>581000</v>
      </c>
      <c r="I29" s="1238"/>
    </row>
    <row r="30" spans="1:10" x14ac:dyDescent="0.25">
      <c r="B30" s="1239">
        <v>549</v>
      </c>
      <c r="C30" s="1245">
        <v>549497</v>
      </c>
      <c r="D30" s="1248" t="s">
        <v>1452</v>
      </c>
      <c r="E30" s="1242" t="s">
        <v>1431</v>
      </c>
      <c r="F30" s="1249" t="s">
        <v>1439</v>
      </c>
      <c r="G30" s="1242" t="s">
        <v>1433</v>
      </c>
      <c r="H30" s="1250">
        <v>4995000</v>
      </c>
      <c r="I30" s="1238"/>
    </row>
    <row r="31" spans="1:10" x14ac:dyDescent="0.25">
      <c r="A31" s="2430"/>
      <c r="B31" s="2431">
        <v>549</v>
      </c>
      <c r="C31" s="2432">
        <v>549498</v>
      </c>
      <c r="D31" s="2433" t="s">
        <v>1453</v>
      </c>
      <c r="E31" s="2434" t="s">
        <v>1431</v>
      </c>
      <c r="F31" s="2435" t="s">
        <v>1438</v>
      </c>
      <c r="G31" s="2434" t="s">
        <v>1433</v>
      </c>
      <c r="H31" s="2436">
        <v>2037500</v>
      </c>
      <c r="I31" s="2437"/>
      <c r="J31" s="2430"/>
    </row>
    <row r="32" spans="1:10" x14ac:dyDescent="0.25">
      <c r="B32" s="1239">
        <v>549</v>
      </c>
      <c r="C32" s="1245">
        <v>549498</v>
      </c>
      <c r="D32" s="2424" t="s">
        <v>1453</v>
      </c>
      <c r="E32" s="1242" t="s">
        <v>1431</v>
      </c>
      <c r="F32" s="2425" t="s">
        <v>1439</v>
      </c>
      <c r="G32" s="1242" t="s">
        <v>1433</v>
      </c>
      <c r="H32" s="2426">
        <v>4220905.34</v>
      </c>
      <c r="I32" s="2427" t="s">
        <v>1923</v>
      </c>
    </row>
    <row r="33" spans="2:9" x14ac:dyDescent="0.25">
      <c r="B33" s="1239">
        <v>549</v>
      </c>
      <c r="C33" s="1245">
        <v>549498</v>
      </c>
      <c r="D33" s="1248" t="s">
        <v>1453</v>
      </c>
      <c r="E33" s="1242" t="s">
        <v>1431</v>
      </c>
      <c r="F33" s="1249" t="s">
        <v>1440</v>
      </c>
      <c r="G33" s="1242" t="s">
        <v>1433</v>
      </c>
      <c r="H33" s="1250">
        <v>100583</v>
      </c>
      <c r="I33" s="1238"/>
    </row>
    <row r="34" spans="2:9" x14ac:dyDescent="0.25">
      <c r="B34" s="1239">
        <v>549</v>
      </c>
      <c r="C34" s="1245">
        <v>549498</v>
      </c>
      <c r="D34" s="1248" t="s">
        <v>1453</v>
      </c>
      <c r="E34" s="1242" t="s">
        <v>1431</v>
      </c>
      <c r="F34" s="1249" t="s">
        <v>1441</v>
      </c>
      <c r="G34" s="1242" t="s">
        <v>1433</v>
      </c>
      <c r="H34" s="1250">
        <v>363739.4</v>
      </c>
      <c r="I34" s="1238"/>
    </row>
    <row r="35" spans="2:9" x14ac:dyDescent="0.25">
      <c r="B35" s="1239"/>
      <c r="C35" s="1245"/>
      <c r="D35" s="1246"/>
      <c r="E35" s="1242"/>
      <c r="F35" s="1236"/>
      <c r="G35" s="1242"/>
      <c r="H35" s="1251">
        <f>SUM(H25:H34)</f>
        <v>19088206.099999998</v>
      </c>
      <c r="I35" s="1238"/>
    </row>
    <row r="36" spans="2:9" x14ac:dyDescent="0.25">
      <c r="B36" s="1239">
        <v>549</v>
      </c>
      <c r="C36" s="1259">
        <v>549499</v>
      </c>
      <c r="D36" s="1260" t="s">
        <v>1454</v>
      </c>
      <c r="E36" s="1242" t="s">
        <v>1431</v>
      </c>
      <c r="F36" s="1261" t="s">
        <v>1455</v>
      </c>
      <c r="G36" s="1242" t="s">
        <v>1433</v>
      </c>
      <c r="H36" s="1262">
        <v>22100</v>
      </c>
      <c r="I36" s="1238"/>
    </row>
    <row r="37" spans="2:9" x14ac:dyDescent="0.25">
      <c r="B37" s="1239">
        <v>549</v>
      </c>
      <c r="C37" s="1259">
        <v>549499</v>
      </c>
      <c r="D37" s="1260" t="s">
        <v>1454</v>
      </c>
      <c r="E37" s="1242" t="s">
        <v>1431</v>
      </c>
      <c r="F37" s="1261" t="s">
        <v>1456</v>
      </c>
      <c r="G37" s="1242" t="s">
        <v>1433</v>
      </c>
      <c r="H37" s="1262">
        <v>14000</v>
      </c>
      <c r="I37" s="1238"/>
    </row>
    <row r="38" spans="2:9" x14ac:dyDescent="0.25">
      <c r="B38" s="1239">
        <v>549</v>
      </c>
      <c r="C38" s="1259">
        <v>549499</v>
      </c>
      <c r="D38" s="1260" t="s">
        <v>1454</v>
      </c>
      <c r="E38" s="1242" t="s">
        <v>1431</v>
      </c>
      <c r="F38" s="1261" t="s">
        <v>1457</v>
      </c>
      <c r="G38" s="1242" t="s">
        <v>1433</v>
      </c>
      <c r="H38" s="1262">
        <v>47070</v>
      </c>
      <c r="I38" s="1238"/>
    </row>
    <row r="39" spans="2:9" x14ac:dyDescent="0.25">
      <c r="B39" s="1239">
        <v>549</v>
      </c>
      <c r="C39" s="1259">
        <v>549499</v>
      </c>
      <c r="D39" s="1260" t="s">
        <v>1454</v>
      </c>
      <c r="E39" s="1242" t="s">
        <v>1431</v>
      </c>
      <c r="F39" s="1261" t="s">
        <v>1458</v>
      </c>
      <c r="G39" s="1242" t="s">
        <v>1433</v>
      </c>
      <c r="H39" s="1262">
        <v>103813</v>
      </c>
      <c r="I39" s="1238"/>
    </row>
    <row r="40" spans="2:9" x14ac:dyDescent="0.25">
      <c r="B40" s="1239">
        <v>549</v>
      </c>
      <c r="C40" s="1259">
        <v>549499</v>
      </c>
      <c r="D40" s="1260" t="s">
        <v>1454</v>
      </c>
      <c r="E40" s="1242" t="s">
        <v>1431</v>
      </c>
      <c r="F40" s="1261" t="s">
        <v>1459</v>
      </c>
      <c r="G40" s="1242" t="s">
        <v>1433</v>
      </c>
      <c r="H40" s="1262">
        <v>855228.7</v>
      </c>
      <c r="I40" s="1238"/>
    </row>
    <row r="41" spans="2:9" x14ac:dyDescent="0.25">
      <c r="B41" s="1239">
        <v>549</v>
      </c>
      <c r="C41" s="1259">
        <v>549499</v>
      </c>
      <c r="D41" s="1260" t="s">
        <v>1454</v>
      </c>
      <c r="E41" s="1242" t="s">
        <v>1431</v>
      </c>
      <c r="F41" s="1261" t="s">
        <v>1460</v>
      </c>
      <c r="G41" s="1242" t="s">
        <v>1433</v>
      </c>
      <c r="H41" s="1262">
        <v>232826.67</v>
      </c>
      <c r="I41" s="1238"/>
    </row>
    <row r="42" spans="2:9" x14ac:dyDescent="0.25">
      <c r="B42" s="1239"/>
      <c r="C42" s="1245"/>
      <c r="D42" s="1236"/>
      <c r="E42" s="1242"/>
      <c r="F42" s="1236"/>
      <c r="G42" s="1242" t="s">
        <v>1433</v>
      </c>
      <c r="H42" s="1263">
        <f>SUM(H36:H41)</f>
        <v>1275038.3699999999</v>
      </c>
      <c r="I42" s="1238"/>
    </row>
    <row r="43" spans="2:9" hidden="1" x14ac:dyDescent="0.25">
      <c r="B43" s="1239"/>
      <c r="C43" s="1245"/>
      <c r="D43" s="1236"/>
      <c r="E43" s="1242"/>
      <c r="F43" s="1236"/>
      <c r="G43" s="1242" t="s">
        <v>1433</v>
      </c>
      <c r="H43" s="1251"/>
      <c r="I43" s="1238"/>
    </row>
    <row r="44" spans="2:9" hidden="1" x14ac:dyDescent="0.25">
      <c r="B44" s="1239"/>
      <c r="C44" s="1245"/>
      <c r="D44" s="1236"/>
      <c r="E44" s="1242"/>
      <c r="F44" s="1236"/>
      <c r="G44" s="1242" t="s">
        <v>1433</v>
      </c>
      <c r="H44" s="1251"/>
      <c r="I44" s="1238"/>
    </row>
    <row r="45" spans="2:9" hidden="1" x14ac:dyDescent="0.25">
      <c r="B45" s="1239"/>
      <c r="C45" s="1245"/>
      <c r="D45" s="1236"/>
      <c r="E45" s="1242"/>
      <c r="F45" s="1236"/>
      <c r="G45" s="1242" t="s">
        <v>1433</v>
      </c>
      <c r="H45" s="1250"/>
      <c r="I45" s="1238"/>
    </row>
    <row r="46" spans="2:9" hidden="1" x14ac:dyDescent="0.25">
      <c r="B46" s="1239"/>
      <c r="C46" s="1245"/>
      <c r="D46" s="1236"/>
      <c r="E46" s="1242"/>
      <c r="F46" s="1236"/>
      <c r="G46" s="1242" t="s">
        <v>1433</v>
      </c>
      <c r="H46" s="1250"/>
      <c r="I46" s="1238"/>
    </row>
    <row r="47" spans="2:9" hidden="1" x14ac:dyDescent="0.25">
      <c r="B47" s="1239"/>
      <c r="C47" s="1245"/>
      <c r="D47" s="1236"/>
      <c r="E47" s="1242"/>
      <c r="F47" s="1236"/>
      <c r="G47" s="1242" t="s">
        <v>1433</v>
      </c>
      <c r="H47" s="1250"/>
      <c r="I47" s="1238"/>
    </row>
    <row r="48" spans="2:9" hidden="1" x14ac:dyDescent="0.25">
      <c r="B48" s="1239"/>
      <c r="C48" s="1245"/>
      <c r="D48" s="1236"/>
      <c r="E48" s="1242"/>
      <c r="F48" s="1236"/>
      <c r="G48" s="1242" t="s">
        <v>1433</v>
      </c>
      <c r="H48" s="1250"/>
      <c r="I48" s="1238"/>
    </row>
    <row r="49" spans="2:9" hidden="1" x14ac:dyDescent="0.25">
      <c r="B49" s="1239"/>
      <c r="C49" s="1245"/>
      <c r="D49" s="1236"/>
      <c r="E49" s="1242"/>
      <c r="F49" s="1236"/>
      <c r="G49" s="1242" t="s">
        <v>1433</v>
      </c>
      <c r="H49" s="1250"/>
      <c r="I49" s="1238"/>
    </row>
    <row r="50" spans="2:9" hidden="1" x14ac:dyDescent="0.25">
      <c r="B50" s="1239"/>
      <c r="C50" s="1245"/>
      <c r="D50" s="1236"/>
      <c r="E50" s="1242"/>
      <c r="F50" s="1236"/>
      <c r="G50" s="1242" t="s">
        <v>1433</v>
      </c>
      <c r="H50" s="1250"/>
      <c r="I50" s="1238"/>
    </row>
    <row r="51" spans="2:9" hidden="1" x14ac:dyDescent="0.25">
      <c r="B51" s="1239"/>
      <c r="C51" s="1245"/>
      <c r="D51" s="1236"/>
      <c r="E51" s="1242"/>
      <c r="F51" s="1236"/>
      <c r="G51" s="1242" t="s">
        <v>1433</v>
      </c>
      <c r="H51" s="1250"/>
      <c r="I51" s="1238"/>
    </row>
    <row r="52" spans="2:9" hidden="1" x14ac:dyDescent="0.25">
      <c r="B52" s="1239"/>
      <c r="C52" s="1245"/>
      <c r="D52" s="1236"/>
      <c r="E52" s="1242"/>
      <c r="F52" s="1236"/>
      <c r="G52" s="1242" t="s">
        <v>1433</v>
      </c>
      <c r="H52" s="1250"/>
      <c r="I52" s="1238"/>
    </row>
    <row r="53" spans="2:9" hidden="1" x14ac:dyDescent="0.25">
      <c r="B53" s="1239"/>
      <c r="C53" s="1245"/>
      <c r="D53" s="1236"/>
      <c r="E53" s="1242"/>
      <c r="F53" s="1236"/>
      <c r="G53" s="1242" t="s">
        <v>1433</v>
      </c>
      <c r="H53" s="1250"/>
      <c r="I53" s="1238"/>
    </row>
    <row r="54" spans="2:9" hidden="1" x14ac:dyDescent="0.25">
      <c r="B54" s="1239"/>
      <c r="C54" s="1245"/>
      <c r="D54" s="1236"/>
      <c r="E54" s="1242"/>
      <c r="F54" s="1236"/>
      <c r="G54" s="1242" t="s">
        <v>1433</v>
      </c>
      <c r="H54" s="1250"/>
      <c r="I54" s="1238"/>
    </row>
    <row r="55" spans="2:9" hidden="1" x14ac:dyDescent="0.25">
      <c r="B55" s="1239"/>
      <c r="C55" s="1245"/>
      <c r="D55" s="1236"/>
      <c r="E55" s="1242"/>
      <c r="F55" s="1236"/>
      <c r="G55" s="1242" t="s">
        <v>1433</v>
      </c>
      <c r="H55" s="1250"/>
      <c r="I55" s="1238"/>
    </row>
    <row r="56" spans="2:9" hidden="1" x14ac:dyDescent="0.25">
      <c r="B56" s="1239"/>
      <c r="C56" s="1239"/>
      <c r="D56" s="1235"/>
      <c r="E56" s="1235"/>
      <c r="F56" s="1235"/>
      <c r="G56" s="1235"/>
      <c r="H56" s="1250"/>
      <c r="I56" s="1238"/>
    </row>
    <row r="57" spans="2:9" x14ac:dyDescent="0.25">
      <c r="B57" s="1239"/>
      <c r="C57" s="1239"/>
      <c r="D57" s="1235"/>
      <c r="E57" s="1235"/>
      <c r="F57" s="1235"/>
      <c r="G57" s="1235"/>
      <c r="H57" s="1251">
        <f>SUM(H10:H55)/2</f>
        <v>28990058.970000003</v>
      </c>
      <c r="I57" s="1238"/>
    </row>
    <row r="58" spans="2:9" x14ac:dyDescent="0.25">
      <c r="B58" s="1226"/>
      <c r="C58" s="1226"/>
      <c r="D58" s="1226"/>
      <c r="E58" s="1226"/>
      <c r="F58" s="1226"/>
      <c r="G58" s="1226"/>
      <c r="H58" s="1227"/>
      <c r="I58" s="1228"/>
    </row>
    <row r="59" spans="2:9" x14ac:dyDescent="0.25">
      <c r="B59" s="1226" t="s">
        <v>1461</v>
      </c>
      <c r="C59" s="1226"/>
      <c r="D59" s="1226"/>
      <c r="E59" s="1226"/>
      <c r="F59" s="1226"/>
      <c r="G59" s="1226"/>
      <c r="H59" s="1227"/>
      <c r="I59" s="1228"/>
    </row>
    <row r="61" spans="2:9" x14ac:dyDescent="0.25">
      <c r="B61" s="1037" t="s">
        <v>1834</v>
      </c>
    </row>
    <row r="63" spans="2:9" x14ac:dyDescent="0.25">
      <c r="B63" s="1572">
        <v>549</v>
      </c>
      <c r="C63" s="1573">
        <v>549445</v>
      </c>
      <c r="D63" s="1578" t="s">
        <v>1430</v>
      </c>
      <c r="E63" s="1574">
        <f t="shared" ref="E63:E77" si="0">F63/1000</f>
        <v>310</v>
      </c>
      <c r="F63" s="1824">
        <v>310000</v>
      </c>
    </row>
    <row r="64" spans="2:9" x14ac:dyDescent="0.25">
      <c r="B64" s="1572">
        <v>549</v>
      </c>
      <c r="C64" s="1573">
        <v>549446</v>
      </c>
      <c r="D64" s="1578" t="s">
        <v>1434</v>
      </c>
      <c r="E64" s="1574">
        <f t="shared" si="0"/>
        <v>2687.0859999999998</v>
      </c>
      <c r="F64" s="1824">
        <v>2687086</v>
      </c>
    </row>
    <row r="65" spans="2:6" x14ac:dyDescent="0.25">
      <c r="B65" s="1572">
        <v>549</v>
      </c>
      <c r="C65" s="1573">
        <v>549447</v>
      </c>
      <c r="D65" s="1578" t="s">
        <v>1616</v>
      </c>
      <c r="E65" s="1574">
        <f t="shared" si="0"/>
        <v>0</v>
      </c>
      <c r="F65" s="1823"/>
    </row>
    <row r="66" spans="2:6" x14ac:dyDescent="0.25">
      <c r="B66" s="1572">
        <v>549</v>
      </c>
      <c r="C66" s="1573">
        <v>549448</v>
      </c>
      <c r="D66" s="1578" t="s">
        <v>1435</v>
      </c>
      <c r="E66" s="1574">
        <f t="shared" si="0"/>
        <v>372</v>
      </c>
      <c r="F66" s="1824">
        <v>372000</v>
      </c>
    </row>
    <row r="67" spans="2:6" x14ac:dyDescent="0.25">
      <c r="B67" s="1572">
        <v>549</v>
      </c>
      <c r="C67" s="1573">
        <v>549449</v>
      </c>
      <c r="D67" s="1578" t="s">
        <v>1436</v>
      </c>
      <c r="E67" s="1574">
        <f t="shared" si="0"/>
        <v>520.80915000000005</v>
      </c>
      <c r="F67" s="1824">
        <v>520809.15</v>
      </c>
    </row>
    <row r="68" spans="2:6" x14ac:dyDescent="0.25">
      <c r="B68" s="1572">
        <v>549</v>
      </c>
      <c r="C68" s="1573">
        <v>549490</v>
      </c>
      <c r="D68" s="1578" t="s">
        <v>1617</v>
      </c>
      <c r="E68" s="1574">
        <f t="shared" si="0"/>
        <v>0</v>
      </c>
      <c r="F68" s="1823"/>
    </row>
    <row r="69" spans="2:6" x14ac:dyDescent="0.25">
      <c r="B69" s="1572">
        <v>549</v>
      </c>
      <c r="C69" s="1573">
        <v>549492</v>
      </c>
      <c r="D69" s="1578" t="s">
        <v>1437</v>
      </c>
      <c r="E69" s="1574">
        <f t="shared" si="0"/>
        <v>1574.60419</v>
      </c>
      <c r="F69" s="1824">
        <v>1574604.19</v>
      </c>
    </row>
    <row r="70" spans="2:6" x14ac:dyDescent="0.25">
      <c r="B70" s="1572">
        <v>549</v>
      </c>
      <c r="C70" s="1573">
        <v>549493</v>
      </c>
      <c r="D70" s="1578" t="s">
        <v>1442</v>
      </c>
      <c r="E70" s="1574">
        <f t="shared" si="0"/>
        <v>3162.3151600000001</v>
      </c>
      <c r="F70" s="1824">
        <v>3162315.16</v>
      </c>
    </row>
    <row r="71" spans="2:6" x14ac:dyDescent="0.25">
      <c r="B71" s="1572">
        <v>549</v>
      </c>
      <c r="C71" s="1573">
        <v>549494</v>
      </c>
      <c r="D71" s="1578" t="s">
        <v>1446</v>
      </c>
      <c r="E71" s="1574">
        <f t="shared" si="0"/>
        <v>29.16</v>
      </c>
      <c r="F71" s="1824">
        <v>29160</v>
      </c>
    </row>
    <row r="72" spans="2:6" x14ac:dyDescent="0.25">
      <c r="B72" s="1572">
        <v>549</v>
      </c>
      <c r="C72" s="1573">
        <v>549495</v>
      </c>
      <c r="D72" s="1578" t="s">
        <v>1447</v>
      </c>
      <c r="E72" s="1574">
        <f t="shared" si="0"/>
        <v>3689.2879700000003</v>
      </c>
      <c r="F72" s="1824">
        <v>3689287.97</v>
      </c>
    </row>
    <row r="73" spans="2:6" x14ac:dyDescent="0.25">
      <c r="B73" s="1572">
        <v>549</v>
      </c>
      <c r="C73" s="1573">
        <v>549496</v>
      </c>
      <c r="D73" s="1578" t="s">
        <v>1451</v>
      </c>
      <c r="E73" s="1574">
        <f t="shared" si="0"/>
        <v>581</v>
      </c>
      <c r="F73" s="1824">
        <v>581000</v>
      </c>
    </row>
    <row r="74" spans="2:6" x14ac:dyDescent="0.25">
      <c r="B74" s="1572">
        <v>549</v>
      </c>
      <c r="C74" s="1573">
        <v>549497</v>
      </c>
      <c r="D74" s="1578" t="s">
        <v>1452</v>
      </c>
      <c r="E74" s="1574">
        <f t="shared" si="0"/>
        <v>4995</v>
      </c>
      <c r="F74" s="1824">
        <v>4995000</v>
      </c>
    </row>
    <row r="75" spans="2:6" x14ac:dyDescent="0.25">
      <c r="B75" s="1572">
        <v>549</v>
      </c>
      <c r="C75" s="1573">
        <v>549498</v>
      </c>
      <c r="D75" s="1578" t="s">
        <v>1453</v>
      </c>
      <c r="E75" s="1574">
        <f t="shared" si="0"/>
        <v>6722.7277400000003</v>
      </c>
      <c r="F75" s="1824">
        <v>6722727.7400000002</v>
      </c>
    </row>
    <row r="76" spans="2:6" x14ac:dyDescent="0.25">
      <c r="B76" s="1572">
        <v>549</v>
      </c>
      <c r="C76" s="1573">
        <v>549499</v>
      </c>
      <c r="D76" s="1578" t="s">
        <v>1454</v>
      </c>
      <c r="E76" s="1574">
        <f t="shared" si="0"/>
        <v>4346.0687600000001</v>
      </c>
      <c r="F76" s="1824">
        <v>4346068.76</v>
      </c>
    </row>
    <row r="77" spans="2:6" x14ac:dyDescent="0.25">
      <c r="B77" s="1820"/>
      <c r="C77" s="1821"/>
      <c r="D77" s="1819"/>
      <c r="E77" s="1844">
        <f t="shared" si="0"/>
        <v>28990.058969999998</v>
      </c>
      <c r="F77" s="1843">
        <f>SUM(F63:F76)</f>
        <v>28990058.969999999</v>
      </c>
    </row>
    <row r="78" spans="2:6" x14ac:dyDescent="0.25">
      <c r="B78" s="1819"/>
      <c r="C78" s="1821"/>
      <c r="D78" s="1819"/>
      <c r="E78" s="1819"/>
      <c r="F78" s="1819"/>
    </row>
  </sheetData>
  <mergeCells count="1">
    <mergeCell ref="B3:I3"/>
  </mergeCells>
  <printOptions horizontalCentered="1" verticalCentered="1"/>
  <pageMargins left="0.70866141732283472" right="0.70866141732283472" top="0.78740157480314965" bottom="0.78740157480314965" header="0.31496062992125984" footer="0.31496062992125984"/>
  <pageSetup paperSize="9" scale="51"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P87"/>
  <sheetViews>
    <sheetView topLeftCell="A31" zoomScaleNormal="100" workbookViewId="0">
      <selection activeCell="H78" sqref="H78"/>
    </sheetView>
  </sheetViews>
  <sheetFormatPr defaultRowHeight="12.75" x14ac:dyDescent="0.25"/>
  <cols>
    <col min="1" max="1" width="3.42578125" style="16" customWidth="1"/>
    <col min="2" max="2" width="9" style="16" customWidth="1"/>
    <col min="3" max="3" width="48" style="16" customWidth="1"/>
    <col min="4" max="4" width="12" style="16" customWidth="1"/>
    <col min="5" max="6" width="9.140625" style="16"/>
    <col min="7" max="8" width="10.140625" style="16" customWidth="1"/>
    <col min="9" max="9" width="10.5703125" style="16" customWidth="1"/>
    <col min="10" max="10" width="1.42578125" style="16" customWidth="1"/>
    <col min="11" max="16384" width="9.140625" style="16"/>
  </cols>
  <sheetData>
    <row r="1" spans="1:13" ht="15.75" hidden="1" x14ac:dyDescent="0.25">
      <c r="A1" s="76" t="s">
        <v>1151</v>
      </c>
      <c r="B1" s="75"/>
      <c r="C1" s="75"/>
      <c r="D1" s="12"/>
      <c r="E1" s="12"/>
      <c r="F1" s="12"/>
      <c r="G1" s="183"/>
      <c r="H1" s="183"/>
      <c r="I1" s="12"/>
      <c r="J1" s="12"/>
    </row>
    <row r="2" spans="1:13" s="28" customFormat="1" ht="13.5" hidden="1" thickBot="1" x14ac:dyDescent="0.3">
      <c r="A2" s="27"/>
      <c r="B2" s="27"/>
      <c r="C2" s="27"/>
      <c r="D2" s="27"/>
      <c r="E2" s="27"/>
      <c r="F2" s="27"/>
      <c r="H2" s="27"/>
      <c r="I2" s="13" t="s">
        <v>507</v>
      </c>
      <c r="J2" s="27"/>
    </row>
    <row r="3" spans="1:13" s="28" customFormat="1" ht="17.25" hidden="1" customHeight="1" x14ac:dyDescent="0.25">
      <c r="A3" s="2868" t="s">
        <v>479</v>
      </c>
      <c r="B3" s="2871" t="s">
        <v>695</v>
      </c>
      <c r="C3" s="2872"/>
      <c r="D3" s="2859" t="s">
        <v>708</v>
      </c>
      <c r="E3" s="2860"/>
      <c r="F3" s="2860"/>
      <c r="G3" s="2861"/>
      <c r="H3" s="2866" t="s">
        <v>680</v>
      </c>
      <c r="I3" s="2867"/>
      <c r="J3" s="27"/>
    </row>
    <row r="4" spans="1:13" s="28" customFormat="1" ht="15" hidden="1" customHeight="1" x14ac:dyDescent="0.25">
      <c r="A4" s="2869"/>
      <c r="B4" s="2873"/>
      <c r="C4" s="2874"/>
      <c r="D4" s="2805" t="s">
        <v>677</v>
      </c>
      <c r="E4" s="2805" t="s">
        <v>678</v>
      </c>
      <c r="F4" s="2877" t="s">
        <v>679</v>
      </c>
      <c r="G4" s="2855" t="s">
        <v>617</v>
      </c>
      <c r="H4" s="2853" t="s">
        <v>681</v>
      </c>
      <c r="I4" s="2864" t="s">
        <v>682</v>
      </c>
      <c r="J4" s="27"/>
      <c r="L4" s="180"/>
    </row>
    <row r="5" spans="1:13" ht="14.25" hidden="1" customHeight="1" x14ac:dyDescent="0.25">
      <c r="A5" s="2869"/>
      <c r="B5" s="2873"/>
      <c r="C5" s="2874"/>
      <c r="D5" s="2806"/>
      <c r="E5" s="2806"/>
      <c r="F5" s="2878"/>
      <c r="G5" s="2856"/>
      <c r="H5" s="2854"/>
      <c r="I5" s="2865"/>
      <c r="J5" s="12"/>
    </row>
    <row r="6" spans="1:13" s="360" customFormat="1" ht="10.5" hidden="1" customHeight="1" thickBot="1" x14ac:dyDescent="0.3">
      <c r="A6" s="2870"/>
      <c r="B6" s="2875"/>
      <c r="C6" s="2876"/>
      <c r="D6" s="356" t="s">
        <v>558</v>
      </c>
      <c r="E6" s="356" t="s">
        <v>559</v>
      </c>
      <c r="F6" s="357" t="s">
        <v>560</v>
      </c>
      <c r="G6" s="358" t="s">
        <v>870</v>
      </c>
      <c r="H6" s="361" t="s">
        <v>562</v>
      </c>
      <c r="I6" s="573" t="s">
        <v>563</v>
      </c>
      <c r="J6" s="359"/>
    </row>
    <row r="7" spans="1:13" hidden="1" x14ac:dyDescent="0.25">
      <c r="A7" s="334">
        <v>1</v>
      </c>
      <c r="B7" s="767" t="s">
        <v>673</v>
      </c>
      <c r="C7" s="768"/>
      <c r="D7" s="576">
        <f t="shared" ref="D7:I7" si="0">SUM(D8+D9+D11+D12+D13+D15+D19+D23+D24)</f>
        <v>0</v>
      </c>
      <c r="E7" s="577">
        <f t="shared" si="0"/>
        <v>0</v>
      </c>
      <c r="F7" s="577">
        <f t="shared" si="0"/>
        <v>0</v>
      </c>
      <c r="G7" s="578">
        <f t="shared" si="0"/>
        <v>0</v>
      </c>
      <c r="H7" s="577">
        <f t="shared" si="0"/>
        <v>0</v>
      </c>
      <c r="I7" s="579">
        <f t="shared" si="0"/>
        <v>0</v>
      </c>
      <c r="J7" s="580"/>
    </row>
    <row r="8" spans="1:13" ht="12.75" hidden="1" customHeight="1" x14ac:dyDescent="0.25">
      <c r="A8" s="335">
        <v>2</v>
      </c>
      <c r="B8" s="2862" t="s">
        <v>568</v>
      </c>
      <c r="C8" s="2863"/>
      <c r="D8" s="581"/>
      <c r="E8" s="582"/>
      <c r="F8" s="582"/>
      <c r="G8" s="583">
        <f t="shared" ref="G8:G23" si="1">SUM(D8:F8)</f>
        <v>0</v>
      </c>
      <c r="H8" s="582"/>
      <c r="I8" s="584"/>
      <c r="J8" s="585"/>
      <c r="K8" s="29"/>
      <c r="L8" s="29"/>
      <c r="M8" s="29"/>
    </row>
    <row r="9" spans="1:13" ht="24" hidden="1" customHeight="1" x14ac:dyDescent="0.25">
      <c r="A9" s="335">
        <v>3</v>
      </c>
      <c r="B9" s="2862" t="s">
        <v>569</v>
      </c>
      <c r="C9" s="2863"/>
      <c r="D9" s="581"/>
      <c r="E9" s="582"/>
      <c r="F9" s="582"/>
      <c r="G9" s="583">
        <f t="shared" si="1"/>
        <v>0</v>
      </c>
      <c r="H9" s="582"/>
      <c r="I9" s="584"/>
      <c r="J9" s="580"/>
    </row>
    <row r="10" spans="1:13" ht="24" hidden="1" customHeight="1" x14ac:dyDescent="0.25">
      <c r="A10" s="335">
        <v>4</v>
      </c>
      <c r="B10" s="2862" t="s">
        <v>674</v>
      </c>
      <c r="C10" s="2863"/>
      <c r="D10" s="581"/>
      <c r="E10" s="582"/>
      <c r="F10" s="582"/>
      <c r="G10" s="583">
        <f t="shared" si="1"/>
        <v>0</v>
      </c>
      <c r="H10" s="582"/>
      <c r="I10" s="584"/>
      <c r="J10" s="580"/>
    </row>
    <row r="11" spans="1:13" hidden="1" x14ac:dyDescent="0.25">
      <c r="A11" s="335">
        <v>5</v>
      </c>
      <c r="B11" s="2862" t="s">
        <v>676</v>
      </c>
      <c r="C11" s="2863"/>
      <c r="D11" s="581"/>
      <c r="E11" s="582"/>
      <c r="F11" s="582"/>
      <c r="G11" s="583">
        <f t="shared" si="1"/>
        <v>0</v>
      </c>
      <c r="H11" s="582"/>
      <c r="I11" s="584"/>
      <c r="J11" s="580"/>
    </row>
    <row r="12" spans="1:13" hidden="1" x14ac:dyDescent="0.25">
      <c r="A12" s="335">
        <v>6</v>
      </c>
      <c r="B12" s="2862" t="s">
        <v>570</v>
      </c>
      <c r="C12" s="2863"/>
      <c r="D12" s="581"/>
      <c r="E12" s="582"/>
      <c r="F12" s="582"/>
      <c r="G12" s="583">
        <f t="shared" si="1"/>
        <v>0</v>
      </c>
      <c r="H12" s="582"/>
      <c r="I12" s="584"/>
      <c r="J12" s="580"/>
    </row>
    <row r="13" spans="1:13" hidden="1" x14ac:dyDescent="0.25">
      <c r="A13" s="336">
        <v>7</v>
      </c>
      <c r="B13" s="2851" t="s">
        <v>675</v>
      </c>
      <c r="C13" s="2852"/>
      <c r="D13" s="586"/>
      <c r="E13" s="587"/>
      <c r="F13" s="587"/>
      <c r="G13" s="588">
        <f t="shared" si="1"/>
        <v>0</v>
      </c>
      <c r="H13" s="587"/>
      <c r="I13" s="589"/>
      <c r="J13" s="580"/>
    </row>
    <row r="14" spans="1:13" hidden="1" x14ac:dyDescent="0.25">
      <c r="A14" s="187">
        <v>8</v>
      </c>
      <c r="B14" s="769" t="s">
        <v>509</v>
      </c>
      <c r="C14" s="770" t="s">
        <v>571</v>
      </c>
      <c r="D14" s="590"/>
      <c r="E14" s="591"/>
      <c r="F14" s="591"/>
      <c r="G14" s="592">
        <f t="shared" si="1"/>
        <v>0</v>
      </c>
      <c r="H14" s="591"/>
      <c r="I14" s="593"/>
      <c r="J14" s="580"/>
    </row>
    <row r="15" spans="1:13" hidden="1" x14ac:dyDescent="0.25">
      <c r="A15" s="337">
        <v>9</v>
      </c>
      <c r="B15" s="2857" t="s">
        <v>572</v>
      </c>
      <c r="C15" s="2858"/>
      <c r="D15" s="594"/>
      <c r="E15" s="595"/>
      <c r="F15" s="595"/>
      <c r="G15" s="596">
        <f t="shared" si="1"/>
        <v>0</v>
      </c>
      <c r="H15" s="595"/>
      <c r="I15" s="597"/>
      <c r="J15" s="598"/>
    </row>
    <row r="16" spans="1:13" hidden="1" x14ac:dyDescent="0.25">
      <c r="A16" s="332">
        <v>10</v>
      </c>
      <c r="B16" s="771" t="s">
        <v>509</v>
      </c>
      <c r="C16" s="772" t="s">
        <v>573</v>
      </c>
      <c r="D16" s="599"/>
      <c r="E16" s="600"/>
      <c r="F16" s="600"/>
      <c r="G16" s="601">
        <f t="shared" si="1"/>
        <v>0</v>
      </c>
      <c r="H16" s="600"/>
      <c r="I16" s="602"/>
      <c r="J16" s="598"/>
    </row>
    <row r="17" spans="1:10" hidden="1" x14ac:dyDescent="0.25">
      <c r="A17" s="332">
        <v>11</v>
      </c>
      <c r="B17" s="773"/>
      <c r="C17" s="772" t="s">
        <v>574</v>
      </c>
      <c r="D17" s="599"/>
      <c r="E17" s="600"/>
      <c r="F17" s="600"/>
      <c r="G17" s="601">
        <f t="shared" si="1"/>
        <v>0</v>
      </c>
      <c r="H17" s="600"/>
      <c r="I17" s="602"/>
      <c r="J17" s="598"/>
    </row>
    <row r="18" spans="1:10" hidden="1" x14ac:dyDescent="0.25">
      <c r="A18" s="187">
        <v>12</v>
      </c>
      <c r="B18" s="774"/>
      <c r="C18" s="775" t="s">
        <v>672</v>
      </c>
      <c r="D18" s="590"/>
      <c r="E18" s="591"/>
      <c r="F18" s="591"/>
      <c r="G18" s="592">
        <f t="shared" si="1"/>
        <v>0</v>
      </c>
      <c r="H18" s="591"/>
      <c r="I18" s="593"/>
      <c r="J18" s="598"/>
    </row>
    <row r="19" spans="1:10" ht="12.75" hidden="1" customHeight="1" x14ac:dyDescent="0.25">
      <c r="A19" s="337">
        <v>13</v>
      </c>
      <c r="B19" s="2857" t="s">
        <v>575</v>
      </c>
      <c r="C19" s="2858"/>
      <c r="D19" s="594"/>
      <c r="E19" s="595"/>
      <c r="F19" s="595"/>
      <c r="G19" s="588">
        <f t="shared" si="1"/>
        <v>0</v>
      </c>
      <c r="H19" s="595"/>
      <c r="I19" s="597"/>
      <c r="J19" s="598"/>
    </row>
    <row r="20" spans="1:10" hidden="1" x14ac:dyDescent="0.25">
      <c r="A20" s="332">
        <v>14</v>
      </c>
      <c r="B20" s="771" t="s">
        <v>509</v>
      </c>
      <c r="C20" s="772" t="s">
        <v>576</v>
      </c>
      <c r="D20" s="599"/>
      <c r="E20" s="600"/>
      <c r="F20" s="600"/>
      <c r="G20" s="601">
        <f t="shared" si="1"/>
        <v>0</v>
      </c>
      <c r="H20" s="600"/>
      <c r="I20" s="602"/>
      <c r="J20" s="598"/>
    </row>
    <row r="21" spans="1:10" hidden="1" x14ac:dyDescent="0.25">
      <c r="A21" s="332">
        <v>15</v>
      </c>
      <c r="B21" s="773"/>
      <c r="C21" s="772" t="s">
        <v>574</v>
      </c>
      <c r="D21" s="599"/>
      <c r="E21" s="600"/>
      <c r="F21" s="600"/>
      <c r="G21" s="601">
        <f t="shared" si="1"/>
        <v>0</v>
      </c>
      <c r="H21" s="600"/>
      <c r="I21" s="602"/>
      <c r="J21" s="598"/>
    </row>
    <row r="22" spans="1:10" hidden="1" x14ac:dyDescent="0.25">
      <c r="A22" s="187">
        <v>16</v>
      </c>
      <c r="B22" s="774"/>
      <c r="C22" s="775" t="s">
        <v>672</v>
      </c>
      <c r="D22" s="590"/>
      <c r="E22" s="591"/>
      <c r="F22" s="591"/>
      <c r="G22" s="592">
        <f t="shared" si="1"/>
        <v>0</v>
      </c>
      <c r="H22" s="591"/>
      <c r="I22" s="593"/>
      <c r="J22" s="598"/>
    </row>
    <row r="23" spans="1:10" hidden="1" x14ac:dyDescent="0.25">
      <c r="A23" s="335">
        <v>17</v>
      </c>
      <c r="B23" s="2862" t="s">
        <v>577</v>
      </c>
      <c r="C23" s="2863"/>
      <c r="D23" s="581"/>
      <c r="E23" s="582"/>
      <c r="F23" s="582"/>
      <c r="G23" s="583">
        <f t="shared" si="1"/>
        <v>0</v>
      </c>
      <c r="H23" s="582"/>
      <c r="I23" s="584"/>
      <c r="J23" s="580"/>
    </row>
    <row r="24" spans="1:10" hidden="1" x14ac:dyDescent="0.25">
      <c r="A24" s="336">
        <v>18</v>
      </c>
      <c r="B24" s="2851" t="s">
        <v>683</v>
      </c>
      <c r="C24" s="2852"/>
      <c r="D24" s="586"/>
      <c r="E24" s="587"/>
      <c r="F24" s="587"/>
      <c r="G24" s="596">
        <f>SUM(G25:G25)</f>
        <v>0</v>
      </c>
      <c r="H24" s="587"/>
      <c r="I24" s="589"/>
      <c r="J24" s="580"/>
    </row>
    <row r="25" spans="1:10" ht="13.5" hidden="1" thickBot="1" x14ac:dyDescent="0.3">
      <c r="A25" s="333">
        <v>19</v>
      </c>
      <c r="B25" s="776" t="s">
        <v>509</v>
      </c>
      <c r="C25" s="777" t="s">
        <v>672</v>
      </c>
      <c r="D25" s="603"/>
      <c r="E25" s="604"/>
      <c r="F25" s="604"/>
      <c r="G25" s="605">
        <f>SUM(D25:F25)</f>
        <v>0</v>
      </c>
      <c r="H25" s="604"/>
      <c r="I25" s="606"/>
      <c r="J25" s="580"/>
    </row>
    <row r="26" spans="1:10" hidden="1" x14ac:dyDescent="0.25">
      <c r="A26" s="12"/>
      <c r="B26" s="12"/>
      <c r="C26" s="12"/>
      <c r="D26" s="12"/>
      <c r="E26" s="12"/>
      <c r="F26" s="12"/>
      <c r="G26" s="12"/>
      <c r="H26" s="12"/>
      <c r="I26" s="12"/>
      <c r="J26" s="12"/>
    </row>
    <row r="27" spans="1:10" hidden="1" x14ac:dyDescent="0.25">
      <c r="A27" s="12" t="s">
        <v>671</v>
      </c>
      <c r="B27" s="12"/>
      <c r="C27" s="12"/>
      <c r="D27" s="12"/>
      <c r="E27" s="12"/>
      <c r="F27" s="12"/>
      <c r="G27" s="12"/>
      <c r="H27" s="12"/>
      <c r="I27" s="12"/>
      <c r="J27" s="12"/>
    </row>
    <row r="28" spans="1:10" hidden="1" x14ac:dyDescent="0.25">
      <c r="A28" s="17" t="s">
        <v>1173</v>
      </c>
      <c r="B28" s="25"/>
      <c r="C28" s="25"/>
      <c r="D28" s="12"/>
      <c r="E28" s="12"/>
      <c r="F28" s="12"/>
      <c r="G28" s="12"/>
      <c r="H28" s="12"/>
      <c r="I28" s="12"/>
      <c r="J28" s="12"/>
    </row>
    <row r="29" spans="1:10" hidden="1" x14ac:dyDescent="0.25">
      <c r="A29" s="17" t="s">
        <v>1174</v>
      </c>
      <c r="B29" s="25"/>
      <c r="C29" s="25"/>
      <c r="D29" s="12"/>
      <c r="E29" s="12"/>
      <c r="F29" s="12"/>
      <c r="G29" s="12"/>
      <c r="H29" s="12"/>
      <c r="I29" s="12"/>
      <c r="J29" s="12"/>
    </row>
    <row r="30" spans="1:10" ht="15" hidden="1" customHeight="1" x14ac:dyDescent="0.25">
      <c r="A30" s="2767"/>
      <c r="B30" s="2767"/>
      <c r="C30" s="2767"/>
      <c r="D30" s="2767"/>
      <c r="E30" s="2767"/>
      <c r="F30" s="2767"/>
      <c r="G30" s="2767"/>
      <c r="H30" s="2767"/>
      <c r="I30" s="2767"/>
      <c r="J30" s="348"/>
    </row>
    <row r="31" spans="1:10" ht="15" x14ac:dyDescent="0.25">
      <c r="A31" s="12"/>
      <c r="B31"/>
      <c r="C31"/>
      <c r="D31"/>
      <c r="E31" s="12"/>
      <c r="F31" s="12"/>
      <c r="G31" s="12"/>
      <c r="H31" s="12"/>
      <c r="I31" s="12"/>
      <c r="J31" s="12"/>
    </row>
    <row r="32" spans="1:10" ht="15.75" customHeight="1" x14ac:dyDescent="0.25">
      <c r="A32" s="910" t="s">
        <v>1278</v>
      </c>
      <c r="B32" s="18"/>
      <c r="C32" s="18"/>
      <c r="D32" s="18"/>
      <c r="E32" s="18"/>
      <c r="F32" s="18"/>
      <c r="G32" s="18"/>
      <c r="H32" s="18"/>
      <c r="I32" s="18"/>
      <c r="J32" s="12"/>
    </row>
    <row r="33" spans="1:9" x14ac:dyDescent="0.25">
      <c r="A33" s="18"/>
      <c r="B33" s="18"/>
      <c r="C33" s="18"/>
      <c r="D33" s="18"/>
      <c r="E33" s="18"/>
      <c r="F33" s="18"/>
      <c r="G33" s="18"/>
      <c r="H33" s="18"/>
      <c r="I33" s="18"/>
    </row>
    <row r="34" spans="1:9" ht="15.75" x14ac:dyDescent="0.25">
      <c r="A34" s="1264" t="s">
        <v>1151</v>
      </c>
      <c r="B34" s="324"/>
      <c r="C34" s="324"/>
      <c r="D34" s="17"/>
      <c r="E34" s="17"/>
      <c r="F34" s="17"/>
      <c r="G34" s="1265"/>
      <c r="H34" s="1265"/>
      <c r="I34" s="17"/>
    </row>
    <row r="35" spans="1:9" ht="15.75" thickBot="1" x14ac:dyDescent="0.3">
      <c r="A35" s="139"/>
      <c r="B35" s="139"/>
      <c r="C35" s="139"/>
      <c r="D35" s="139"/>
      <c r="E35" s="139"/>
      <c r="F35" s="139"/>
      <c r="G35" s="139"/>
      <c r="H35" s="139"/>
      <c r="I35" s="139"/>
    </row>
    <row r="36" spans="1:9" ht="13.5" thickTop="1" x14ac:dyDescent="0.25">
      <c r="A36" s="2830" t="s">
        <v>479</v>
      </c>
      <c r="B36" s="2832" t="s">
        <v>695</v>
      </c>
      <c r="C36" s="2833"/>
      <c r="D36" s="2836" t="s">
        <v>708</v>
      </c>
      <c r="E36" s="2836"/>
      <c r="F36" s="2836"/>
      <c r="G36" s="2836"/>
      <c r="H36" s="2837" t="s">
        <v>1462</v>
      </c>
      <c r="I36" s="2838"/>
    </row>
    <row r="37" spans="1:9" x14ac:dyDescent="0.25">
      <c r="A37" s="2831"/>
      <c r="B37" s="2834"/>
      <c r="C37" s="2835"/>
      <c r="D37" s="2839" t="s">
        <v>677</v>
      </c>
      <c r="E37" s="2841" t="s">
        <v>1463</v>
      </c>
      <c r="F37" s="2843" t="s">
        <v>1464</v>
      </c>
      <c r="G37" s="2845" t="s">
        <v>617</v>
      </c>
      <c r="H37" s="2847" t="s">
        <v>681</v>
      </c>
      <c r="I37" s="2849" t="s">
        <v>682</v>
      </c>
    </row>
    <row r="38" spans="1:9" ht="13.5" thickBot="1" x14ac:dyDescent="0.3">
      <c r="A38" s="2831"/>
      <c r="B38" s="2834"/>
      <c r="C38" s="2835"/>
      <c r="D38" s="2840"/>
      <c r="E38" s="2842"/>
      <c r="F38" s="2844"/>
      <c r="G38" s="2846"/>
      <c r="H38" s="2848"/>
      <c r="I38" s="2850"/>
    </row>
    <row r="39" spans="1:9" ht="13.5" thickBot="1" x14ac:dyDescent="0.3">
      <c r="A39" s="1266"/>
      <c r="B39" s="2824"/>
      <c r="C39" s="2825"/>
      <c r="D39" s="1267" t="s">
        <v>558</v>
      </c>
      <c r="E39" s="1268" t="s">
        <v>559</v>
      </c>
      <c r="F39" s="1269" t="s">
        <v>560</v>
      </c>
      <c r="G39" s="1269" t="s">
        <v>870</v>
      </c>
      <c r="H39" s="1270" t="s">
        <v>562</v>
      </c>
      <c r="I39" s="1271" t="s">
        <v>563</v>
      </c>
    </row>
    <row r="40" spans="1:9" ht="14.25" thickTop="1" thickBot="1" x14ac:dyDescent="0.3">
      <c r="A40" s="1272">
        <v>0</v>
      </c>
      <c r="B40" s="1273" t="s">
        <v>673</v>
      </c>
      <c r="C40" s="1274"/>
      <c r="D40" s="1275">
        <f t="shared" ref="D40:I40" si="2">D41+D42+D45+D48+D49+D50+D53+D57+D65+D66</f>
        <v>20358.8</v>
      </c>
      <c r="E40" s="1275">
        <f t="shared" si="2"/>
        <v>3369</v>
      </c>
      <c r="F40" s="1275">
        <f t="shared" si="2"/>
        <v>5262</v>
      </c>
      <c r="G40" s="1378">
        <f t="shared" si="2"/>
        <v>28989.8</v>
      </c>
      <c r="H40" s="1386">
        <f t="shared" si="2"/>
        <v>28989.8</v>
      </c>
      <c r="I40" s="1276">
        <f t="shared" si="2"/>
        <v>0</v>
      </c>
    </row>
    <row r="41" spans="1:9" ht="17.100000000000001" customHeight="1" thickTop="1" thickBot="1" x14ac:dyDescent="0.3">
      <c r="A41" s="1277">
        <v>1</v>
      </c>
      <c r="B41" s="2819" t="s">
        <v>1465</v>
      </c>
      <c r="C41" s="2820"/>
      <c r="D41" s="1278" t="s">
        <v>1466</v>
      </c>
      <c r="E41" s="2439">
        <v>3369</v>
      </c>
      <c r="F41" s="1279" t="s">
        <v>1466</v>
      </c>
      <c r="G41" s="1379">
        <f>D41+E41+F41</f>
        <v>3369</v>
      </c>
      <c r="H41" s="1281">
        <f>G41</f>
        <v>3369</v>
      </c>
      <c r="I41" s="1280"/>
    </row>
    <row r="42" spans="1:9" ht="30" customHeight="1" thickTop="1" x14ac:dyDescent="0.25">
      <c r="A42" s="1282">
        <v>2</v>
      </c>
      <c r="B42" s="2826" t="s">
        <v>1467</v>
      </c>
      <c r="C42" s="2827"/>
      <c r="D42" s="1283">
        <v>1430</v>
      </c>
      <c r="E42" s="1284"/>
      <c r="F42" s="1285">
        <v>144</v>
      </c>
      <c r="G42" s="1380">
        <f>D42+E42+F42</f>
        <v>1574</v>
      </c>
      <c r="H42" s="1286">
        <f>G42</f>
        <v>1574</v>
      </c>
      <c r="I42" s="1287"/>
    </row>
    <row r="43" spans="1:9" ht="13.5" thickBot="1" x14ac:dyDescent="0.3">
      <c r="A43" s="1473">
        <v>3</v>
      </c>
      <c r="B43" s="1474" t="s">
        <v>509</v>
      </c>
      <c r="C43" s="1475" t="s">
        <v>1338</v>
      </c>
      <c r="D43" s="1476" t="s">
        <v>1466</v>
      </c>
      <c r="E43" s="1354" t="s">
        <v>1466</v>
      </c>
      <c r="F43" s="1477">
        <v>144</v>
      </c>
      <c r="G43" s="1384">
        <f t="shared" ref="G43" si="3">SUM(D43:F43)</f>
        <v>144</v>
      </c>
      <c r="H43" s="1369">
        <f>G43</f>
        <v>144</v>
      </c>
      <c r="I43" s="1355"/>
    </row>
    <row r="44" spans="1:9" ht="13.5" hidden="1" thickBot="1" x14ac:dyDescent="0.3">
      <c r="A44" s="1303"/>
      <c r="B44" s="1468"/>
      <c r="C44" s="1328" t="s">
        <v>1468</v>
      </c>
      <c r="D44" s="1469"/>
      <c r="E44" s="1470"/>
      <c r="F44" s="1331"/>
      <c r="G44" s="1389"/>
      <c r="H44" s="1471"/>
      <c r="I44" s="1472"/>
    </row>
    <row r="45" spans="1:9" ht="30" customHeight="1" thickTop="1" x14ac:dyDescent="0.25">
      <c r="A45" s="1282">
        <v>4</v>
      </c>
      <c r="B45" s="2828" t="s">
        <v>1469</v>
      </c>
      <c r="C45" s="2829"/>
      <c r="D45" s="1478">
        <v>3012</v>
      </c>
      <c r="E45" s="1479"/>
      <c r="F45" s="1480">
        <v>150</v>
      </c>
      <c r="G45" s="1380">
        <f>D45+E45+F45</f>
        <v>3162</v>
      </c>
      <c r="H45" s="1286">
        <f>G45</f>
        <v>3162</v>
      </c>
      <c r="I45" s="1287"/>
    </row>
    <row r="46" spans="1:9" ht="13.5" thickBot="1" x14ac:dyDescent="0.3">
      <c r="A46" s="1473">
        <v>5</v>
      </c>
      <c r="B46" s="1474" t="s">
        <v>1470</v>
      </c>
      <c r="C46" s="1475" t="s">
        <v>1338</v>
      </c>
      <c r="D46" s="1476" t="s">
        <v>1466</v>
      </c>
      <c r="E46" s="1354" t="s">
        <v>1466</v>
      </c>
      <c r="F46" s="1477">
        <v>150</v>
      </c>
      <c r="G46" s="1384">
        <f t="shared" ref="G46" si="4">SUM(D46:F46)</f>
        <v>150</v>
      </c>
      <c r="H46" s="1369">
        <f>G46</f>
        <v>150</v>
      </c>
      <c r="I46" s="1355"/>
    </row>
    <row r="47" spans="1:9" ht="13.5" hidden="1" thickBot="1" x14ac:dyDescent="0.3">
      <c r="A47" s="1362"/>
      <c r="B47" s="1363"/>
      <c r="C47" s="1364"/>
      <c r="D47" s="1358"/>
      <c r="E47" s="1365"/>
      <c r="F47" s="1366"/>
      <c r="G47" s="1382"/>
      <c r="H47" s="1367"/>
      <c r="I47" s="1359"/>
    </row>
    <row r="48" spans="1:9" ht="14.25" thickTop="1" thickBot="1" x14ac:dyDescent="0.3">
      <c r="A48" s="1282">
        <v>6</v>
      </c>
      <c r="B48" s="2826" t="s">
        <v>1471</v>
      </c>
      <c r="C48" s="2827"/>
      <c r="D48" s="1297" t="s">
        <v>1466</v>
      </c>
      <c r="E48" s="1284"/>
      <c r="F48" s="1298" t="s">
        <v>1466</v>
      </c>
      <c r="G48" s="1379">
        <f>D48+E48+F48</f>
        <v>0</v>
      </c>
      <c r="H48" s="1286">
        <f t="shared" ref="H48:H55" si="5">G48</f>
        <v>0</v>
      </c>
      <c r="I48" s="1287"/>
    </row>
    <row r="49" spans="1:16" ht="14.25" thickTop="1" thickBot="1" x14ac:dyDescent="0.3">
      <c r="A49" s="1277">
        <v>7</v>
      </c>
      <c r="B49" s="2819" t="s">
        <v>1472</v>
      </c>
      <c r="C49" s="2820"/>
      <c r="D49" s="1299">
        <v>29</v>
      </c>
      <c r="E49" s="1300" t="s">
        <v>1466</v>
      </c>
      <c r="F49" s="1279"/>
      <c r="G49" s="1379">
        <f>D49+E49+F49</f>
        <v>29</v>
      </c>
      <c r="H49" s="1301">
        <f t="shared" si="5"/>
        <v>29</v>
      </c>
      <c r="I49" s="1302"/>
    </row>
    <row r="50" spans="1:16" ht="15.75" thickTop="1" x14ac:dyDescent="0.25">
      <c r="A50" s="1346">
        <v>8</v>
      </c>
      <c r="B50" s="2821" t="s">
        <v>1473</v>
      </c>
      <c r="C50" s="2821"/>
      <c r="D50" s="1347">
        <v>6623</v>
      </c>
      <c r="E50" s="1348">
        <v>0</v>
      </c>
      <c r="F50" s="1360">
        <v>101</v>
      </c>
      <c r="G50" s="1383">
        <f>D50+E50+F50</f>
        <v>6724</v>
      </c>
      <c r="H50" s="1368">
        <f t="shared" si="5"/>
        <v>6724</v>
      </c>
      <c r="I50" s="1349"/>
      <c r="L50"/>
      <c r="M50"/>
      <c r="N50"/>
      <c r="O50"/>
      <c r="P50"/>
    </row>
    <row r="51" spans="1:16" ht="15" x14ac:dyDescent="0.25">
      <c r="A51" s="1350">
        <v>9</v>
      </c>
      <c r="B51" s="1351" t="s">
        <v>509</v>
      </c>
      <c r="C51" s="1352" t="s">
        <v>571</v>
      </c>
      <c r="D51" s="2438">
        <v>2635</v>
      </c>
      <c r="E51" s="1354" t="s">
        <v>1466</v>
      </c>
      <c r="F51" s="1354" t="s">
        <v>1466</v>
      </c>
      <c r="G51" s="1384">
        <f>D51</f>
        <v>2635</v>
      </c>
      <c r="H51" s="1369">
        <f t="shared" ref="H51" si="6">G51</f>
        <v>2635</v>
      </c>
      <c r="I51" s="1355"/>
      <c r="L51"/>
      <c r="M51"/>
      <c r="N51"/>
      <c r="O51"/>
      <c r="P51"/>
    </row>
    <row r="52" spans="1:16" ht="15.75" thickBot="1" x14ac:dyDescent="0.3">
      <c r="A52" s="1356">
        <v>10</v>
      </c>
      <c r="B52" s="1357"/>
      <c r="C52" s="1289" t="s">
        <v>1338</v>
      </c>
      <c r="D52" s="1387" t="s">
        <v>1466</v>
      </c>
      <c r="E52" s="1388" t="s">
        <v>1466</v>
      </c>
      <c r="F52" s="1361">
        <v>101</v>
      </c>
      <c r="G52" s="1382" t="str">
        <f>D52</f>
        <v>x</v>
      </c>
      <c r="H52" s="1367" t="str">
        <f t="shared" si="5"/>
        <v>x</v>
      </c>
      <c r="I52" s="1359"/>
      <c r="L52"/>
      <c r="M52"/>
      <c r="N52"/>
      <c r="O52"/>
      <c r="P52"/>
    </row>
    <row r="53" spans="1:16" ht="15.75" thickTop="1" x14ac:dyDescent="0.25">
      <c r="A53" s="1481">
        <v>11</v>
      </c>
      <c r="B53" s="2822" t="s">
        <v>1474</v>
      </c>
      <c r="C53" s="2823"/>
      <c r="D53" s="1347">
        <f>D54+D56</f>
        <v>3688.8</v>
      </c>
      <c r="E53" s="1482" t="s">
        <v>1466</v>
      </c>
      <c r="F53" s="1483" t="s">
        <v>1466</v>
      </c>
      <c r="G53" s="1383">
        <f>D53+E53+F53</f>
        <v>3688.8</v>
      </c>
      <c r="H53" s="1368">
        <f t="shared" si="5"/>
        <v>3688.8</v>
      </c>
      <c r="I53" s="1349"/>
      <c r="L53"/>
      <c r="M53"/>
      <c r="N53"/>
      <c r="O53"/>
      <c r="P53"/>
    </row>
    <row r="54" spans="1:16" ht="15" x14ac:dyDescent="0.25">
      <c r="A54" s="1473">
        <v>12</v>
      </c>
      <c r="B54" s="1484" t="s">
        <v>509</v>
      </c>
      <c r="C54" s="1485" t="s">
        <v>1493</v>
      </c>
      <c r="D54" s="1353">
        <f>2339.8</f>
        <v>2339.8000000000002</v>
      </c>
      <c r="E54" s="1354" t="s">
        <v>1466</v>
      </c>
      <c r="F54" s="1486" t="s">
        <v>1466</v>
      </c>
      <c r="G54" s="1384">
        <f>SUM(D54:F54)</f>
        <v>2339.8000000000002</v>
      </c>
      <c r="H54" s="1369">
        <f t="shared" si="5"/>
        <v>2339.8000000000002</v>
      </c>
      <c r="I54" s="1355"/>
      <c r="L54"/>
      <c r="M54"/>
      <c r="N54"/>
      <c r="O54"/>
      <c r="P54"/>
    </row>
    <row r="55" spans="1:16" ht="15" x14ac:dyDescent="0.25">
      <c r="A55" s="1473">
        <v>13</v>
      </c>
      <c r="B55" s="1487"/>
      <c r="C55" s="1488" t="s">
        <v>574</v>
      </c>
      <c r="D55" s="1476" t="s">
        <v>1466</v>
      </c>
      <c r="E55" s="1354" t="s">
        <v>1466</v>
      </c>
      <c r="F55" s="1486" t="s">
        <v>1466</v>
      </c>
      <c r="G55" s="1489" t="s">
        <v>1466</v>
      </c>
      <c r="H55" s="1369" t="str">
        <f t="shared" si="5"/>
        <v>x</v>
      </c>
      <c r="I55" s="1355"/>
      <c r="L55"/>
      <c r="M55"/>
      <c r="N55"/>
      <c r="O55"/>
      <c r="P55"/>
    </row>
    <row r="56" spans="1:16" ht="15.75" thickBot="1" x14ac:dyDescent="0.3">
      <c r="A56" s="1362">
        <v>14</v>
      </c>
      <c r="B56" s="1490"/>
      <c r="C56" s="1491" t="s">
        <v>1475</v>
      </c>
      <c r="D56" s="1358">
        <v>1349</v>
      </c>
      <c r="E56" s="1492" t="s">
        <v>1466</v>
      </c>
      <c r="F56" s="1493" t="s">
        <v>1466</v>
      </c>
      <c r="G56" s="1382">
        <f>SUM(D56:F56)</f>
        <v>1349</v>
      </c>
      <c r="H56" s="1367">
        <f>G56</f>
        <v>1349</v>
      </c>
      <c r="I56" s="1359"/>
      <c r="L56"/>
      <c r="M56"/>
      <c r="N56"/>
      <c r="O56"/>
      <c r="P56"/>
    </row>
    <row r="57" spans="1:16" ht="15.75" thickTop="1" x14ac:dyDescent="0.25">
      <c r="A57" s="1481">
        <v>16</v>
      </c>
      <c r="B57" s="2822" t="s">
        <v>1476</v>
      </c>
      <c r="C57" s="2823"/>
      <c r="D57" s="1347">
        <f>SUM(D58:D61)</f>
        <v>581</v>
      </c>
      <c r="E57" s="1482"/>
      <c r="F57" s="1494" t="s">
        <v>1466</v>
      </c>
      <c r="G57" s="1383">
        <f>D57+E57+F57</f>
        <v>581</v>
      </c>
      <c r="H57" s="1370">
        <f>G57</f>
        <v>581</v>
      </c>
      <c r="I57" s="1495"/>
      <c r="L57"/>
      <c r="M57"/>
      <c r="N57"/>
      <c r="O57"/>
      <c r="P57"/>
    </row>
    <row r="58" spans="1:16" ht="15" x14ac:dyDescent="0.25">
      <c r="A58" s="1473">
        <v>17</v>
      </c>
      <c r="B58" s="1484" t="s">
        <v>509</v>
      </c>
      <c r="C58" s="1488" t="s">
        <v>576</v>
      </c>
      <c r="D58" s="1353">
        <v>0</v>
      </c>
      <c r="E58" s="1354" t="s">
        <v>1466</v>
      </c>
      <c r="F58" s="1486" t="s">
        <v>1466</v>
      </c>
      <c r="G58" s="1384">
        <f>SUM(D58:F58)</f>
        <v>0</v>
      </c>
      <c r="H58" s="1369">
        <f t="shared" ref="H58:H59" si="7">G58</f>
        <v>0</v>
      </c>
      <c r="I58" s="1355"/>
      <c r="L58"/>
      <c r="M58"/>
      <c r="N58"/>
      <c r="O58"/>
      <c r="P58"/>
    </row>
    <row r="59" spans="1:16" ht="15" x14ac:dyDescent="0.25">
      <c r="A59" s="1473">
        <v>18</v>
      </c>
      <c r="B59" s="1487"/>
      <c r="C59" s="1488" t="s">
        <v>574</v>
      </c>
      <c r="D59" s="1496">
        <v>0</v>
      </c>
      <c r="E59" s="1354" t="s">
        <v>1466</v>
      </c>
      <c r="F59" s="1486" t="s">
        <v>1466</v>
      </c>
      <c r="G59" s="1384">
        <f t="shared" ref="G59:G60" si="8">SUM(D59:F59)</f>
        <v>0</v>
      </c>
      <c r="H59" s="1369">
        <f t="shared" si="7"/>
        <v>0</v>
      </c>
      <c r="I59" s="1355"/>
      <c r="L59"/>
      <c r="M59"/>
      <c r="N59"/>
      <c r="O59"/>
      <c r="P59"/>
    </row>
    <row r="60" spans="1:16" ht="15.75" thickBot="1" x14ac:dyDescent="0.3">
      <c r="A60" s="1288">
        <v>19</v>
      </c>
      <c r="B60" s="1497"/>
      <c r="C60" s="1498" t="s">
        <v>1477</v>
      </c>
      <c r="D60" s="1499">
        <f>581</f>
        <v>581</v>
      </c>
      <c r="E60" s="1388" t="s">
        <v>1466</v>
      </c>
      <c r="F60" s="1500" t="s">
        <v>1466</v>
      </c>
      <c r="G60" s="1501">
        <f t="shared" si="8"/>
        <v>581</v>
      </c>
      <c r="H60" s="1371">
        <f>G60</f>
        <v>581</v>
      </c>
      <c r="I60" s="1290"/>
      <c r="L60"/>
      <c r="M60"/>
      <c r="N60"/>
      <c r="O60"/>
      <c r="P60"/>
    </row>
    <row r="61" spans="1:16" ht="15.75" hidden="1" thickBot="1" x14ac:dyDescent="0.25">
      <c r="A61" s="1296"/>
      <c r="B61" s="1292"/>
      <c r="C61" s="1310"/>
      <c r="D61" s="1311"/>
      <c r="E61" s="1308" t="s">
        <v>1466</v>
      </c>
      <c r="F61" s="1293"/>
      <c r="G61" s="1381">
        <f>SUM(D61:F61)</f>
        <v>0</v>
      </c>
      <c r="H61" s="1312">
        <f>G61</f>
        <v>0</v>
      </c>
      <c r="I61" s="1313"/>
      <c r="L61" s="1572">
        <v>549</v>
      </c>
      <c r="M61" s="1573">
        <v>549497</v>
      </c>
      <c r="N61" s="1578" t="s">
        <v>1452</v>
      </c>
      <c r="O61" s="1574">
        <f t="shared" ref="O61:O64" si="9">P61/1000</f>
        <v>4995</v>
      </c>
      <c r="P61" s="1824">
        <v>4995000</v>
      </c>
    </row>
    <row r="62" spans="1:16" ht="15.75" hidden="1" thickBot="1" x14ac:dyDescent="0.25">
      <c r="A62" s="1304"/>
      <c r="B62" s="1314"/>
      <c r="C62" s="1315"/>
      <c r="D62" s="1316"/>
      <c r="E62" s="1317"/>
      <c r="F62" s="1318"/>
      <c r="G62" s="1385"/>
      <c r="H62" s="1320"/>
      <c r="I62" s="1319"/>
      <c r="L62" s="1572">
        <v>549</v>
      </c>
      <c r="M62" s="1573">
        <v>549498</v>
      </c>
      <c r="N62" s="1578" t="s">
        <v>1453</v>
      </c>
      <c r="O62" s="1574">
        <f t="shared" si="9"/>
        <v>6722.7277400000003</v>
      </c>
      <c r="P62" s="1824">
        <v>6722727.7400000002</v>
      </c>
    </row>
    <row r="63" spans="1:16" ht="15.75" hidden="1" thickBot="1" x14ac:dyDescent="0.25">
      <c r="A63" s="1304"/>
      <c r="B63" s="1314"/>
      <c r="C63" s="1309"/>
      <c r="D63" s="1294"/>
      <c r="E63" s="1307"/>
      <c r="F63" s="1295"/>
      <c r="G63" s="1385"/>
      <c r="H63" s="1320"/>
      <c r="I63" s="1319"/>
      <c r="L63" s="1572">
        <v>549</v>
      </c>
      <c r="M63" s="1573">
        <v>549499</v>
      </c>
      <c r="N63" s="1578" t="s">
        <v>1454</v>
      </c>
      <c r="O63" s="1574">
        <f t="shared" si="9"/>
        <v>4346.0687600000001</v>
      </c>
      <c r="P63" s="1824">
        <v>4346068.76</v>
      </c>
    </row>
    <row r="64" spans="1:16" ht="15.75" hidden="1" thickBot="1" x14ac:dyDescent="0.3">
      <c r="A64" s="1304"/>
      <c r="B64" s="1321"/>
      <c r="C64" s="1322"/>
      <c r="D64" s="1305"/>
      <c r="E64" s="1306"/>
      <c r="F64" s="1323"/>
      <c r="G64" s="1385"/>
      <c r="H64" s="1320"/>
      <c r="I64" s="1319"/>
      <c r="L64" s="1820"/>
      <c r="M64" s="1821"/>
      <c r="N64" s="1819"/>
      <c r="O64" s="1844">
        <f t="shared" si="9"/>
        <v>16063.7965</v>
      </c>
      <c r="P64" s="1843">
        <f>SUM(P50:P63)</f>
        <v>16063796.5</v>
      </c>
    </row>
    <row r="65" spans="1:16" ht="14.25" thickTop="1" thickBot="1" x14ac:dyDescent="0.25">
      <c r="A65" s="1277">
        <v>20</v>
      </c>
      <c r="B65" s="2819" t="s">
        <v>1478</v>
      </c>
      <c r="C65" s="2820"/>
      <c r="D65" s="1299">
        <f>4995</f>
        <v>4995</v>
      </c>
      <c r="E65" s="1300"/>
      <c r="F65" s="1279"/>
      <c r="G65" s="1379">
        <f>D65+E65+F65</f>
        <v>4995</v>
      </c>
      <c r="H65" s="1324">
        <f>G65</f>
        <v>4995</v>
      </c>
      <c r="I65" s="1325"/>
    </row>
    <row r="66" spans="1:16" ht="13.5" thickTop="1" x14ac:dyDescent="0.2">
      <c r="A66" s="1304">
        <v>21</v>
      </c>
      <c r="B66" s="2817" t="s">
        <v>1479</v>
      </c>
      <c r="C66" s="2818"/>
      <c r="D66" s="1510"/>
      <c r="E66" s="1511"/>
      <c r="F66" s="1512">
        <f xml:space="preserve"> SUM(F68:F75)</f>
        <v>4867</v>
      </c>
      <c r="G66" s="1380">
        <f>D66+E66+F66</f>
        <v>4867</v>
      </c>
      <c r="H66" s="1513">
        <f xml:space="preserve"> SUM(H68:H75)</f>
        <v>4867</v>
      </c>
      <c r="I66" s="1514"/>
    </row>
    <row r="67" spans="1:16" x14ac:dyDescent="0.2">
      <c r="A67" s="1288">
        <v>22</v>
      </c>
      <c r="B67" s="1515" t="s">
        <v>1480</v>
      </c>
      <c r="C67" s="1516" t="s">
        <v>1481</v>
      </c>
      <c r="D67" s="1476"/>
      <c r="E67" s="1354"/>
      <c r="F67" s="1477"/>
      <c r="G67" s="1517"/>
      <c r="H67" s="1503"/>
      <c r="I67" s="1504"/>
    </row>
    <row r="68" spans="1:16" x14ac:dyDescent="0.2">
      <c r="A68" s="1291">
        <f>A67+1</f>
        <v>23</v>
      </c>
      <c r="B68" s="1502"/>
      <c r="C68" s="1475" t="s">
        <v>1482</v>
      </c>
      <c r="D68" s="1476" t="s">
        <v>1466</v>
      </c>
      <c r="E68" s="1354" t="s">
        <v>1466</v>
      </c>
      <c r="F68" s="1477">
        <v>521</v>
      </c>
      <c r="G68" s="1384">
        <f>SUM(D68:F68)</f>
        <v>521</v>
      </c>
      <c r="H68" s="1503">
        <f t="shared" ref="H68:H75" si="10">G68</f>
        <v>521</v>
      </c>
      <c r="I68" s="1504"/>
    </row>
    <row r="69" spans="1:16" x14ac:dyDescent="0.2">
      <c r="A69" s="1291">
        <f t="shared" ref="A69:A75" si="11">A68+1</f>
        <v>24</v>
      </c>
      <c r="B69" s="1502"/>
      <c r="C69" s="1505" t="s">
        <v>1494</v>
      </c>
      <c r="D69" s="1476" t="s">
        <v>1466</v>
      </c>
      <c r="E69" s="1354" t="s">
        <v>1466</v>
      </c>
      <c r="F69" s="1477">
        <v>47</v>
      </c>
      <c r="G69" s="1384">
        <f t="shared" ref="G69:G75" si="12">SUM(D69:F69)</f>
        <v>47</v>
      </c>
      <c r="H69" s="1503">
        <f t="shared" si="10"/>
        <v>47</v>
      </c>
      <c r="I69" s="1504"/>
    </row>
    <row r="70" spans="1:16" x14ac:dyDescent="0.2">
      <c r="A70" s="1291">
        <f t="shared" si="11"/>
        <v>25</v>
      </c>
      <c r="B70" s="1502"/>
      <c r="C70" s="1475" t="s">
        <v>1484</v>
      </c>
      <c r="D70" s="1476" t="s">
        <v>1466</v>
      </c>
      <c r="E70" s="1354" t="s">
        <v>1466</v>
      </c>
      <c r="F70" s="1477">
        <v>22</v>
      </c>
      <c r="G70" s="1384">
        <f t="shared" si="12"/>
        <v>22</v>
      </c>
      <c r="H70" s="1503">
        <f t="shared" si="10"/>
        <v>22</v>
      </c>
      <c r="I70" s="1504"/>
    </row>
    <row r="71" spans="1:16" x14ac:dyDescent="0.2">
      <c r="A71" s="1291">
        <f t="shared" si="11"/>
        <v>26</v>
      </c>
      <c r="B71" s="1502"/>
      <c r="C71" s="1475" t="s">
        <v>1485</v>
      </c>
      <c r="D71" s="1476" t="s">
        <v>1466</v>
      </c>
      <c r="E71" s="1354" t="s">
        <v>1466</v>
      </c>
      <c r="F71" s="1477">
        <v>104</v>
      </c>
      <c r="G71" s="1384">
        <f t="shared" si="12"/>
        <v>104</v>
      </c>
      <c r="H71" s="1503">
        <f t="shared" si="10"/>
        <v>104</v>
      </c>
      <c r="I71" s="1504"/>
    </row>
    <row r="72" spans="1:16" x14ac:dyDescent="0.2">
      <c r="A72" s="1291">
        <f t="shared" si="11"/>
        <v>27</v>
      </c>
      <c r="B72" s="1502"/>
      <c r="C72" s="1475" t="s">
        <v>1486</v>
      </c>
      <c r="D72" s="1476" t="s">
        <v>1466</v>
      </c>
      <c r="E72" s="1354" t="s">
        <v>1466</v>
      </c>
      <c r="F72" s="1477">
        <v>855</v>
      </c>
      <c r="G72" s="1384">
        <f t="shared" si="12"/>
        <v>855</v>
      </c>
      <c r="H72" s="1503">
        <f t="shared" si="10"/>
        <v>855</v>
      </c>
      <c r="I72" s="1504"/>
    </row>
    <row r="73" spans="1:16" x14ac:dyDescent="0.2">
      <c r="A73" s="1291">
        <f t="shared" si="11"/>
        <v>28</v>
      </c>
      <c r="B73" s="1502"/>
      <c r="C73" s="1505" t="s">
        <v>1495</v>
      </c>
      <c r="D73" s="1476" t="s">
        <v>1466</v>
      </c>
      <c r="E73" s="1354" t="s">
        <v>1466</v>
      </c>
      <c r="F73" s="1477">
        <f>14+3071</f>
        <v>3085</v>
      </c>
      <c r="G73" s="1384">
        <f t="shared" si="12"/>
        <v>3085</v>
      </c>
      <c r="H73" s="1503">
        <f t="shared" si="10"/>
        <v>3085</v>
      </c>
      <c r="I73" s="1504"/>
    </row>
    <row r="74" spans="1:16" ht="13.5" thickBot="1" x14ac:dyDescent="0.25">
      <c r="A74" s="1296">
        <f t="shared" si="11"/>
        <v>29</v>
      </c>
      <c r="B74" s="1506"/>
      <c r="C74" s="1364" t="s">
        <v>1487</v>
      </c>
      <c r="D74" s="1507" t="s">
        <v>1466</v>
      </c>
      <c r="E74" s="1492" t="s">
        <v>1466</v>
      </c>
      <c r="F74" s="1365">
        <v>233</v>
      </c>
      <c r="G74" s="1382">
        <f t="shared" si="12"/>
        <v>233</v>
      </c>
      <c r="H74" s="1508">
        <f t="shared" si="10"/>
        <v>233</v>
      </c>
      <c r="I74" s="1509"/>
    </row>
    <row r="75" spans="1:16" ht="13.5" hidden="1" thickBot="1" x14ac:dyDescent="0.25">
      <c r="A75" s="1326">
        <f t="shared" si="11"/>
        <v>30</v>
      </c>
      <c r="B75" s="1327"/>
      <c r="C75" s="1328" t="s">
        <v>1483</v>
      </c>
      <c r="D75" s="1329" t="s">
        <v>1466</v>
      </c>
      <c r="E75" s="1330" t="s">
        <v>1466</v>
      </c>
      <c r="F75" s="1331">
        <v>0</v>
      </c>
      <c r="G75" s="1389">
        <f t="shared" si="12"/>
        <v>0</v>
      </c>
      <c r="H75" s="1332">
        <f t="shared" si="10"/>
        <v>0</v>
      </c>
      <c r="I75" s="1333"/>
    </row>
    <row r="76" spans="1:16" ht="13.5" thickTop="1" x14ac:dyDescent="0.2">
      <c r="A76" s="1372"/>
      <c r="B76" s="1345"/>
      <c r="C76" s="1345"/>
      <c r="D76" s="1373"/>
      <c r="E76" s="1374"/>
      <c r="F76" s="1375"/>
      <c r="G76" s="1376"/>
      <c r="H76" s="1377"/>
      <c r="I76" s="1377"/>
    </row>
    <row r="77" spans="1:16" ht="15.75" x14ac:dyDescent="0.25">
      <c r="A77" s="1334" t="s">
        <v>1488</v>
      </c>
      <c r="B77" s="1335" t="s">
        <v>1489</v>
      </c>
      <c r="C77" s="1336"/>
      <c r="D77" s="1337"/>
      <c r="E77" s="1337"/>
      <c r="F77" s="1337"/>
      <c r="G77" s="1338"/>
      <c r="H77" s="1338"/>
      <c r="I77" s="1339"/>
      <c r="L77"/>
      <c r="M77"/>
      <c r="N77"/>
      <c r="O77"/>
      <c r="P77"/>
    </row>
    <row r="78" spans="1:16" ht="15" x14ac:dyDescent="0.25">
      <c r="A78" s="1340" t="s">
        <v>1490</v>
      </c>
      <c r="B78" s="1341"/>
      <c r="C78" s="1341"/>
      <c r="D78" s="1340"/>
      <c r="E78" s="1340"/>
      <c r="F78" s="1342"/>
      <c r="G78" s="1343"/>
      <c r="H78" s="1343"/>
      <c r="I78" s="1344"/>
      <c r="L78"/>
      <c r="M78"/>
      <c r="N78"/>
      <c r="O78"/>
      <c r="P78"/>
    </row>
    <row r="79" spans="1:16" ht="15" x14ac:dyDescent="0.25">
      <c r="A79" s="1340" t="s">
        <v>1491</v>
      </c>
      <c r="B79" s="1341"/>
      <c r="C79" s="1341"/>
      <c r="D79" s="1340"/>
      <c r="E79" s="1340"/>
      <c r="F79" s="1342"/>
      <c r="G79" s="1343"/>
      <c r="H79" s="1343"/>
      <c r="I79" s="1344"/>
      <c r="L79"/>
      <c r="M79"/>
      <c r="N79"/>
      <c r="O79"/>
      <c r="P79"/>
    </row>
    <row r="80" spans="1:16" ht="15" x14ac:dyDescent="0.25">
      <c r="A80" s="324"/>
      <c r="B80" s="1336"/>
      <c r="C80" s="1336"/>
      <c r="D80" s="1336"/>
      <c r="E80" s="1336"/>
      <c r="F80" s="1336"/>
      <c r="G80" s="1343"/>
      <c r="H80" s="1343"/>
      <c r="I80" s="1344"/>
      <c r="L80"/>
      <c r="M80"/>
      <c r="N80"/>
      <c r="O80"/>
      <c r="P80"/>
    </row>
    <row r="81" spans="1:16" ht="15.75" x14ac:dyDescent="0.25">
      <c r="A81" s="1128" t="s">
        <v>1325</v>
      </c>
      <c r="B81" s="1129"/>
      <c r="C81" s="1130"/>
      <c r="D81" s="1130"/>
      <c r="E81" s="139"/>
      <c r="F81" s="139"/>
      <c r="G81" s="139"/>
      <c r="H81" s="139"/>
      <c r="I81" s="139"/>
      <c r="L81"/>
      <c r="M81"/>
      <c r="N81"/>
      <c r="O81"/>
      <c r="P81"/>
    </row>
    <row r="82" spans="1:16" ht="15" x14ac:dyDescent="0.25">
      <c r="A82" s="1131" t="s">
        <v>1492</v>
      </c>
      <c r="B82" s="1131"/>
      <c r="C82" s="1132"/>
      <c r="D82" s="1132"/>
      <c r="E82" s="139"/>
      <c r="F82" s="139"/>
      <c r="G82" s="139"/>
      <c r="H82" s="139"/>
      <c r="I82" s="139"/>
      <c r="L82"/>
      <c r="M82"/>
      <c r="N82"/>
      <c r="O82"/>
      <c r="P82"/>
    </row>
    <row r="83" spans="1:16" ht="15" x14ac:dyDescent="0.25">
      <c r="A83" s="1131" t="s">
        <v>1328</v>
      </c>
      <c r="B83" s="1131"/>
      <c r="C83" s="1132"/>
      <c r="D83" s="1132"/>
      <c r="E83" s="139"/>
      <c r="F83" s="139"/>
      <c r="G83" s="139"/>
      <c r="H83" s="139"/>
      <c r="I83" s="139"/>
      <c r="L83"/>
      <c r="M83"/>
      <c r="N83"/>
      <c r="O83"/>
      <c r="P83"/>
    </row>
    <row r="84" spans="1:16" ht="15" x14ac:dyDescent="0.25">
      <c r="A84" s="1134" t="s">
        <v>1329</v>
      </c>
      <c r="B84" s="18"/>
      <c r="C84" s="18"/>
      <c r="D84" s="18"/>
      <c r="E84" s="18"/>
      <c r="F84" s="18"/>
      <c r="G84" s="18"/>
      <c r="H84" s="18"/>
      <c r="I84" s="18"/>
      <c r="L84"/>
      <c r="M84"/>
      <c r="N84"/>
      <c r="O84"/>
      <c r="P84"/>
    </row>
    <row r="85" spans="1:16" ht="15" x14ac:dyDescent="0.25">
      <c r="A85" s="139"/>
      <c r="B85" s="139"/>
      <c r="C85" s="139"/>
      <c r="D85" s="139"/>
      <c r="E85" s="139"/>
      <c r="F85" s="139"/>
      <c r="G85" s="139"/>
      <c r="H85" s="139"/>
      <c r="I85" s="139"/>
      <c r="L85"/>
      <c r="M85"/>
      <c r="N85"/>
      <c r="O85"/>
      <c r="P85"/>
    </row>
    <row r="86" spans="1:16" ht="15" x14ac:dyDescent="0.25">
      <c r="L86"/>
      <c r="M86"/>
      <c r="N86"/>
      <c r="O86"/>
      <c r="P86"/>
    </row>
    <row r="87" spans="1:16" ht="15" x14ac:dyDescent="0.25">
      <c r="L87"/>
      <c r="M87"/>
      <c r="N87"/>
      <c r="O87"/>
      <c r="P87"/>
    </row>
  </sheetData>
  <sheetProtection insertColumns="0" insertRows="0" deleteColumns="0" deleteRows="0"/>
  <customSheetViews>
    <customSheetView guid="{2AF6EA2A-E5C5-45EB-B6C4-875AD1E4E056}" fitToPage="1">
      <pageMargins left="0.39370078740157483" right="0.39370078740157483" top="0.59055118110236227" bottom="0.39370078740157483" header="0.23622047244094491" footer="0.51181102362204722"/>
      <printOptions horizontalCentered="1"/>
      <pageSetup paperSize="9" scale="75" orientation="landscape" r:id="rId1"/>
      <headerFooter alignWithMargins="0"/>
    </customSheetView>
  </customSheetViews>
  <mergeCells count="42">
    <mergeCell ref="A30:I30"/>
    <mergeCell ref="D3:G3"/>
    <mergeCell ref="B23:C23"/>
    <mergeCell ref="B8:C8"/>
    <mergeCell ref="B9:C9"/>
    <mergeCell ref="B15:C15"/>
    <mergeCell ref="I4:I5"/>
    <mergeCell ref="H3:I3"/>
    <mergeCell ref="B10:C10"/>
    <mergeCell ref="B12:C12"/>
    <mergeCell ref="E4:E5"/>
    <mergeCell ref="B11:C11"/>
    <mergeCell ref="A3:A6"/>
    <mergeCell ref="B3:C6"/>
    <mergeCell ref="D4:D5"/>
    <mergeCell ref="F4:F5"/>
    <mergeCell ref="B24:C24"/>
    <mergeCell ref="H4:H5"/>
    <mergeCell ref="G4:G5"/>
    <mergeCell ref="B19:C19"/>
    <mergeCell ref="B13:C13"/>
    <mergeCell ref="A36:A38"/>
    <mergeCell ref="B36:C38"/>
    <mergeCell ref="D36:G36"/>
    <mergeCell ref="H36:I36"/>
    <mergeCell ref="D37:D38"/>
    <mergeCell ref="E37:E38"/>
    <mergeCell ref="F37:F38"/>
    <mergeCell ref="G37:G38"/>
    <mergeCell ref="H37:H38"/>
    <mergeCell ref="I37:I38"/>
    <mergeCell ref="B39:C39"/>
    <mergeCell ref="B41:C41"/>
    <mergeCell ref="B42:C42"/>
    <mergeCell ref="B45:C45"/>
    <mergeCell ref="B48:C48"/>
    <mergeCell ref="B66:C66"/>
    <mergeCell ref="B49:C49"/>
    <mergeCell ref="B50:C50"/>
    <mergeCell ref="B53:C53"/>
    <mergeCell ref="B57:C57"/>
    <mergeCell ref="B65:C65"/>
  </mergeCells>
  <printOptions horizontalCentered="1" verticalCentered="1"/>
  <pageMargins left="0" right="0" top="0" bottom="0" header="0" footer="0"/>
  <pageSetup paperSize="9" scale="83" orientation="landscape" r:id="rId2"/>
  <headerFooter alignWithMargins="0"/>
  <ignoredErrors>
    <ignoredError sqref="C18 C22 C25" numberStoredAsText="1"/>
    <ignoredError sqref="G24" formula="1"/>
  </ignoredError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61"/>
  <sheetViews>
    <sheetView zoomScaleNormal="100" workbookViewId="0">
      <selection activeCell="G90" sqref="G90"/>
    </sheetView>
  </sheetViews>
  <sheetFormatPr defaultRowHeight="12.75" x14ac:dyDescent="0.25"/>
  <cols>
    <col min="1" max="1" width="3.42578125" style="18" customWidth="1"/>
    <col min="2" max="2" width="15.42578125" style="18" customWidth="1"/>
    <col min="3" max="4" width="10.7109375" style="18" customWidth="1"/>
    <col min="5" max="5" width="11.42578125" style="18" customWidth="1"/>
    <col min="6" max="6" width="12.140625" style="18" customWidth="1"/>
    <col min="7" max="14" width="10.7109375" style="18" customWidth="1"/>
    <col min="15" max="15" width="11.85546875" style="18" customWidth="1"/>
    <col min="16" max="16384" width="9.140625" style="18"/>
  </cols>
  <sheetData>
    <row r="2" spans="1:14" ht="18" hidden="1" customHeight="1" x14ac:dyDescent="0.25">
      <c r="A2" s="22" t="s">
        <v>820</v>
      </c>
      <c r="B2" s="17"/>
      <c r="C2" s="17"/>
      <c r="D2" s="17"/>
      <c r="E2" s="17"/>
      <c r="F2" s="17"/>
      <c r="G2" s="17"/>
      <c r="H2" s="17"/>
      <c r="I2" s="17"/>
      <c r="J2" s="17"/>
      <c r="K2" s="17"/>
      <c r="L2" s="17"/>
    </row>
    <row r="3" spans="1:14" ht="18" hidden="1" customHeight="1" x14ac:dyDescent="0.25">
      <c r="A3" s="22"/>
      <c r="B3" s="17"/>
      <c r="C3" s="17"/>
      <c r="D3" s="17"/>
      <c r="E3" s="17"/>
      <c r="F3" s="17"/>
      <c r="G3" s="17"/>
      <c r="H3" s="17"/>
      <c r="I3" s="17"/>
      <c r="J3" s="17"/>
      <c r="K3" s="17"/>
      <c r="L3" s="17"/>
    </row>
    <row r="4" spans="1:14" ht="18" hidden="1" customHeight="1" x14ac:dyDescent="0.25">
      <c r="A4" s="174" t="s">
        <v>821</v>
      </c>
      <c r="B4" s="17"/>
      <c r="C4" s="17"/>
      <c r="D4" s="17"/>
      <c r="E4" s="17"/>
      <c r="F4" s="17"/>
      <c r="G4" s="17"/>
      <c r="H4" s="17"/>
      <c r="I4" s="17"/>
      <c r="J4" s="17"/>
      <c r="K4" s="17"/>
      <c r="L4" s="17"/>
    </row>
    <row r="5" spans="1:14" ht="12.75" hidden="1" customHeight="1" thickBot="1" x14ac:dyDescent="0.3">
      <c r="A5" s="17"/>
      <c r="B5" s="17"/>
      <c r="C5" s="17"/>
      <c r="D5" s="17"/>
      <c r="E5" s="17"/>
      <c r="F5" s="17"/>
      <c r="G5" s="17"/>
      <c r="H5" s="17"/>
      <c r="I5" s="17"/>
      <c r="J5" s="17"/>
      <c r="K5" s="23"/>
      <c r="L5" s="17"/>
      <c r="N5" s="23" t="s">
        <v>578</v>
      </c>
    </row>
    <row r="6" spans="1:14" ht="16.5" hidden="1" customHeight="1" x14ac:dyDescent="0.25">
      <c r="A6" s="2903" t="s">
        <v>479</v>
      </c>
      <c r="B6" s="2894" t="s">
        <v>652</v>
      </c>
      <c r="C6" s="2883" t="s">
        <v>427</v>
      </c>
      <c r="D6" s="2884"/>
      <c r="E6" s="2897" t="s">
        <v>579</v>
      </c>
      <c r="F6" s="2898"/>
      <c r="G6" s="2898"/>
      <c r="H6" s="2898"/>
      <c r="I6" s="2898"/>
      <c r="J6" s="2898"/>
      <c r="K6" s="2898"/>
      <c r="L6" s="2899"/>
      <c r="M6" s="2883" t="s">
        <v>647</v>
      </c>
      <c r="N6" s="2884"/>
    </row>
    <row r="7" spans="1:14" ht="17.25" hidden="1" customHeight="1" x14ac:dyDescent="0.25">
      <c r="A7" s="2904"/>
      <c r="B7" s="2895"/>
      <c r="C7" s="2890" t="s">
        <v>580</v>
      </c>
      <c r="D7" s="2892" t="s">
        <v>581</v>
      </c>
      <c r="E7" s="2900" t="s">
        <v>580</v>
      </c>
      <c r="F7" s="2901"/>
      <c r="G7" s="2901"/>
      <c r="H7" s="2901"/>
      <c r="I7" s="2902"/>
      <c r="J7" s="2906" t="s">
        <v>581</v>
      </c>
      <c r="K7" s="2906"/>
      <c r="L7" s="2907"/>
      <c r="M7" s="2890" t="s">
        <v>580</v>
      </c>
      <c r="N7" s="2892" t="s">
        <v>581</v>
      </c>
    </row>
    <row r="8" spans="1:14" ht="30.75" hidden="1" customHeight="1" x14ac:dyDescent="0.25">
      <c r="A8" s="2904"/>
      <c r="B8" s="2896"/>
      <c r="C8" s="2891"/>
      <c r="D8" s="2893"/>
      <c r="E8" s="418" t="s">
        <v>582</v>
      </c>
      <c r="F8" s="419" t="s">
        <v>871</v>
      </c>
      <c r="G8" s="420" t="s">
        <v>872</v>
      </c>
      <c r="H8" s="419" t="s">
        <v>585</v>
      </c>
      <c r="I8" s="419" t="s">
        <v>519</v>
      </c>
      <c r="J8" s="419" t="s">
        <v>583</v>
      </c>
      <c r="K8" s="419" t="s">
        <v>482</v>
      </c>
      <c r="L8" s="421" t="s">
        <v>519</v>
      </c>
      <c r="M8" s="2891"/>
      <c r="N8" s="2893"/>
    </row>
    <row r="9" spans="1:14" s="19" customFormat="1" ht="13.5" hidden="1" customHeight="1" thickBot="1" x14ac:dyDescent="0.3">
      <c r="A9" s="2905"/>
      <c r="B9" s="413" t="s">
        <v>558</v>
      </c>
      <c r="C9" s="414" t="s">
        <v>559</v>
      </c>
      <c r="D9" s="413" t="s">
        <v>560</v>
      </c>
      <c r="E9" s="414" t="s">
        <v>561</v>
      </c>
      <c r="F9" s="415" t="s">
        <v>562</v>
      </c>
      <c r="G9" s="416" t="s">
        <v>563</v>
      </c>
      <c r="H9" s="416" t="s">
        <v>564</v>
      </c>
      <c r="I9" s="415" t="s">
        <v>565</v>
      </c>
      <c r="J9" s="415" t="s">
        <v>566</v>
      </c>
      <c r="K9" s="415" t="s">
        <v>567</v>
      </c>
      <c r="L9" s="417" t="s">
        <v>610</v>
      </c>
      <c r="M9" s="414" t="s">
        <v>648</v>
      </c>
      <c r="N9" s="413" t="s">
        <v>649</v>
      </c>
    </row>
    <row r="10" spans="1:14" ht="13.5" hidden="1" customHeight="1" x14ac:dyDescent="0.25">
      <c r="A10" s="411">
        <v>1</v>
      </c>
      <c r="B10" s="406"/>
      <c r="C10" s="248"/>
      <c r="D10" s="249"/>
      <c r="E10" s="250"/>
      <c r="F10" s="251"/>
      <c r="G10" s="252"/>
      <c r="H10" s="252"/>
      <c r="I10" s="251">
        <f>+E10+F10+G10+H10</f>
        <v>0</v>
      </c>
      <c r="J10" s="251"/>
      <c r="K10" s="251"/>
      <c r="L10" s="253">
        <f>J10+K10</f>
        <v>0</v>
      </c>
      <c r="M10" s="248">
        <f>I10-C10</f>
        <v>0</v>
      </c>
      <c r="N10" s="249">
        <f>L10-D10</f>
        <v>0</v>
      </c>
    </row>
    <row r="11" spans="1:14" ht="13.5" hidden="1" customHeight="1" x14ac:dyDescent="0.25">
      <c r="A11" s="410">
        <f>A10+1</f>
        <v>2</v>
      </c>
      <c r="B11" s="407"/>
      <c r="C11" s="254"/>
      <c r="D11" s="255"/>
      <c r="E11" s="256"/>
      <c r="F11" s="257"/>
      <c r="G11" s="258"/>
      <c r="H11" s="258"/>
      <c r="I11" s="257">
        <f>+E11+F11+G11+H11</f>
        <v>0</v>
      </c>
      <c r="J11" s="257"/>
      <c r="K11" s="257"/>
      <c r="L11" s="253">
        <f>J11+K11</f>
        <v>0</v>
      </c>
      <c r="M11" s="248">
        <f>I11-C11</f>
        <v>0</v>
      </c>
      <c r="N11" s="249">
        <f>L11-D11</f>
        <v>0</v>
      </c>
    </row>
    <row r="12" spans="1:14" ht="13.5" hidden="1" customHeight="1" x14ac:dyDescent="0.25">
      <c r="A12" s="410">
        <f>A11+1</f>
        <v>3</v>
      </c>
      <c r="B12" s="407"/>
      <c r="C12" s="254"/>
      <c r="D12" s="255"/>
      <c r="E12" s="256"/>
      <c r="F12" s="257"/>
      <c r="G12" s="258"/>
      <c r="H12" s="258"/>
      <c r="I12" s="257">
        <f>+E12+F12+G12+H12</f>
        <v>0</v>
      </c>
      <c r="J12" s="257"/>
      <c r="K12" s="257"/>
      <c r="L12" s="253">
        <f>J12+K12</f>
        <v>0</v>
      </c>
      <c r="M12" s="248">
        <f>I12-C12</f>
        <v>0</v>
      </c>
      <c r="N12" s="249">
        <f>L12-D12</f>
        <v>0</v>
      </c>
    </row>
    <row r="13" spans="1:14" ht="13.5" hidden="1" customHeight="1" x14ac:dyDescent="0.25">
      <c r="A13" s="410">
        <f>A12+1</f>
        <v>4</v>
      </c>
      <c r="B13" s="407"/>
      <c r="C13" s="254"/>
      <c r="D13" s="255"/>
      <c r="E13" s="256"/>
      <c r="F13" s="257"/>
      <c r="G13" s="258"/>
      <c r="H13" s="258"/>
      <c r="I13" s="257">
        <f>+E13+F13+G13+H13</f>
        <v>0</v>
      </c>
      <c r="J13" s="257"/>
      <c r="K13" s="257"/>
      <c r="L13" s="253">
        <f>J13+K13</f>
        <v>0</v>
      </c>
      <c r="M13" s="248">
        <f>I13-C13</f>
        <v>0</v>
      </c>
      <c r="N13" s="249">
        <f>L13-D13</f>
        <v>0</v>
      </c>
    </row>
    <row r="14" spans="1:14" ht="13.5" hidden="1" customHeight="1" thickBot="1" x14ac:dyDescent="0.3">
      <c r="A14" s="422">
        <f>A13+1</f>
        <v>5</v>
      </c>
      <c r="B14" s="408"/>
      <c r="C14" s="259"/>
      <c r="D14" s="260"/>
      <c r="E14" s="261"/>
      <c r="F14" s="262"/>
      <c r="G14" s="263"/>
      <c r="H14" s="263"/>
      <c r="I14" s="262">
        <f>+E14+F14+G14+H14</f>
        <v>0</v>
      </c>
      <c r="J14" s="262"/>
      <c r="K14" s="262"/>
      <c r="L14" s="253">
        <f>J14+K14</f>
        <v>0</v>
      </c>
      <c r="M14" s="248">
        <f>I14-C14</f>
        <v>0</v>
      </c>
      <c r="N14" s="249">
        <f>L14-D14</f>
        <v>0</v>
      </c>
    </row>
    <row r="15" spans="1:14" ht="12.75" hidden="1" customHeight="1" thickBot="1" x14ac:dyDescent="0.3">
      <c r="A15" s="412">
        <f>A14+1</f>
        <v>6</v>
      </c>
      <c r="B15" s="409" t="s">
        <v>505</v>
      </c>
      <c r="C15" s="264">
        <f t="shared" ref="C15:M15" si="0">SUM(C10:C14)</f>
        <v>0</v>
      </c>
      <c r="D15" s="265">
        <f t="shared" si="0"/>
        <v>0</v>
      </c>
      <c r="E15" s="266">
        <f t="shared" si="0"/>
        <v>0</v>
      </c>
      <c r="F15" s="267">
        <f t="shared" si="0"/>
        <v>0</v>
      </c>
      <c r="G15" s="267">
        <f t="shared" si="0"/>
        <v>0</v>
      </c>
      <c r="H15" s="267">
        <f t="shared" si="0"/>
        <v>0</v>
      </c>
      <c r="I15" s="267">
        <f t="shared" si="0"/>
        <v>0</v>
      </c>
      <c r="J15" s="267">
        <f t="shared" si="0"/>
        <v>0</v>
      </c>
      <c r="K15" s="267">
        <f t="shared" si="0"/>
        <v>0</v>
      </c>
      <c r="L15" s="267">
        <f t="shared" si="0"/>
        <v>0</v>
      </c>
      <c r="M15" s="264">
        <f t="shared" si="0"/>
        <v>0</v>
      </c>
      <c r="N15" s="268">
        <f>SUM(N10:N14)</f>
        <v>0</v>
      </c>
    </row>
    <row r="16" spans="1:14" ht="13.5" hidden="1" customHeight="1" x14ac:dyDescent="0.25">
      <c r="A16" s="17"/>
      <c r="B16" s="17"/>
      <c r="C16" s="17"/>
      <c r="D16" s="17"/>
      <c r="E16" s="17"/>
      <c r="F16" s="17"/>
      <c r="G16" s="17"/>
      <c r="H16" s="17"/>
      <c r="I16" s="17"/>
      <c r="J16" s="17"/>
      <c r="K16" s="17"/>
      <c r="L16" s="17"/>
    </row>
    <row r="17" spans="1:14" ht="13.5" hidden="1" customHeight="1" x14ac:dyDescent="0.25">
      <c r="A17" s="12" t="s">
        <v>638</v>
      </c>
      <c r="B17" s="17"/>
      <c r="C17" s="17"/>
      <c r="D17" s="17"/>
      <c r="E17" s="17"/>
      <c r="F17" s="17"/>
      <c r="G17" s="17"/>
      <c r="H17" s="17"/>
      <c r="I17" s="17"/>
      <c r="J17" s="17"/>
      <c r="K17" s="17"/>
      <c r="L17" s="17"/>
    </row>
    <row r="18" spans="1:14" ht="13.5" hidden="1" customHeight="1" x14ac:dyDescent="0.25">
      <c r="A18" s="12" t="s">
        <v>651</v>
      </c>
      <c r="B18" s="17"/>
      <c r="C18" s="17"/>
      <c r="D18" s="17"/>
      <c r="E18" s="17"/>
      <c r="F18" s="17"/>
      <c r="G18" s="17"/>
      <c r="H18" s="17"/>
      <c r="I18" s="17"/>
      <c r="J18" s="17"/>
      <c r="K18" s="17"/>
      <c r="L18" s="17"/>
    </row>
    <row r="19" spans="1:14" ht="13.5" hidden="1" customHeight="1" x14ac:dyDescent="0.25">
      <c r="A19" s="17" t="s">
        <v>873</v>
      </c>
      <c r="B19" s="17"/>
      <c r="C19" s="17"/>
      <c r="D19" s="17"/>
      <c r="E19" s="17"/>
      <c r="F19" s="17"/>
      <c r="G19" s="17"/>
      <c r="H19" s="17"/>
      <c r="I19" s="17"/>
      <c r="J19" s="17"/>
      <c r="K19" s="17"/>
      <c r="L19" s="17"/>
    </row>
    <row r="20" spans="1:14" ht="13.5" hidden="1" customHeight="1" x14ac:dyDescent="0.25">
      <c r="A20" s="17" t="s">
        <v>874</v>
      </c>
      <c r="B20" s="324"/>
      <c r="C20" s="324"/>
      <c r="D20" s="324"/>
      <c r="E20" s="324"/>
      <c r="F20" s="324"/>
      <c r="G20" s="324"/>
      <c r="H20" s="324"/>
      <c r="I20" s="324"/>
      <c r="J20" s="324"/>
      <c r="K20" s="324"/>
      <c r="L20" s="324"/>
    </row>
    <row r="21" spans="1:14" ht="13.5" hidden="1" customHeight="1" x14ac:dyDescent="0.25">
      <c r="A21" s="24"/>
      <c r="B21" s="20"/>
      <c r="C21" s="20"/>
      <c r="D21" s="20"/>
      <c r="E21" s="20"/>
      <c r="F21" s="20"/>
      <c r="G21" s="20"/>
      <c r="H21" s="20"/>
      <c r="I21" s="20"/>
      <c r="J21" s="20"/>
      <c r="K21" s="20"/>
      <c r="L21" s="20"/>
      <c r="N21" s="21"/>
    </row>
    <row r="22" spans="1:14" s="6" customFormat="1" ht="18" hidden="1" customHeight="1" x14ac:dyDescent="0.25">
      <c r="A22" s="174" t="s">
        <v>822</v>
      </c>
      <c r="B22" s="12"/>
      <c r="C22" s="12"/>
      <c r="D22" s="12"/>
      <c r="E22" s="12"/>
      <c r="F22" s="12"/>
      <c r="G22" s="12"/>
      <c r="H22" s="12"/>
      <c r="I22" s="12"/>
      <c r="J22" s="12"/>
      <c r="K22" s="12"/>
      <c r="L22" s="5"/>
    </row>
    <row r="23" spans="1:14" s="6" customFormat="1" ht="13.5" hidden="1" customHeight="1" thickBot="1" x14ac:dyDescent="0.3">
      <c r="A23" s="12"/>
      <c r="B23" s="12"/>
      <c r="C23" s="12"/>
      <c r="D23" s="12"/>
      <c r="E23" s="12"/>
      <c r="F23" s="12"/>
      <c r="G23" s="12"/>
      <c r="H23" s="12"/>
      <c r="I23" s="12"/>
      <c r="J23" s="12"/>
      <c r="L23" s="5"/>
      <c r="N23" s="23" t="s">
        <v>578</v>
      </c>
    </row>
    <row r="24" spans="1:14" s="6" customFormat="1" ht="19.5" hidden="1" customHeight="1" x14ac:dyDescent="0.25">
      <c r="A24" s="2903" t="s">
        <v>479</v>
      </c>
      <c r="B24" s="2880" t="s">
        <v>650</v>
      </c>
      <c r="C24" s="2883" t="s">
        <v>427</v>
      </c>
      <c r="D24" s="2884"/>
      <c r="E24" s="2885" t="s">
        <v>579</v>
      </c>
      <c r="F24" s="2860"/>
      <c r="G24" s="2860"/>
      <c r="H24" s="2860"/>
      <c r="I24" s="2860"/>
      <c r="J24" s="2860"/>
      <c r="K24" s="2860"/>
      <c r="L24" s="2886"/>
      <c r="M24" s="2883" t="s">
        <v>647</v>
      </c>
      <c r="N24" s="2884"/>
    </row>
    <row r="25" spans="1:14" s="6" customFormat="1" ht="19.5" hidden="1" customHeight="1" x14ac:dyDescent="0.25">
      <c r="A25" s="2904"/>
      <c r="B25" s="2881"/>
      <c r="C25" s="2890" t="s">
        <v>580</v>
      </c>
      <c r="D25" s="2892" t="s">
        <v>581</v>
      </c>
      <c r="E25" s="2887" t="s">
        <v>580</v>
      </c>
      <c r="F25" s="2888"/>
      <c r="G25" s="2888"/>
      <c r="H25" s="2888"/>
      <c r="I25" s="2888"/>
      <c r="J25" s="2889" t="s">
        <v>581</v>
      </c>
      <c r="K25" s="2889"/>
      <c r="L25" s="2889"/>
      <c r="M25" s="2890" t="s">
        <v>580</v>
      </c>
      <c r="N25" s="2892" t="s">
        <v>581</v>
      </c>
    </row>
    <row r="26" spans="1:14" s="6" customFormat="1" ht="31.5" hidden="1" customHeight="1" x14ac:dyDescent="0.25">
      <c r="A26" s="2904"/>
      <c r="B26" s="2882"/>
      <c r="C26" s="2891"/>
      <c r="D26" s="2893"/>
      <c r="E26" s="396" t="s">
        <v>582</v>
      </c>
      <c r="F26" s="419" t="s">
        <v>871</v>
      </c>
      <c r="G26" s="420" t="s">
        <v>872</v>
      </c>
      <c r="H26" s="419" t="s">
        <v>585</v>
      </c>
      <c r="I26" s="379" t="s">
        <v>519</v>
      </c>
      <c r="J26" s="379" t="s">
        <v>584</v>
      </c>
      <c r="K26" s="379" t="s">
        <v>482</v>
      </c>
      <c r="L26" s="425" t="s">
        <v>519</v>
      </c>
      <c r="M26" s="2891"/>
      <c r="N26" s="2893"/>
    </row>
    <row r="27" spans="1:14" s="7" customFormat="1" ht="13.5" hidden="1" customHeight="1" thickBot="1" x14ac:dyDescent="0.3">
      <c r="A27" s="2905"/>
      <c r="B27" s="423" t="s">
        <v>558</v>
      </c>
      <c r="C27" s="414" t="s">
        <v>559</v>
      </c>
      <c r="D27" s="413" t="s">
        <v>560</v>
      </c>
      <c r="E27" s="394" t="s">
        <v>561</v>
      </c>
      <c r="F27" s="395" t="s">
        <v>562</v>
      </c>
      <c r="G27" s="424" t="s">
        <v>563</v>
      </c>
      <c r="H27" s="424" t="s">
        <v>564</v>
      </c>
      <c r="I27" s="395" t="s">
        <v>565</v>
      </c>
      <c r="J27" s="395" t="s">
        <v>566</v>
      </c>
      <c r="K27" s="395" t="s">
        <v>567</v>
      </c>
      <c r="L27" s="236" t="s">
        <v>610</v>
      </c>
      <c r="M27" s="414" t="s">
        <v>648</v>
      </c>
      <c r="N27" s="413" t="s">
        <v>649</v>
      </c>
    </row>
    <row r="28" spans="1:14" s="6" customFormat="1" ht="13.5" hidden="1" customHeight="1" x14ac:dyDescent="0.25">
      <c r="A28" s="411">
        <v>1</v>
      </c>
      <c r="B28" s="406"/>
      <c r="C28" s="248"/>
      <c r="D28" s="249"/>
      <c r="E28" s="250"/>
      <c r="F28" s="251"/>
      <c r="G28" s="252"/>
      <c r="H28" s="252"/>
      <c r="I28" s="251">
        <f>+E28+F28+G28+H28</f>
        <v>0</v>
      </c>
      <c r="J28" s="251"/>
      <c r="K28" s="251"/>
      <c r="L28" s="253">
        <f>J28+K28</f>
        <v>0</v>
      </c>
      <c r="M28" s="248">
        <f>I28-C28</f>
        <v>0</v>
      </c>
      <c r="N28" s="249">
        <f>L28-D28</f>
        <v>0</v>
      </c>
    </row>
    <row r="29" spans="1:14" s="6" customFormat="1" ht="13.5" hidden="1" customHeight="1" x14ac:dyDescent="0.25">
      <c r="A29" s="410">
        <f>A28+1</f>
        <v>2</v>
      </c>
      <c r="B29" s="407"/>
      <c r="C29" s="254"/>
      <c r="D29" s="255"/>
      <c r="E29" s="256"/>
      <c r="F29" s="257"/>
      <c r="G29" s="258"/>
      <c r="H29" s="258"/>
      <c r="I29" s="257">
        <f>+E29+F29+G29+H29</f>
        <v>0</v>
      </c>
      <c r="J29" s="257"/>
      <c r="K29" s="257"/>
      <c r="L29" s="253">
        <f>J29+K29</f>
        <v>0</v>
      </c>
      <c r="M29" s="248">
        <f>I29-C29</f>
        <v>0</v>
      </c>
      <c r="N29" s="249">
        <f>L29-D29</f>
        <v>0</v>
      </c>
    </row>
    <row r="30" spans="1:14" s="6" customFormat="1" ht="13.5" hidden="1" customHeight="1" x14ac:dyDescent="0.25">
      <c r="A30" s="410">
        <f>A29+1</f>
        <v>3</v>
      </c>
      <c r="B30" s="407"/>
      <c r="C30" s="254"/>
      <c r="D30" s="255"/>
      <c r="E30" s="256"/>
      <c r="F30" s="257"/>
      <c r="G30" s="258"/>
      <c r="H30" s="258"/>
      <c r="I30" s="257">
        <f>+E30+F30+G30+H30</f>
        <v>0</v>
      </c>
      <c r="J30" s="257"/>
      <c r="K30" s="257"/>
      <c r="L30" s="253">
        <f>J30+K30</f>
        <v>0</v>
      </c>
      <c r="M30" s="248">
        <f>I30-C30</f>
        <v>0</v>
      </c>
      <c r="N30" s="249">
        <f>L30-D30</f>
        <v>0</v>
      </c>
    </row>
    <row r="31" spans="1:14" s="6" customFormat="1" ht="13.5" hidden="1" customHeight="1" x14ac:dyDescent="0.25">
      <c r="A31" s="410">
        <f>A30+1</f>
        <v>4</v>
      </c>
      <c r="B31" s="407"/>
      <c r="C31" s="254"/>
      <c r="D31" s="255"/>
      <c r="E31" s="256"/>
      <c r="F31" s="257"/>
      <c r="G31" s="258"/>
      <c r="H31" s="258"/>
      <c r="I31" s="257">
        <f>+E31+F31+G31+H31</f>
        <v>0</v>
      </c>
      <c r="J31" s="257"/>
      <c r="K31" s="257"/>
      <c r="L31" s="253">
        <f>J31+K31</f>
        <v>0</v>
      </c>
      <c r="M31" s="248">
        <f>I31-C31</f>
        <v>0</v>
      </c>
      <c r="N31" s="249">
        <f>L31-D31</f>
        <v>0</v>
      </c>
    </row>
    <row r="32" spans="1:14" s="6" customFormat="1" ht="13.5" hidden="1" customHeight="1" thickBot="1" x14ac:dyDescent="0.3">
      <c r="A32" s="422">
        <f>A31+1</f>
        <v>5</v>
      </c>
      <c r="B32" s="408"/>
      <c r="C32" s="259"/>
      <c r="D32" s="260"/>
      <c r="E32" s="261"/>
      <c r="F32" s="262"/>
      <c r="G32" s="263"/>
      <c r="H32" s="263"/>
      <c r="I32" s="262">
        <f>+E32+F32+G32+H32</f>
        <v>0</v>
      </c>
      <c r="J32" s="262"/>
      <c r="K32" s="262"/>
      <c r="L32" s="253">
        <f>J32+K32</f>
        <v>0</v>
      </c>
      <c r="M32" s="248">
        <f>I32-C32</f>
        <v>0</v>
      </c>
      <c r="N32" s="249">
        <f>L32-D32</f>
        <v>0</v>
      </c>
    </row>
    <row r="33" spans="1:14" s="6" customFormat="1" ht="12.75" hidden="1" customHeight="1" thickBot="1" x14ac:dyDescent="0.3">
      <c r="A33" s="412">
        <f>A32+1</f>
        <v>6</v>
      </c>
      <c r="B33" s="409" t="s">
        <v>505</v>
      </c>
      <c r="C33" s="264">
        <f>SUM(C28:C32)</f>
        <v>0</v>
      </c>
      <c r="D33" s="265">
        <f>SUM(D28:D32)</f>
        <v>0</v>
      </c>
      <c r="E33" s="266">
        <f t="shared" ref="E33:L33" si="1">SUM(E28:E32)</f>
        <v>0</v>
      </c>
      <c r="F33" s="267">
        <f t="shared" si="1"/>
        <v>0</v>
      </c>
      <c r="G33" s="267">
        <f t="shared" si="1"/>
        <v>0</v>
      </c>
      <c r="H33" s="267">
        <f t="shared" si="1"/>
        <v>0</v>
      </c>
      <c r="I33" s="267">
        <f t="shared" si="1"/>
        <v>0</v>
      </c>
      <c r="J33" s="267">
        <f t="shared" si="1"/>
        <v>0</v>
      </c>
      <c r="K33" s="267">
        <f t="shared" si="1"/>
        <v>0</v>
      </c>
      <c r="L33" s="267">
        <f t="shared" si="1"/>
        <v>0</v>
      </c>
      <c r="M33" s="264">
        <f>SUM(M28:M32)</f>
        <v>0</v>
      </c>
      <c r="N33" s="268">
        <f>SUM(N28:N32)</f>
        <v>0</v>
      </c>
    </row>
    <row r="34" spans="1:14" s="6" customFormat="1" hidden="1" x14ac:dyDescent="0.25">
      <c r="A34" s="12"/>
      <c r="B34" s="12"/>
      <c r="C34" s="12"/>
      <c r="D34" s="12"/>
      <c r="E34" s="12"/>
      <c r="F34" s="12"/>
      <c r="G34" s="12"/>
      <c r="H34" s="12"/>
      <c r="I34" s="12"/>
      <c r="J34" s="12"/>
      <c r="K34" s="12"/>
      <c r="L34" s="5"/>
    </row>
    <row r="35" spans="1:14" s="6" customFormat="1" hidden="1" x14ac:dyDescent="0.25">
      <c r="A35" s="12" t="s">
        <v>638</v>
      </c>
      <c r="B35" s="12"/>
      <c r="C35" s="12"/>
      <c r="D35" s="12"/>
      <c r="E35" s="12"/>
      <c r="F35" s="12"/>
      <c r="G35" s="12"/>
      <c r="H35" s="12"/>
      <c r="I35" s="12"/>
      <c r="J35" s="12"/>
      <c r="K35" s="12"/>
      <c r="L35" s="5"/>
    </row>
    <row r="36" spans="1:14" s="6" customFormat="1" hidden="1" x14ac:dyDescent="0.25">
      <c r="A36" s="12" t="s">
        <v>651</v>
      </c>
      <c r="B36" s="12"/>
      <c r="C36" s="12"/>
      <c r="D36" s="12"/>
      <c r="E36" s="12"/>
      <c r="F36" s="12"/>
      <c r="G36" s="12"/>
      <c r="H36" s="12"/>
      <c r="I36" s="12"/>
      <c r="J36" s="12"/>
      <c r="K36" s="12"/>
      <c r="L36" s="5"/>
    </row>
    <row r="37" spans="1:14" s="6" customFormat="1" hidden="1" x14ac:dyDescent="0.25">
      <c r="A37" s="17" t="s">
        <v>1175</v>
      </c>
      <c r="B37" s="12"/>
      <c r="C37" s="12"/>
      <c r="D37" s="12"/>
      <c r="E37" s="12"/>
      <c r="F37" s="12"/>
      <c r="G37" s="12"/>
      <c r="H37" s="12"/>
      <c r="I37" s="12"/>
      <c r="J37" s="12"/>
      <c r="K37" s="12"/>
      <c r="L37" s="5"/>
    </row>
    <row r="38" spans="1:14" s="6" customFormat="1" hidden="1" x14ac:dyDescent="0.25">
      <c r="A38" s="17" t="s">
        <v>1190</v>
      </c>
      <c r="B38" s="12"/>
      <c r="C38" s="12"/>
      <c r="D38" s="12"/>
      <c r="E38" s="12"/>
      <c r="F38" s="12"/>
      <c r="G38" s="12"/>
      <c r="H38" s="12"/>
      <c r="I38" s="12"/>
      <c r="J38" s="12"/>
      <c r="K38" s="12"/>
      <c r="L38" s="5"/>
    </row>
    <row r="39" spans="1:14" s="6" customFormat="1" hidden="1" x14ac:dyDescent="0.25">
      <c r="A39" s="12"/>
      <c r="B39" s="12"/>
      <c r="C39" s="12"/>
      <c r="D39" s="12"/>
      <c r="E39" s="12"/>
      <c r="F39" s="12"/>
      <c r="G39" s="12"/>
      <c r="H39" s="12"/>
      <c r="I39" s="12"/>
      <c r="J39" s="12"/>
      <c r="K39" s="12"/>
      <c r="L39" s="5"/>
    </row>
    <row r="40" spans="1:14" s="6" customFormat="1" hidden="1" x14ac:dyDescent="0.25">
      <c r="A40" s="75" t="s">
        <v>685</v>
      </c>
      <c r="B40" s="15"/>
      <c r="C40" s="15"/>
      <c r="D40" s="15"/>
      <c r="E40" s="15"/>
      <c r="F40" s="15"/>
      <c r="G40" s="15"/>
      <c r="H40" s="15"/>
      <c r="I40" s="15"/>
      <c r="J40" s="15"/>
      <c r="K40" s="15"/>
      <c r="L40" s="9"/>
      <c r="N40" s="10"/>
    </row>
    <row r="41" spans="1:14" s="6" customFormat="1" ht="27" hidden="1" customHeight="1" x14ac:dyDescent="0.25">
      <c r="A41" s="2879" t="s">
        <v>1183</v>
      </c>
      <c r="B41" s="2879"/>
      <c r="C41" s="2879"/>
      <c r="D41" s="2879"/>
      <c r="E41" s="2879"/>
      <c r="F41" s="2879"/>
      <c r="G41" s="2879"/>
      <c r="H41" s="2879"/>
      <c r="I41" s="2879"/>
      <c r="J41" s="2879"/>
      <c r="K41" s="2879"/>
      <c r="L41" s="2879"/>
      <c r="M41" s="2879"/>
      <c r="N41" s="10"/>
    </row>
    <row r="42" spans="1:14" s="6" customFormat="1" ht="27.75" hidden="1" customHeight="1" x14ac:dyDescent="0.25">
      <c r="A42" s="2879" t="s">
        <v>1184</v>
      </c>
      <c r="B42" s="2879"/>
      <c r="C42" s="2879"/>
      <c r="D42" s="2879"/>
      <c r="E42" s="2879"/>
      <c r="F42" s="2879"/>
      <c r="G42" s="2879"/>
      <c r="H42" s="2879"/>
      <c r="I42" s="2879"/>
      <c r="J42" s="2879"/>
      <c r="K42" s="2879"/>
      <c r="L42" s="2879"/>
      <c r="M42" s="2879"/>
      <c r="N42" s="10"/>
    </row>
    <row r="43" spans="1:14" ht="18.75" x14ac:dyDescent="0.25">
      <c r="A43" s="2406" t="s">
        <v>1894</v>
      </c>
    </row>
    <row r="44" spans="1:14" ht="21" x14ac:dyDescent="0.25">
      <c r="A44" s="2024" t="s">
        <v>1886</v>
      </c>
      <c r="D44" s="2154"/>
    </row>
    <row r="45" spans="1:14" ht="15.95" customHeight="1" x14ac:dyDescent="0.25">
      <c r="A45" s="22" t="s">
        <v>820</v>
      </c>
      <c r="B45" s="17"/>
      <c r="C45" s="17"/>
      <c r="D45" s="17"/>
      <c r="E45" s="17"/>
      <c r="F45" s="17"/>
      <c r="G45" s="17"/>
    </row>
    <row r="46" spans="1:14" ht="15.95" customHeight="1" x14ac:dyDescent="0.25">
      <c r="A46" s="22"/>
      <c r="B46" s="17"/>
      <c r="C46" s="17"/>
      <c r="D46" s="17"/>
      <c r="E46" s="17"/>
      <c r="F46" s="17"/>
      <c r="G46" s="17"/>
    </row>
    <row r="47" spans="1:14" ht="15.95" customHeight="1" x14ac:dyDescent="0.25">
      <c r="A47" s="174" t="s">
        <v>821</v>
      </c>
      <c r="B47" s="17"/>
      <c r="C47" s="17"/>
      <c r="D47" s="17"/>
      <c r="E47" s="17"/>
      <c r="F47" s="17"/>
      <c r="G47" s="17"/>
    </row>
    <row r="48" spans="1:14" ht="15.95" customHeight="1" x14ac:dyDescent="0.25">
      <c r="A48" s="2407" t="s">
        <v>1918</v>
      </c>
      <c r="B48" s="17"/>
      <c r="C48" s="17"/>
      <c r="D48" s="17"/>
      <c r="E48" s="17"/>
      <c r="F48" s="17"/>
      <c r="G48" s="17"/>
    </row>
    <row r="49" spans="1:14" ht="15.95" customHeight="1" x14ac:dyDescent="0.25">
      <c r="A49" s="2024"/>
      <c r="D49" s="2154"/>
    </row>
    <row r="50" spans="1:14" ht="15" x14ac:dyDescent="0.25">
      <c r="A50" s="174" t="s">
        <v>822</v>
      </c>
      <c r="B50" s="12"/>
      <c r="C50" s="12"/>
      <c r="D50" s="12"/>
      <c r="E50" s="12"/>
      <c r="F50" s="12"/>
      <c r="G50" s="12"/>
      <c r="H50" s="12"/>
      <c r="I50" s="12"/>
      <c r="J50" s="12"/>
      <c r="K50" s="12"/>
      <c r="L50" s="5"/>
      <c r="M50" s="6"/>
      <c r="N50" s="6"/>
    </row>
    <row r="51" spans="1:14" ht="13.5" thickBot="1" x14ac:dyDescent="0.3">
      <c r="A51" s="12"/>
      <c r="B51" s="12"/>
      <c r="C51" s="12"/>
      <c r="D51" s="12"/>
      <c r="E51" s="12"/>
      <c r="F51" s="12"/>
      <c r="G51" s="12"/>
      <c r="H51" s="12"/>
      <c r="I51" s="12"/>
      <c r="J51" s="12"/>
      <c r="K51" s="6"/>
      <c r="L51" s="5"/>
      <c r="M51" s="6"/>
      <c r="N51" s="23" t="s">
        <v>578</v>
      </c>
    </row>
    <row r="52" spans="1:14" x14ac:dyDescent="0.25">
      <c r="A52" s="2908" t="s">
        <v>479</v>
      </c>
      <c r="B52" s="2911" t="s">
        <v>1891</v>
      </c>
      <c r="C52" s="2914" t="s">
        <v>427</v>
      </c>
      <c r="D52" s="2915"/>
      <c r="E52" s="2916" t="s">
        <v>579</v>
      </c>
      <c r="F52" s="2917"/>
      <c r="G52" s="2917"/>
      <c r="H52" s="2917"/>
      <c r="I52" s="2917"/>
      <c r="J52" s="2917"/>
      <c r="K52" s="2917"/>
      <c r="L52" s="2918"/>
      <c r="M52" s="2914" t="s">
        <v>647</v>
      </c>
      <c r="N52" s="2915"/>
    </row>
    <row r="53" spans="1:14" x14ac:dyDescent="0.25">
      <c r="A53" s="2909"/>
      <c r="B53" s="2912"/>
      <c r="C53" s="2919" t="s">
        <v>580</v>
      </c>
      <c r="D53" s="2921" t="s">
        <v>581</v>
      </c>
      <c r="E53" s="2923" t="s">
        <v>580</v>
      </c>
      <c r="F53" s="2924"/>
      <c r="G53" s="2924"/>
      <c r="H53" s="2924"/>
      <c r="I53" s="2924"/>
      <c r="J53" s="2925" t="s">
        <v>581</v>
      </c>
      <c r="K53" s="2925"/>
      <c r="L53" s="2925"/>
      <c r="M53" s="2919" t="s">
        <v>580</v>
      </c>
      <c r="N53" s="2921" t="s">
        <v>581</v>
      </c>
    </row>
    <row r="54" spans="1:14" ht="38.25" x14ac:dyDescent="0.25">
      <c r="A54" s="2909"/>
      <c r="B54" s="2913"/>
      <c r="C54" s="2920"/>
      <c r="D54" s="2922"/>
      <c r="E54" s="2142" t="s">
        <v>582</v>
      </c>
      <c r="F54" s="2143" t="s">
        <v>1892</v>
      </c>
      <c r="G54" s="2144" t="s">
        <v>1893</v>
      </c>
      <c r="H54" s="2143" t="s">
        <v>585</v>
      </c>
      <c r="I54" s="2145" t="s">
        <v>519</v>
      </c>
      <c r="J54" s="2145" t="s">
        <v>584</v>
      </c>
      <c r="K54" s="2145" t="s">
        <v>482</v>
      </c>
      <c r="L54" s="2146" t="s">
        <v>519</v>
      </c>
      <c r="M54" s="2920"/>
      <c r="N54" s="2922"/>
    </row>
    <row r="55" spans="1:14" ht="13.5" thickBot="1" x14ac:dyDescent="0.3">
      <c r="A55" s="2910"/>
      <c r="B55" s="2147" t="s">
        <v>558</v>
      </c>
      <c r="C55" s="2148" t="s">
        <v>559</v>
      </c>
      <c r="D55" s="2149" t="s">
        <v>560</v>
      </c>
      <c r="E55" s="2150" t="s">
        <v>561</v>
      </c>
      <c r="F55" s="2151" t="s">
        <v>562</v>
      </c>
      <c r="G55" s="2152" t="s">
        <v>563</v>
      </c>
      <c r="H55" s="2152" t="s">
        <v>564</v>
      </c>
      <c r="I55" s="2151" t="s">
        <v>565</v>
      </c>
      <c r="J55" s="2151" t="s">
        <v>566</v>
      </c>
      <c r="K55" s="2151" t="s">
        <v>567</v>
      </c>
      <c r="L55" s="2153" t="s">
        <v>610</v>
      </c>
      <c r="M55" s="2148" t="s">
        <v>648</v>
      </c>
      <c r="N55" s="2149" t="s">
        <v>649</v>
      </c>
    </row>
    <row r="56" spans="1:14" x14ac:dyDescent="0.25">
      <c r="A56" s="411">
        <v>1</v>
      </c>
      <c r="B56" s="406" t="s">
        <v>1885</v>
      </c>
      <c r="C56" s="2025"/>
      <c r="D56" s="2026">
        <v>4723</v>
      </c>
      <c r="E56" s="2027"/>
      <c r="F56" s="2028"/>
      <c r="G56" s="2029"/>
      <c r="H56" s="2029"/>
      <c r="I56" s="2028">
        <f>+E56+F56+G56+H56</f>
        <v>0</v>
      </c>
      <c r="J56" s="2028">
        <v>1455</v>
      </c>
      <c r="K56" s="2028">
        <v>3509</v>
      </c>
      <c r="L56" s="2030">
        <f>J56+K56</f>
        <v>4964</v>
      </c>
      <c r="M56" s="2025">
        <f>I56-C56</f>
        <v>0</v>
      </c>
      <c r="N56" s="2026">
        <f>L56-D56</f>
        <v>241</v>
      </c>
    </row>
    <row r="57" spans="1:14" x14ac:dyDescent="0.25">
      <c r="A57" s="410">
        <f>A56+1</f>
        <v>2</v>
      </c>
      <c r="B57" s="407"/>
      <c r="C57" s="2031"/>
      <c r="D57" s="2032"/>
      <c r="E57" s="2033"/>
      <c r="F57" s="2034"/>
      <c r="G57" s="2035"/>
      <c r="H57" s="2035"/>
      <c r="I57" s="2034">
        <f>+E57+F57+G57+H57</f>
        <v>0</v>
      </c>
      <c r="J57" s="2034"/>
      <c r="K57" s="2034"/>
      <c r="L57" s="2030"/>
      <c r="M57" s="2025">
        <f>I57-C57</f>
        <v>0</v>
      </c>
      <c r="N57" s="2026">
        <f>L57-D57</f>
        <v>0</v>
      </c>
    </row>
    <row r="58" spans="1:14" x14ac:dyDescent="0.25">
      <c r="A58" s="410">
        <f>A57+1</f>
        <v>3</v>
      </c>
      <c r="B58" s="407"/>
      <c r="C58" s="2031"/>
      <c r="D58" s="2032"/>
      <c r="E58" s="2033"/>
      <c r="F58" s="2034"/>
      <c r="G58" s="2035"/>
      <c r="H58" s="2035"/>
      <c r="I58" s="2034">
        <f>+E58+F58+G58+H58</f>
        <v>0</v>
      </c>
      <c r="J58" s="2034"/>
      <c r="K58" s="2034"/>
      <c r="L58" s="2030">
        <f>J58+K58</f>
        <v>0</v>
      </c>
      <c r="M58" s="2025">
        <f>I58-C58</f>
        <v>0</v>
      </c>
      <c r="N58" s="2026">
        <f>L58-D58</f>
        <v>0</v>
      </c>
    </row>
    <row r="59" spans="1:14" x14ac:dyDescent="0.25">
      <c r="A59" s="410">
        <f>A58+1</f>
        <v>4</v>
      </c>
      <c r="B59" s="407"/>
      <c r="C59" s="2031"/>
      <c r="D59" s="2032"/>
      <c r="E59" s="2033"/>
      <c r="F59" s="2034"/>
      <c r="G59" s="2035"/>
      <c r="H59" s="2035"/>
      <c r="I59" s="2034">
        <f>+E59+F59+G59+H59</f>
        <v>0</v>
      </c>
      <c r="J59" s="2034"/>
      <c r="K59" s="2034"/>
      <c r="L59" s="2030">
        <f>J59+K59</f>
        <v>0</v>
      </c>
      <c r="M59" s="2025">
        <f>I59-C59</f>
        <v>0</v>
      </c>
      <c r="N59" s="2026">
        <f>L59-D59</f>
        <v>0</v>
      </c>
    </row>
    <row r="60" spans="1:14" ht="13.5" thickBot="1" x14ac:dyDescent="0.3">
      <c r="A60" s="422">
        <f>A59+1</f>
        <v>5</v>
      </c>
      <c r="B60" s="408"/>
      <c r="C60" s="2036"/>
      <c r="D60" s="2037"/>
      <c r="E60" s="2038"/>
      <c r="F60" s="2039"/>
      <c r="G60" s="2040"/>
      <c r="H60" s="2040"/>
      <c r="I60" s="2039">
        <f>+E60+F60+G60+H60</f>
        <v>0</v>
      </c>
      <c r="J60" s="2039"/>
      <c r="K60" s="2039"/>
      <c r="L60" s="2030">
        <f>J60+K60</f>
        <v>0</v>
      </c>
      <c r="M60" s="2025">
        <f>I60-C60</f>
        <v>0</v>
      </c>
      <c r="N60" s="2026">
        <f>L60-D60</f>
        <v>0</v>
      </c>
    </row>
    <row r="61" spans="1:14" ht="13.5" thickBot="1" x14ac:dyDescent="0.3">
      <c r="A61" s="1827">
        <f>A60+1</f>
        <v>6</v>
      </c>
      <c r="B61" s="409" t="s">
        <v>505</v>
      </c>
      <c r="C61" s="2041">
        <f>SUM(C56:C60)</f>
        <v>0</v>
      </c>
      <c r="D61" s="2042">
        <f>SUM(D56:D60)</f>
        <v>4723</v>
      </c>
      <c r="E61" s="2043">
        <f t="shared" ref="E61:L61" si="2">SUM(E56:E60)</f>
        <v>0</v>
      </c>
      <c r="F61" s="2044">
        <f t="shared" si="2"/>
        <v>0</v>
      </c>
      <c r="G61" s="2044">
        <f t="shared" si="2"/>
        <v>0</v>
      </c>
      <c r="H61" s="2044">
        <f t="shared" si="2"/>
        <v>0</v>
      </c>
      <c r="I61" s="2044">
        <f t="shared" si="2"/>
        <v>0</v>
      </c>
      <c r="J61" s="2044">
        <f t="shared" si="2"/>
        <v>1455</v>
      </c>
      <c r="K61" s="2044">
        <f t="shared" si="2"/>
        <v>3509</v>
      </c>
      <c r="L61" s="2044">
        <f t="shared" si="2"/>
        <v>4964</v>
      </c>
      <c r="M61" s="2041">
        <f>SUM(M56:M60)</f>
        <v>0</v>
      </c>
      <c r="N61" s="2045">
        <f>SUM(N56:N60)</f>
        <v>241</v>
      </c>
    </row>
  </sheetData>
  <sheetProtection insertRows="0" deleteRows="0"/>
  <customSheetViews>
    <customSheetView guid="{2AF6EA2A-E5C5-45EB-B6C4-875AD1E4E056}" fitToPage="1">
      <selection activeCell="A2" sqref="A2"/>
      <pageMargins left="0.19685039370078741" right="0.19685039370078741" top="0.98425196850393704" bottom="0.98425196850393704" header="0.51181102362204722" footer="0.51181102362204722"/>
      <printOptions horizontalCentered="1"/>
      <pageSetup paperSize="9" scale="76" orientation="landscape" cellComments="asDisplayed" horizontalDpi="300" verticalDpi="300" r:id="rId1"/>
      <headerFooter alignWithMargins="0"/>
    </customSheetView>
  </customSheetViews>
  <mergeCells count="35">
    <mergeCell ref="A52:A55"/>
    <mergeCell ref="B52:B54"/>
    <mergeCell ref="C52:D52"/>
    <mergeCell ref="E52:L52"/>
    <mergeCell ref="M52:N52"/>
    <mergeCell ref="C53:C54"/>
    <mergeCell ref="D53:D54"/>
    <mergeCell ref="E53:I53"/>
    <mergeCell ref="J53:L53"/>
    <mergeCell ref="M53:M54"/>
    <mergeCell ref="N53:N54"/>
    <mergeCell ref="A6:A9"/>
    <mergeCell ref="A24:A27"/>
    <mergeCell ref="J7:L7"/>
    <mergeCell ref="C7:C8"/>
    <mergeCell ref="C6:D6"/>
    <mergeCell ref="D7:D8"/>
    <mergeCell ref="N7:N8"/>
    <mergeCell ref="B6:B8"/>
    <mergeCell ref="E6:L6"/>
    <mergeCell ref="E7:I7"/>
    <mergeCell ref="M6:N6"/>
    <mergeCell ref="M7:M8"/>
    <mergeCell ref="A42:M42"/>
    <mergeCell ref="B24:B26"/>
    <mergeCell ref="C24:D24"/>
    <mergeCell ref="E24:L24"/>
    <mergeCell ref="M24:N24"/>
    <mergeCell ref="E25:I25"/>
    <mergeCell ref="J25:L25"/>
    <mergeCell ref="A41:M41"/>
    <mergeCell ref="M25:M26"/>
    <mergeCell ref="N25:N26"/>
    <mergeCell ref="C25:C26"/>
    <mergeCell ref="D25:D26"/>
  </mergeCells>
  <printOptions horizontalCentered="1"/>
  <pageMargins left="0.19685039370078741" right="0.19685039370078741" top="0.98425196850393704" bottom="0.98425196850393704" header="0.51181102362204722" footer="0.51181102362204722"/>
  <pageSetup paperSize="9" scale="96" orientation="landscape" cellComments="asDisplayed" horizontalDpi="300" verticalDpi="300" r:id="rId2"/>
  <headerFooter alignWithMargins="0"/>
  <ignoredErrors>
    <ignoredError sqref="I10:I14 L10:N1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8"/>
  <sheetViews>
    <sheetView zoomScaleNormal="100" workbookViewId="0">
      <pane ySplit="1" topLeftCell="A273" activePane="bottomLeft" state="frozen"/>
      <selection pane="bottomLeft" sqref="A1:E1"/>
    </sheetView>
  </sheetViews>
  <sheetFormatPr defaultRowHeight="12.75" x14ac:dyDescent="0.25"/>
  <cols>
    <col min="1" max="1" width="60.42578125" style="53" customWidth="1"/>
    <col min="2" max="2" width="13.85546875" style="149" customWidth="1"/>
    <col min="3" max="3" width="9.140625" style="149"/>
    <col min="4" max="4" width="12.5703125" style="215" customWidth="1"/>
    <col min="5" max="5" width="15.140625" style="215" customWidth="1"/>
    <col min="6" max="16384" width="9.140625" style="31"/>
  </cols>
  <sheetData>
    <row r="1" spans="1:6" ht="15.75" x14ac:dyDescent="0.25">
      <c r="A1" s="2467" t="s">
        <v>817</v>
      </c>
      <c r="B1" s="2467"/>
      <c r="C1" s="2467"/>
      <c r="D1" s="2467"/>
      <c r="E1" s="2467"/>
    </row>
    <row r="2" spans="1:6" ht="12.75" customHeight="1" thickBot="1" x14ac:dyDescent="0.3">
      <c r="A2" s="2468"/>
      <c r="B2" s="2468"/>
      <c r="C2" s="2468"/>
      <c r="D2" s="2468"/>
      <c r="E2" s="2468"/>
    </row>
    <row r="3" spans="1:6" ht="27.95" hidden="1" customHeight="1" thickBot="1" x14ac:dyDescent="0.3">
      <c r="A3" s="2475" t="s">
        <v>661</v>
      </c>
      <c r="B3" s="2476"/>
      <c r="C3" s="2476"/>
      <c r="D3" s="2476"/>
      <c r="E3" s="2477"/>
      <c r="F3" s="140"/>
    </row>
    <row r="4" spans="1:6" ht="15" hidden="1" customHeight="1" thickBot="1" x14ac:dyDescent="0.3">
      <c r="A4" s="2447" t="s">
        <v>608</v>
      </c>
      <c r="B4" s="2448"/>
      <c r="C4" s="2448"/>
      <c r="D4" s="2448"/>
      <c r="E4" s="2449"/>
    </row>
    <row r="5" spans="1:6" s="148" customFormat="1" ht="40.5" hidden="1" customHeight="1" thickBot="1" x14ac:dyDescent="0.3">
      <c r="A5" s="57" t="s">
        <v>609</v>
      </c>
      <c r="B5" s="58" t="s">
        <v>656</v>
      </c>
      <c r="C5" s="59" t="s">
        <v>662</v>
      </c>
      <c r="D5" s="216" t="s">
        <v>832</v>
      </c>
      <c r="E5" s="217" t="s">
        <v>833</v>
      </c>
      <c r="F5" s="150"/>
    </row>
    <row r="6" spans="1:6" s="148" customFormat="1" ht="12.75" hidden="1" customHeight="1" x14ac:dyDescent="0.25">
      <c r="A6" s="189" t="s">
        <v>381</v>
      </c>
      <c r="B6" s="2469"/>
      <c r="C6" s="2470"/>
      <c r="D6" s="218" t="s">
        <v>586</v>
      </c>
      <c r="E6" s="219" t="s">
        <v>506</v>
      </c>
      <c r="F6" s="147"/>
    </row>
    <row r="7" spans="1:6" hidden="1" x14ac:dyDescent="0.25">
      <c r="A7" s="50" t="s">
        <v>382</v>
      </c>
      <c r="B7" s="151" t="s">
        <v>383</v>
      </c>
      <c r="C7" s="152" t="s">
        <v>3</v>
      </c>
      <c r="D7" s="220">
        <f>SUM(D8:D11)</f>
        <v>0</v>
      </c>
      <c r="E7" s="221">
        <f>SUM(E8:E11)</f>
        <v>0</v>
      </c>
      <c r="F7" s="153"/>
    </row>
    <row r="8" spans="1:6" hidden="1" x14ac:dyDescent="0.25">
      <c r="A8" s="39" t="s">
        <v>384</v>
      </c>
      <c r="B8" s="154">
        <v>501</v>
      </c>
      <c r="C8" s="155" t="s">
        <v>6</v>
      </c>
      <c r="D8" s="222"/>
      <c r="E8" s="223"/>
      <c r="F8" s="153"/>
    </row>
    <row r="9" spans="1:6" hidden="1" x14ac:dyDescent="0.25">
      <c r="A9" s="39" t="s">
        <v>385</v>
      </c>
      <c r="B9" s="154">
        <v>502</v>
      </c>
      <c r="C9" s="155" t="s">
        <v>9</v>
      </c>
      <c r="D9" s="222"/>
      <c r="E9" s="223"/>
      <c r="F9" s="153"/>
    </row>
    <row r="10" spans="1:6" hidden="1" x14ac:dyDescent="0.25">
      <c r="A10" s="39" t="s">
        <v>386</v>
      </c>
      <c r="B10" s="154">
        <v>503</v>
      </c>
      <c r="C10" s="155" t="s">
        <v>12</v>
      </c>
      <c r="D10" s="222"/>
      <c r="E10" s="223"/>
      <c r="F10" s="153"/>
    </row>
    <row r="11" spans="1:6" hidden="1" x14ac:dyDescent="0.25">
      <c r="A11" s="39" t="s">
        <v>387</v>
      </c>
      <c r="B11" s="154">
        <v>504</v>
      </c>
      <c r="C11" s="155" t="s">
        <v>15</v>
      </c>
      <c r="D11" s="222"/>
      <c r="E11" s="223"/>
      <c r="F11" s="153"/>
    </row>
    <row r="12" spans="1:6" hidden="1" x14ac:dyDescent="0.25">
      <c r="A12" s="39" t="s">
        <v>388</v>
      </c>
      <c r="B12" s="154" t="s">
        <v>389</v>
      </c>
      <c r="C12" s="155" t="s">
        <v>18</v>
      </c>
      <c r="D12" s="224">
        <f>SUM(D13:D16)</f>
        <v>0</v>
      </c>
      <c r="E12" s="225">
        <f>SUM(E13:E16)</f>
        <v>0</v>
      </c>
      <c r="F12" s="153"/>
    </row>
    <row r="13" spans="1:6" hidden="1" x14ac:dyDescent="0.25">
      <c r="A13" s="39" t="s">
        <v>390</v>
      </c>
      <c r="B13" s="154">
        <v>511</v>
      </c>
      <c r="C13" s="155" t="s">
        <v>21</v>
      </c>
      <c r="D13" s="222"/>
      <c r="E13" s="223"/>
      <c r="F13" s="153"/>
    </row>
    <row r="14" spans="1:6" hidden="1" x14ac:dyDescent="0.25">
      <c r="A14" s="39" t="s">
        <v>391</v>
      </c>
      <c r="B14" s="154">
        <v>512</v>
      </c>
      <c r="C14" s="155" t="s">
        <v>24</v>
      </c>
      <c r="D14" s="222"/>
      <c r="E14" s="223"/>
      <c r="F14" s="153"/>
    </row>
    <row r="15" spans="1:6" hidden="1" x14ac:dyDescent="0.25">
      <c r="A15" s="39" t="s">
        <v>392</v>
      </c>
      <c r="B15" s="154">
        <v>513</v>
      </c>
      <c r="C15" s="155" t="s">
        <v>27</v>
      </c>
      <c r="D15" s="222"/>
      <c r="E15" s="223"/>
      <c r="F15" s="153"/>
    </row>
    <row r="16" spans="1:6" hidden="1" x14ac:dyDescent="0.25">
      <c r="A16" s="39" t="s">
        <v>393</v>
      </c>
      <c r="B16" s="154">
        <v>518</v>
      </c>
      <c r="C16" s="155" t="s">
        <v>30</v>
      </c>
      <c r="D16" s="222"/>
      <c r="E16" s="223"/>
      <c r="F16" s="153"/>
    </row>
    <row r="17" spans="1:6" hidden="1" x14ac:dyDescent="0.25">
      <c r="A17" s="39" t="s">
        <v>394</v>
      </c>
      <c r="B17" s="154" t="s">
        <v>395</v>
      </c>
      <c r="C17" s="155" t="s">
        <v>33</v>
      </c>
      <c r="D17" s="224">
        <f>SUM(D18:D22)</f>
        <v>0</v>
      </c>
      <c r="E17" s="225">
        <f>SUM(E18:E22)</f>
        <v>0</v>
      </c>
      <c r="F17" s="153"/>
    </row>
    <row r="18" spans="1:6" hidden="1" x14ac:dyDescent="0.25">
      <c r="A18" s="39" t="s">
        <v>396</v>
      </c>
      <c r="B18" s="154">
        <v>521</v>
      </c>
      <c r="C18" s="155" t="s">
        <v>36</v>
      </c>
      <c r="D18" s="222"/>
      <c r="E18" s="223"/>
      <c r="F18" s="153"/>
    </row>
    <row r="19" spans="1:6" hidden="1" x14ac:dyDescent="0.25">
      <c r="A19" s="39" t="s">
        <v>397</v>
      </c>
      <c r="B19" s="154">
        <v>524</v>
      </c>
      <c r="C19" s="155" t="s">
        <v>39</v>
      </c>
      <c r="D19" s="222"/>
      <c r="E19" s="223"/>
      <c r="F19" s="153"/>
    </row>
    <row r="20" spans="1:6" hidden="1" x14ac:dyDescent="0.25">
      <c r="A20" s="39" t="s">
        <v>398</v>
      </c>
      <c r="B20" s="154">
        <v>525</v>
      </c>
      <c r="C20" s="155" t="s">
        <v>42</v>
      </c>
      <c r="D20" s="222"/>
      <c r="E20" s="223"/>
      <c r="F20" s="153"/>
    </row>
    <row r="21" spans="1:6" hidden="1" x14ac:dyDescent="0.25">
      <c r="A21" s="39" t="s">
        <v>399</v>
      </c>
      <c r="B21" s="154">
        <v>527</v>
      </c>
      <c r="C21" s="155" t="s">
        <v>45</v>
      </c>
      <c r="D21" s="222"/>
      <c r="E21" s="223"/>
      <c r="F21" s="153"/>
    </row>
    <row r="22" spans="1:6" hidden="1" x14ac:dyDescent="0.25">
      <c r="A22" s="39" t="s">
        <v>400</v>
      </c>
      <c r="B22" s="154">
        <v>528</v>
      </c>
      <c r="C22" s="155" t="s">
        <v>48</v>
      </c>
      <c r="D22" s="222"/>
      <c r="E22" s="223"/>
      <c r="F22" s="153"/>
    </row>
    <row r="23" spans="1:6" hidden="1" x14ac:dyDescent="0.25">
      <c r="A23" s="39" t="s">
        <v>401</v>
      </c>
      <c r="B23" s="154" t="s">
        <v>402</v>
      </c>
      <c r="C23" s="155" t="s">
        <v>51</v>
      </c>
      <c r="D23" s="224">
        <f>SUM(D24:D26)</f>
        <v>0</v>
      </c>
      <c r="E23" s="225">
        <f>SUM(E24:E26)</f>
        <v>0</v>
      </c>
      <c r="F23" s="153"/>
    </row>
    <row r="24" spans="1:6" hidden="1" x14ac:dyDescent="0.25">
      <c r="A24" s="39" t="s">
        <v>403</v>
      </c>
      <c r="B24" s="154">
        <v>531</v>
      </c>
      <c r="C24" s="155" t="s">
        <v>54</v>
      </c>
      <c r="D24" s="222"/>
      <c r="E24" s="223"/>
      <c r="F24" s="153"/>
    </row>
    <row r="25" spans="1:6" hidden="1" x14ac:dyDescent="0.25">
      <c r="A25" s="39" t="s">
        <v>404</v>
      </c>
      <c r="B25" s="154">
        <v>532</v>
      </c>
      <c r="C25" s="155" t="s">
        <v>57</v>
      </c>
      <c r="D25" s="222"/>
      <c r="E25" s="223"/>
      <c r="F25" s="153"/>
    </row>
    <row r="26" spans="1:6" hidden="1" x14ac:dyDescent="0.25">
      <c r="A26" s="39" t="s">
        <v>405</v>
      </c>
      <c r="B26" s="154">
        <v>538</v>
      </c>
      <c r="C26" s="155" t="s">
        <v>60</v>
      </c>
      <c r="D26" s="222"/>
      <c r="E26" s="223"/>
      <c r="F26" s="153"/>
    </row>
    <row r="27" spans="1:6" hidden="1" x14ac:dyDescent="0.25">
      <c r="A27" s="39" t="s">
        <v>406</v>
      </c>
      <c r="B27" s="154" t="s">
        <v>407</v>
      </c>
      <c r="C27" s="155" t="s">
        <v>63</v>
      </c>
      <c r="D27" s="224">
        <f>SUM(D28:D35)</f>
        <v>0</v>
      </c>
      <c r="E27" s="225">
        <f>SUM(E28:E35)</f>
        <v>0</v>
      </c>
      <c r="F27" s="153"/>
    </row>
    <row r="28" spans="1:6" hidden="1" x14ac:dyDescent="0.25">
      <c r="A28" s="39" t="s">
        <v>408</v>
      </c>
      <c r="B28" s="154">
        <v>541</v>
      </c>
      <c r="C28" s="155" t="s">
        <v>66</v>
      </c>
      <c r="D28" s="222"/>
      <c r="E28" s="223"/>
      <c r="F28" s="153"/>
    </row>
    <row r="29" spans="1:6" hidden="1" x14ac:dyDescent="0.25">
      <c r="A29" s="39" t="s">
        <v>409</v>
      </c>
      <c r="B29" s="154">
        <v>542</v>
      </c>
      <c r="C29" s="155" t="s">
        <v>69</v>
      </c>
      <c r="D29" s="222"/>
      <c r="E29" s="223"/>
      <c r="F29" s="153"/>
    </row>
    <row r="30" spans="1:6" hidden="1" x14ac:dyDescent="0.25">
      <c r="A30" s="39" t="s">
        <v>410</v>
      </c>
      <c r="B30" s="154">
        <v>543</v>
      </c>
      <c r="C30" s="155" t="s">
        <v>72</v>
      </c>
      <c r="D30" s="222"/>
      <c r="E30" s="223"/>
      <c r="F30" s="153"/>
    </row>
    <row r="31" spans="1:6" hidden="1" x14ac:dyDescent="0.25">
      <c r="A31" s="39" t="s">
        <v>411</v>
      </c>
      <c r="B31" s="154">
        <v>544</v>
      </c>
      <c r="C31" s="155" t="s">
        <v>75</v>
      </c>
      <c r="D31" s="222"/>
      <c r="E31" s="223"/>
      <c r="F31" s="153"/>
    </row>
    <row r="32" spans="1:6" hidden="1" x14ac:dyDescent="0.25">
      <c r="A32" s="39" t="s">
        <v>412</v>
      </c>
      <c r="B32" s="154">
        <v>545</v>
      </c>
      <c r="C32" s="155" t="s">
        <v>78</v>
      </c>
      <c r="D32" s="222"/>
      <c r="E32" s="223"/>
      <c r="F32" s="153"/>
    </row>
    <row r="33" spans="1:6" hidden="1" x14ac:dyDescent="0.25">
      <c r="A33" s="39" t="s">
        <v>413</v>
      </c>
      <c r="B33" s="154">
        <v>546</v>
      </c>
      <c r="C33" s="155" t="s">
        <v>81</v>
      </c>
      <c r="D33" s="222"/>
      <c r="E33" s="223"/>
      <c r="F33" s="153"/>
    </row>
    <row r="34" spans="1:6" hidden="1" x14ac:dyDescent="0.25">
      <c r="A34" s="39" t="s">
        <v>414</v>
      </c>
      <c r="B34" s="154">
        <v>548</v>
      </c>
      <c r="C34" s="155" t="s">
        <v>83</v>
      </c>
      <c r="D34" s="222"/>
      <c r="E34" s="223"/>
      <c r="F34" s="153"/>
    </row>
    <row r="35" spans="1:6" hidden="1" x14ac:dyDescent="0.25">
      <c r="A35" s="39" t="s">
        <v>415</v>
      </c>
      <c r="B35" s="154">
        <v>549</v>
      </c>
      <c r="C35" s="155" t="s">
        <v>86</v>
      </c>
      <c r="D35" s="222"/>
      <c r="E35" s="223"/>
      <c r="F35" s="153"/>
    </row>
    <row r="36" spans="1:6" ht="12.75" hidden="1" customHeight="1" x14ac:dyDescent="0.25">
      <c r="A36" s="39" t="s">
        <v>696</v>
      </c>
      <c r="B36" s="154" t="s">
        <v>416</v>
      </c>
      <c r="C36" s="155" t="s">
        <v>89</v>
      </c>
      <c r="D36" s="224">
        <f>SUM(D37:D42)</f>
        <v>0</v>
      </c>
      <c r="E36" s="225">
        <f>SUM(E37:E42)</f>
        <v>0</v>
      </c>
      <c r="F36" s="153"/>
    </row>
    <row r="37" spans="1:6" hidden="1" x14ac:dyDescent="0.25">
      <c r="A37" s="39" t="s">
        <v>697</v>
      </c>
      <c r="B37" s="154">
        <v>551</v>
      </c>
      <c r="C37" s="155" t="s">
        <v>92</v>
      </c>
      <c r="D37" s="222"/>
      <c r="E37" s="223"/>
      <c r="F37" s="153"/>
    </row>
    <row r="38" spans="1:6" ht="12.75" hidden="1" customHeight="1" x14ac:dyDescent="0.25">
      <c r="A38" s="39" t="s">
        <v>698</v>
      </c>
      <c r="B38" s="154">
        <v>552</v>
      </c>
      <c r="C38" s="155" t="s">
        <v>95</v>
      </c>
      <c r="D38" s="222"/>
      <c r="E38" s="223"/>
      <c r="F38" s="153"/>
    </row>
    <row r="39" spans="1:6" hidden="1" x14ac:dyDescent="0.25">
      <c r="A39" s="39" t="s">
        <v>417</v>
      </c>
      <c r="B39" s="154">
        <v>553</v>
      </c>
      <c r="C39" s="155" t="s">
        <v>98</v>
      </c>
      <c r="D39" s="222"/>
      <c r="E39" s="223"/>
      <c r="F39" s="153"/>
    </row>
    <row r="40" spans="1:6" hidden="1" x14ac:dyDescent="0.25">
      <c r="A40" s="39" t="s">
        <v>418</v>
      </c>
      <c r="B40" s="154">
        <v>554</v>
      </c>
      <c r="C40" s="155" t="s">
        <v>101</v>
      </c>
      <c r="D40" s="222"/>
      <c r="E40" s="223"/>
      <c r="F40" s="153"/>
    </row>
    <row r="41" spans="1:6" hidden="1" x14ac:dyDescent="0.25">
      <c r="A41" s="39" t="s">
        <v>419</v>
      </c>
      <c r="B41" s="154">
        <v>556</v>
      </c>
      <c r="C41" s="155" t="s">
        <v>104</v>
      </c>
      <c r="D41" s="222"/>
      <c r="E41" s="223"/>
      <c r="F41" s="153"/>
    </row>
    <row r="42" spans="1:6" hidden="1" x14ac:dyDescent="0.25">
      <c r="A42" s="39" t="s">
        <v>420</v>
      </c>
      <c r="B42" s="154">
        <v>559</v>
      </c>
      <c r="C42" s="155" t="s">
        <v>107</v>
      </c>
      <c r="D42" s="222"/>
      <c r="E42" s="223"/>
      <c r="F42" s="153"/>
    </row>
    <row r="43" spans="1:6" hidden="1" x14ac:dyDescent="0.25">
      <c r="A43" s="39" t="s">
        <v>421</v>
      </c>
      <c r="B43" s="154" t="s">
        <v>422</v>
      </c>
      <c r="C43" s="155" t="s">
        <v>110</v>
      </c>
      <c r="D43" s="224">
        <f>SUM(D44:D45)</f>
        <v>0</v>
      </c>
      <c r="E43" s="225">
        <f>SUM(E44:E45)</f>
        <v>0</v>
      </c>
      <c r="F43" s="153"/>
    </row>
    <row r="44" spans="1:6" hidden="1" x14ac:dyDescent="0.25">
      <c r="A44" s="39" t="s">
        <v>699</v>
      </c>
      <c r="B44" s="154">
        <v>581</v>
      </c>
      <c r="C44" s="155" t="s">
        <v>113</v>
      </c>
      <c r="D44" s="222"/>
      <c r="E44" s="223"/>
      <c r="F44" s="153"/>
    </row>
    <row r="45" spans="1:6" hidden="1" x14ac:dyDescent="0.25">
      <c r="A45" s="39" t="s">
        <v>423</v>
      </c>
      <c r="B45" s="154">
        <v>582</v>
      </c>
      <c r="C45" s="155" t="s">
        <v>115</v>
      </c>
      <c r="D45" s="222"/>
      <c r="E45" s="223"/>
      <c r="F45" s="153"/>
    </row>
    <row r="46" spans="1:6" hidden="1" x14ac:dyDescent="0.25">
      <c r="A46" s="39" t="s">
        <v>424</v>
      </c>
      <c r="B46" s="154" t="s">
        <v>425</v>
      </c>
      <c r="C46" s="155" t="s">
        <v>117</v>
      </c>
      <c r="D46" s="224">
        <f>D47</f>
        <v>0</v>
      </c>
      <c r="E46" s="225">
        <f>E47</f>
        <v>0</v>
      </c>
      <c r="F46" s="153"/>
    </row>
    <row r="47" spans="1:6" hidden="1" x14ac:dyDescent="0.25">
      <c r="A47" s="39" t="s">
        <v>426</v>
      </c>
      <c r="B47" s="154">
        <v>595</v>
      </c>
      <c r="C47" s="155" t="s">
        <v>120</v>
      </c>
      <c r="D47" s="222"/>
      <c r="E47" s="223"/>
      <c r="F47" s="153"/>
    </row>
    <row r="48" spans="1:6" ht="23.25" hidden="1" customHeight="1" thickBot="1" x14ac:dyDescent="0.3">
      <c r="A48" s="43" t="s">
        <v>427</v>
      </c>
      <c r="B48" s="156" t="s">
        <v>428</v>
      </c>
      <c r="C48" s="157" t="s">
        <v>123</v>
      </c>
      <c r="D48" s="226">
        <f>D7+D12+D17+D23+D27+D36+D43+D46</f>
        <v>0</v>
      </c>
      <c r="E48" s="227">
        <f>E7+E12+E17+E23+E27+E36+E43+E46</f>
        <v>0</v>
      </c>
      <c r="F48" s="153"/>
    </row>
    <row r="49" spans="1:6" ht="12.75" hidden="1" customHeight="1" thickBot="1" x14ac:dyDescent="0.3">
      <c r="A49" s="2478" t="s">
        <v>429</v>
      </c>
      <c r="B49" s="2479"/>
      <c r="C49" s="2479"/>
      <c r="D49" s="2479"/>
      <c r="E49" s="2480"/>
      <c r="F49" s="150"/>
    </row>
    <row r="50" spans="1:6" hidden="1" x14ac:dyDescent="0.25">
      <c r="A50" s="50" t="s">
        <v>430</v>
      </c>
      <c r="B50" s="158" t="s">
        <v>431</v>
      </c>
      <c r="C50" s="152" t="s">
        <v>126</v>
      </c>
      <c r="D50" s="220">
        <f>SUM(D51:D53)</f>
        <v>0</v>
      </c>
      <c r="E50" s="221">
        <f>SUM(E51:E53)</f>
        <v>0</v>
      </c>
      <c r="F50" s="153"/>
    </row>
    <row r="51" spans="1:6" hidden="1" x14ac:dyDescent="0.25">
      <c r="A51" s="39" t="s">
        <v>432</v>
      </c>
      <c r="B51" s="159">
        <v>601</v>
      </c>
      <c r="C51" s="155" t="s">
        <v>129</v>
      </c>
      <c r="D51" s="222"/>
      <c r="E51" s="223"/>
      <c r="F51" s="153"/>
    </row>
    <row r="52" spans="1:6" hidden="1" x14ac:dyDescent="0.25">
      <c r="A52" s="39" t="s">
        <v>433</v>
      </c>
      <c r="B52" s="159">
        <v>602</v>
      </c>
      <c r="C52" s="155" t="s">
        <v>132</v>
      </c>
      <c r="D52" s="222"/>
      <c r="E52" s="223"/>
      <c r="F52" s="153"/>
    </row>
    <row r="53" spans="1:6" hidden="1" x14ac:dyDescent="0.25">
      <c r="A53" s="39" t="s">
        <v>434</v>
      </c>
      <c r="B53" s="159">
        <v>604</v>
      </c>
      <c r="C53" s="155" t="s">
        <v>135</v>
      </c>
      <c r="D53" s="222"/>
      <c r="E53" s="223"/>
      <c r="F53" s="153"/>
    </row>
    <row r="54" spans="1:6" hidden="1" x14ac:dyDescent="0.25">
      <c r="A54" s="39" t="s">
        <v>435</v>
      </c>
      <c r="B54" s="159" t="s">
        <v>436</v>
      </c>
      <c r="C54" s="155" t="s">
        <v>138</v>
      </c>
      <c r="D54" s="224">
        <f>SUM(D55:D58)</f>
        <v>0</v>
      </c>
      <c r="E54" s="225">
        <f>SUM(E55:E58)</f>
        <v>0</v>
      </c>
      <c r="F54" s="153"/>
    </row>
    <row r="55" spans="1:6" hidden="1" x14ac:dyDescent="0.25">
      <c r="A55" s="39" t="s">
        <v>437</v>
      </c>
      <c r="B55" s="159">
        <v>611</v>
      </c>
      <c r="C55" s="155" t="s">
        <v>141</v>
      </c>
      <c r="D55" s="222"/>
      <c r="E55" s="223"/>
      <c r="F55" s="153"/>
    </row>
    <row r="56" spans="1:6" hidden="1" x14ac:dyDescent="0.25">
      <c r="A56" s="39" t="s">
        <v>438</v>
      </c>
      <c r="B56" s="159">
        <v>612</v>
      </c>
      <c r="C56" s="155" t="s">
        <v>144</v>
      </c>
      <c r="D56" s="222"/>
      <c r="E56" s="223"/>
      <c r="F56" s="153"/>
    </row>
    <row r="57" spans="1:6" hidden="1" x14ac:dyDescent="0.25">
      <c r="A57" s="39" t="s">
        <v>439</v>
      </c>
      <c r="B57" s="159">
        <v>613</v>
      </c>
      <c r="C57" s="155" t="s">
        <v>147</v>
      </c>
      <c r="D57" s="222"/>
      <c r="E57" s="223"/>
      <c r="F57" s="153"/>
    </row>
    <row r="58" spans="1:6" hidden="1" x14ac:dyDescent="0.25">
      <c r="A58" s="39" t="s">
        <v>440</v>
      </c>
      <c r="B58" s="159">
        <v>614</v>
      </c>
      <c r="C58" s="155" t="s">
        <v>150</v>
      </c>
      <c r="D58" s="222"/>
      <c r="E58" s="223"/>
      <c r="F58" s="153"/>
    </row>
    <row r="59" spans="1:6" hidden="1" x14ac:dyDescent="0.25">
      <c r="A59" s="39" t="s">
        <v>441</v>
      </c>
      <c r="B59" s="159" t="s">
        <v>442</v>
      </c>
      <c r="C59" s="155" t="s">
        <v>153</v>
      </c>
      <c r="D59" s="224">
        <f>SUM(D60:D63)</f>
        <v>0</v>
      </c>
      <c r="E59" s="225">
        <f>SUM(E60:E63)</f>
        <v>0</v>
      </c>
      <c r="F59" s="153"/>
    </row>
    <row r="60" spans="1:6" hidden="1" x14ac:dyDescent="0.25">
      <c r="A60" s="39" t="s">
        <v>443</v>
      </c>
      <c r="B60" s="159">
        <v>621</v>
      </c>
      <c r="C60" s="155" t="s">
        <v>156</v>
      </c>
      <c r="D60" s="222"/>
      <c r="E60" s="223"/>
      <c r="F60" s="153"/>
    </row>
    <row r="61" spans="1:6" hidden="1" x14ac:dyDescent="0.25">
      <c r="A61" s="39" t="s">
        <v>444</v>
      </c>
      <c r="B61" s="159">
        <v>622</v>
      </c>
      <c r="C61" s="155" t="s">
        <v>159</v>
      </c>
      <c r="D61" s="222"/>
      <c r="E61" s="223"/>
      <c r="F61" s="153"/>
    </row>
    <row r="62" spans="1:6" hidden="1" x14ac:dyDescent="0.25">
      <c r="A62" s="39" t="s">
        <v>445</v>
      </c>
      <c r="B62" s="159">
        <v>623</v>
      </c>
      <c r="C62" s="155" t="s">
        <v>162</v>
      </c>
      <c r="D62" s="222"/>
      <c r="E62" s="223"/>
      <c r="F62" s="153"/>
    </row>
    <row r="63" spans="1:6" hidden="1" x14ac:dyDescent="0.25">
      <c r="A63" s="39" t="s">
        <v>446</v>
      </c>
      <c r="B63" s="159">
        <v>624</v>
      </c>
      <c r="C63" s="155" t="s">
        <v>164</v>
      </c>
      <c r="D63" s="222"/>
      <c r="E63" s="223"/>
      <c r="F63" s="153"/>
    </row>
    <row r="64" spans="1:6" hidden="1" x14ac:dyDescent="0.25">
      <c r="A64" s="39" t="s">
        <v>447</v>
      </c>
      <c r="B64" s="159" t="s">
        <v>448</v>
      </c>
      <c r="C64" s="155" t="s">
        <v>167</v>
      </c>
      <c r="D64" s="224">
        <f>SUM(D65:D71)</f>
        <v>0</v>
      </c>
      <c r="E64" s="225">
        <f>SUM(E65:E71)</f>
        <v>0</v>
      </c>
      <c r="F64" s="153"/>
    </row>
    <row r="65" spans="1:6" hidden="1" x14ac:dyDescent="0.25">
      <c r="A65" s="39" t="s">
        <v>449</v>
      </c>
      <c r="B65" s="159">
        <v>641</v>
      </c>
      <c r="C65" s="155" t="s">
        <v>170</v>
      </c>
      <c r="D65" s="222"/>
      <c r="E65" s="223"/>
      <c r="F65" s="153"/>
    </row>
    <row r="66" spans="1:6" hidden="1" x14ac:dyDescent="0.25">
      <c r="A66" s="39" t="s">
        <v>450</v>
      </c>
      <c r="B66" s="159">
        <v>642</v>
      </c>
      <c r="C66" s="155" t="s">
        <v>172</v>
      </c>
      <c r="D66" s="222"/>
      <c r="E66" s="223"/>
      <c r="F66" s="153"/>
    </row>
    <row r="67" spans="1:6" hidden="1" x14ac:dyDescent="0.25">
      <c r="A67" s="39" t="s">
        <v>451</v>
      </c>
      <c r="B67" s="159">
        <v>643</v>
      </c>
      <c r="C67" s="155" t="s">
        <v>175</v>
      </c>
      <c r="D67" s="222"/>
      <c r="E67" s="223"/>
      <c r="F67" s="153"/>
    </row>
    <row r="68" spans="1:6" hidden="1" x14ac:dyDescent="0.25">
      <c r="A68" s="39" t="s">
        <v>452</v>
      </c>
      <c r="B68" s="159">
        <v>644</v>
      </c>
      <c r="C68" s="155" t="s">
        <v>178</v>
      </c>
      <c r="D68" s="222"/>
      <c r="E68" s="223"/>
      <c r="F68" s="153"/>
    </row>
    <row r="69" spans="1:6" hidden="1" x14ac:dyDescent="0.25">
      <c r="A69" s="39" t="s">
        <v>453</v>
      </c>
      <c r="B69" s="159">
        <v>645</v>
      </c>
      <c r="C69" s="155" t="s">
        <v>181</v>
      </c>
      <c r="D69" s="222"/>
      <c r="E69" s="223"/>
      <c r="F69" s="153"/>
    </row>
    <row r="70" spans="1:6" hidden="1" x14ac:dyDescent="0.25">
      <c r="A70" s="39" t="s">
        <v>454</v>
      </c>
      <c r="B70" s="159">
        <v>648</v>
      </c>
      <c r="C70" s="155" t="s">
        <v>184</v>
      </c>
      <c r="D70" s="222"/>
      <c r="E70" s="223"/>
      <c r="F70" s="153"/>
    </row>
    <row r="71" spans="1:6" hidden="1" x14ac:dyDescent="0.25">
      <c r="A71" s="39" t="s">
        <v>455</v>
      </c>
      <c r="B71" s="159">
        <v>649</v>
      </c>
      <c r="C71" s="155" t="s">
        <v>187</v>
      </c>
      <c r="D71" s="222"/>
      <c r="E71" s="223"/>
      <c r="F71" s="153"/>
    </row>
    <row r="72" spans="1:6" ht="12.75" hidden="1" customHeight="1" x14ac:dyDescent="0.25">
      <c r="A72" s="39" t="s">
        <v>700</v>
      </c>
      <c r="B72" s="159" t="s">
        <v>456</v>
      </c>
      <c r="C72" s="155" t="s">
        <v>189</v>
      </c>
      <c r="D72" s="224">
        <f>SUM(D73:D79)</f>
        <v>0</v>
      </c>
      <c r="E72" s="225">
        <f>SUM(E73:E79)</f>
        <v>0</v>
      </c>
      <c r="F72" s="153"/>
    </row>
    <row r="73" spans="1:6" hidden="1" x14ac:dyDescent="0.25">
      <c r="A73" s="39" t="s">
        <v>701</v>
      </c>
      <c r="B73" s="159">
        <v>652</v>
      </c>
      <c r="C73" s="155" t="s">
        <v>192</v>
      </c>
      <c r="D73" s="222"/>
      <c r="E73" s="223"/>
      <c r="F73" s="153"/>
    </row>
    <row r="74" spans="1:6" hidden="1" x14ac:dyDescent="0.25">
      <c r="A74" s="39" t="s">
        <v>457</v>
      </c>
      <c r="B74" s="159">
        <v>653</v>
      </c>
      <c r="C74" s="155" t="s">
        <v>194</v>
      </c>
      <c r="D74" s="222"/>
      <c r="E74" s="223"/>
      <c r="F74" s="153"/>
    </row>
    <row r="75" spans="1:6" hidden="1" x14ac:dyDescent="0.25">
      <c r="A75" s="39" t="s">
        <v>458</v>
      </c>
      <c r="B75" s="159">
        <v>654</v>
      </c>
      <c r="C75" s="155" t="s">
        <v>196</v>
      </c>
      <c r="D75" s="222"/>
      <c r="E75" s="223"/>
      <c r="F75" s="153"/>
    </row>
    <row r="76" spans="1:6" hidden="1" x14ac:dyDescent="0.25">
      <c r="A76" s="39" t="s">
        <v>459</v>
      </c>
      <c r="B76" s="159">
        <v>655</v>
      </c>
      <c r="C76" s="155" t="s">
        <v>199</v>
      </c>
      <c r="D76" s="222"/>
      <c r="E76" s="223"/>
      <c r="F76" s="153"/>
    </row>
    <row r="77" spans="1:6" hidden="1" x14ac:dyDescent="0.25">
      <c r="A77" s="39" t="s">
        <v>460</v>
      </c>
      <c r="B77" s="159">
        <v>656</v>
      </c>
      <c r="C77" s="155" t="s">
        <v>202</v>
      </c>
      <c r="D77" s="222"/>
      <c r="E77" s="223"/>
      <c r="F77" s="153"/>
    </row>
    <row r="78" spans="1:6" hidden="1" x14ac:dyDescent="0.25">
      <c r="A78" s="39" t="s">
        <v>461</v>
      </c>
      <c r="B78" s="159">
        <v>657</v>
      </c>
      <c r="C78" s="155" t="s">
        <v>205</v>
      </c>
      <c r="D78" s="222"/>
      <c r="E78" s="223"/>
      <c r="F78" s="153"/>
    </row>
    <row r="79" spans="1:6" hidden="1" x14ac:dyDescent="0.25">
      <c r="A79" s="39" t="s">
        <v>462</v>
      </c>
      <c r="B79" s="159">
        <v>659</v>
      </c>
      <c r="C79" s="155" t="s">
        <v>208</v>
      </c>
      <c r="D79" s="222"/>
      <c r="E79" s="223"/>
      <c r="F79" s="153"/>
    </row>
    <row r="80" spans="1:6" hidden="1" x14ac:dyDescent="0.25">
      <c r="A80" s="39" t="s">
        <v>463</v>
      </c>
      <c r="B80" s="159" t="s">
        <v>464</v>
      </c>
      <c r="C80" s="155" t="s">
        <v>211</v>
      </c>
      <c r="D80" s="224">
        <f>SUM(D81:D83)</f>
        <v>0</v>
      </c>
      <c r="E80" s="225">
        <f>SUM(E81:E83)</f>
        <v>0</v>
      </c>
      <c r="F80" s="153"/>
    </row>
    <row r="81" spans="1:6" hidden="1" x14ac:dyDescent="0.25">
      <c r="A81" s="39" t="s">
        <v>465</v>
      </c>
      <c r="B81" s="159">
        <v>681</v>
      </c>
      <c r="C81" s="155" t="s">
        <v>214</v>
      </c>
      <c r="D81" s="222"/>
      <c r="E81" s="223"/>
      <c r="F81" s="153"/>
    </row>
    <row r="82" spans="1:6" hidden="1" x14ac:dyDescent="0.25">
      <c r="A82" s="39" t="s">
        <v>466</v>
      </c>
      <c r="B82" s="159">
        <v>682</v>
      </c>
      <c r="C82" s="155" t="s">
        <v>217</v>
      </c>
      <c r="D82" s="222"/>
      <c r="E82" s="223"/>
      <c r="F82" s="153"/>
    </row>
    <row r="83" spans="1:6" hidden="1" x14ac:dyDescent="0.25">
      <c r="A83" s="39" t="s">
        <v>467</v>
      </c>
      <c r="B83" s="159">
        <v>684</v>
      </c>
      <c r="C83" s="155" t="s">
        <v>220</v>
      </c>
      <c r="D83" s="222"/>
      <c r="E83" s="223"/>
      <c r="F83" s="153"/>
    </row>
    <row r="84" spans="1:6" hidden="1" x14ac:dyDescent="0.25">
      <c r="A84" s="39" t="s">
        <v>468</v>
      </c>
      <c r="B84" s="159" t="s">
        <v>469</v>
      </c>
      <c r="C84" s="155" t="s">
        <v>223</v>
      </c>
      <c r="D84" s="224">
        <f>D85</f>
        <v>0</v>
      </c>
      <c r="E84" s="225">
        <f>E85</f>
        <v>0</v>
      </c>
      <c r="F84" s="153"/>
    </row>
    <row r="85" spans="1:6" hidden="1" x14ac:dyDescent="0.25">
      <c r="A85" s="39" t="s">
        <v>470</v>
      </c>
      <c r="B85" s="159">
        <v>691</v>
      </c>
      <c r="C85" s="155" t="s">
        <v>226</v>
      </c>
      <c r="D85" s="222"/>
      <c r="E85" s="223"/>
      <c r="F85" s="153"/>
    </row>
    <row r="86" spans="1:6" ht="25.5" hidden="1" x14ac:dyDescent="0.25">
      <c r="A86" s="39" t="s">
        <v>471</v>
      </c>
      <c r="B86" s="160" t="s">
        <v>660</v>
      </c>
      <c r="C86" s="155" t="s">
        <v>229</v>
      </c>
      <c r="D86" s="224">
        <f>D50+D54+D59+D64+D72+D80+D84</f>
        <v>0</v>
      </c>
      <c r="E86" s="225">
        <f>E50+E54+E59+E64+E72+E80+E84</f>
        <v>0</v>
      </c>
      <c r="F86" s="153"/>
    </row>
    <row r="87" spans="1:6" hidden="1" x14ac:dyDescent="0.25">
      <c r="A87" s="161" t="s">
        <v>472</v>
      </c>
      <c r="B87" s="159" t="s">
        <v>473</v>
      </c>
      <c r="C87" s="155" t="s">
        <v>232</v>
      </c>
      <c r="D87" s="224">
        <f>D86-D48</f>
        <v>0</v>
      </c>
      <c r="E87" s="225">
        <f>E86-E48</f>
        <v>0</v>
      </c>
      <c r="F87" s="153"/>
    </row>
    <row r="88" spans="1:6" hidden="1" x14ac:dyDescent="0.25">
      <c r="A88" s="39" t="s">
        <v>474</v>
      </c>
      <c r="B88" s="159">
        <v>591</v>
      </c>
      <c r="C88" s="155" t="s">
        <v>235</v>
      </c>
      <c r="D88" s="222"/>
      <c r="E88" s="223"/>
      <c r="F88" s="153"/>
    </row>
    <row r="89" spans="1:6" hidden="1" x14ac:dyDescent="0.25">
      <c r="A89" s="161" t="s">
        <v>475</v>
      </c>
      <c r="B89" s="159" t="s">
        <v>476</v>
      </c>
      <c r="C89" s="155" t="s">
        <v>238</v>
      </c>
      <c r="D89" s="222">
        <f>D87-D88</f>
        <v>0</v>
      </c>
      <c r="E89" s="223">
        <f>E87-E88</f>
        <v>0</v>
      </c>
      <c r="F89" s="153"/>
    </row>
    <row r="90" spans="1:6" ht="24" hidden="1" customHeight="1" x14ac:dyDescent="0.25">
      <c r="A90" s="2483"/>
      <c r="B90" s="2484"/>
      <c r="C90" s="2485"/>
      <c r="D90" s="2481" t="s">
        <v>713</v>
      </c>
      <c r="E90" s="2482"/>
      <c r="F90" s="140"/>
    </row>
    <row r="91" spans="1:6" ht="12.75" hidden="1" customHeight="1" x14ac:dyDescent="0.25">
      <c r="A91" s="353" t="s">
        <v>477</v>
      </c>
      <c r="B91" s="354" t="s">
        <v>587</v>
      </c>
      <c r="C91" s="38" t="s">
        <v>241</v>
      </c>
      <c r="D91" s="2471">
        <f>+D87+E87</f>
        <v>0</v>
      </c>
      <c r="E91" s="2472"/>
    </row>
    <row r="92" spans="1:6" ht="12.75" hidden="1" customHeight="1" thickBot="1" x14ac:dyDescent="0.3">
      <c r="A92" s="352" t="s">
        <v>478</v>
      </c>
      <c r="B92" s="52" t="s">
        <v>588</v>
      </c>
      <c r="C92" s="45" t="s">
        <v>244</v>
      </c>
      <c r="D92" s="2473">
        <f>+D89+E89</f>
        <v>0</v>
      </c>
      <c r="E92" s="2474"/>
    </row>
    <row r="93" spans="1:6" ht="12.75" hidden="1" customHeight="1" x14ac:dyDescent="0.25">
      <c r="A93" s="162"/>
      <c r="B93" s="56"/>
      <c r="C93" s="56"/>
    </row>
    <row r="94" spans="1:6" ht="12.75" hidden="1" customHeight="1" x14ac:dyDescent="0.25">
      <c r="A94" s="53" t="s">
        <v>638</v>
      </c>
      <c r="B94" s="56"/>
      <c r="C94" s="56"/>
    </row>
    <row r="95" spans="1:6" ht="12.75" hidden="1" customHeight="1" x14ac:dyDescent="0.25">
      <c r="A95" s="190" t="s">
        <v>1170</v>
      </c>
      <c r="B95" s="56"/>
      <c r="C95" s="56"/>
    </row>
    <row r="96" spans="1:6" hidden="1" x14ac:dyDescent="0.25">
      <c r="A96" s="31" t="s">
        <v>663</v>
      </c>
      <c r="B96" s="32"/>
      <c r="C96" s="32"/>
    </row>
    <row r="97" spans="1:5" hidden="1" x14ac:dyDescent="0.25">
      <c r="A97" s="190" t="s">
        <v>658</v>
      </c>
      <c r="B97" s="32"/>
      <c r="C97" s="32"/>
    </row>
    <row r="98" spans="1:5" hidden="1" x14ac:dyDescent="0.25">
      <c r="A98" s="190" t="s">
        <v>1118</v>
      </c>
    </row>
    <row r="100" spans="1:5" ht="18.75" x14ac:dyDescent="0.25">
      <c r="A100" s="910" t="s">
        <v>1278</v>
      </c>
      <c r="B100" s="1688" t="s">
        <v>1713</v>
      </c>
    </row>
    <row r="101" spans="1:5" ht="15.75" x14ac:dyDescent="0.25">
      <c r="A101" s="2467" t="s">
        <v>1714</v>
      </c>
      <c r="B101" s="2467"/>
      <c r="C101" s="2467"/>
      <c r="D101" s="2467"/>
      <c r="E101" s="2467"/>
    </row>
    <row r="102" spans="1:5" ht="13.5" thickBot="1" x14ac:dyDescent="0.3"/>
    <row r="103" spans="1:5" ht="16.5" thickBot="1" x14ac:dyDescent="0.3">
      <c r="A103" s="2461" t="s">
        <v>661</v>
      </c>
      <c r="B103" s="2462"/>
      <c r="C103" s="2462"/>
      <c r="D103" s="2462"/>
      <c r="E103" s="2463"/>
    </row>
    <row r="104" spans="1:5" ht="13.5" thickBot="1" x14ac:dyDescent="0.3">
      <c r="A104" s="2464" t="s">
        <v>608</v>
      </c>
      <c r="B104" s="2465"/>
      <c r="C104" s="2465"/>
      <c r="D104" s="2465"/>
      <c r="E104" s="2466"/>
    </row>
    <row r="105" spans="1:5" ht="39" thickBot="1" x14ac:dyDescent="0.3">
      <c r="A105" s="1763" t="s">
        <v>609</v>
      </c>
      <c r="B105" s="1764" t="s">
        <v>656</v>
      </c>
      <c r="C105" s="1765" t="s">
        <v>662</v>
      </c>
      <c r="D105" s="1766" t="s">
        <v>832</v>
      </c>
      <c r="E105" s="1767" t="s">
        <v>833</v>
      </c>
    </row>
    <row r="106" spans="1:5" x14ac:dyDescent="0.25">
      <c r="A106" s="189" t="s">
        <v>381</v>
      </c>
      <c r="B106" s="2469"/>
      <c r="C106" s="2470"/>
      <c r="D106" s="218" t="s">
        <v>586</v>
      </c>
      <c r="E106" s="219" t="s">
        <v>506</v>
      </c>
    </row>
    <row r="107" spans="1:5" x14ac:dyDescent="0.25">
      <c r="A107" s="36" t="s">
        <v>382</v>
      </c>
      <c r="B107" s="1693" t="s">
        <v>383</v>
      </c>
      <c r="C107" s="1694" t="s">
        <v>3</v>
      </c>
      <c r="D107" s="1695">
        <f>SUM(D108:D111)</f>
        <v>26414.400000000001</v>
      </c>
      <c r="E107" s="1696">
        <f>SUM(E108:E111)</f>
        <v>4188.96</v>
      </c>
    </row>
    <row r="108" spans="1:5" x14ac:dyDescent="0.25">
      <c r="A108" s="39" t="s">
        <v>384</v>
      </c>
      <c r="B108" s="154">
        <v>501</v>
      </c>
      <c r="C108" s="155" t="s">
        <v>6</v>
      </c>
      <c r="D108" s="1689">
        <v>16520.25</v>
      </c>
      <c r="E108" s="1690">
        <v>2988.18</v>
      </c>
    </row>
    <row r="109" spans="1:5" x14ac:dyDescent="0.25">
      <c r="A109" s="39" t="s">
        <v>385</v>
      </c>
      <c r="B109" s="154">
        <v>502</v>
      </c>
      <c r="C109" s="155" t="s">
        <v>9</v>
      </c>
      <c r="D109" s="1689">
        <v>9567.57</v>
      </c>
      <c r="E109" s="1690">
        <v>1195.06</v>
      </c>
    </row>
    <row r="110" spans="1:5" x14ac:dyDescent="0.25">
      <c r="A110" s="39" t="s">
        <v>386</v>
      </c>
      <c r="B110" s="154">
        <v>503</v>
      </c>
      <c r="C110" s="155" t="s">
        <v>12</v>
      </c>
      <c r="D110" s="1689">
        <v>326.58</v>
      </c>
      <c r="E110" s="1690">
        <v>0.33</v>
      </c>
    </row>
    <row r="111" spans="1:5" x14ac:dyDescent="0.25">
      <c r="A111" s="39" t="s">
        <v>387</v>
      </c>
      <c r="B111" s="154">
        <v>504</v>
      </c>
      <c r="C111" s="155" t="s">
        <v>15</v>
      </c>
      <c r="D111" s="1689">
        <v>0</v>
      </c>
      <c r="E111" s="1690">
        <v>5.39</v>
      </c>
    </row>
    <row r="112" spans="1:5" x14ac:dyDescent="0.25">
      <c r="A112" s="161" t="s">
        <v>388</v>
      </c>
      <c r="B112" s="1697" t="s">
        <v>389</v>
      </c>
      <c r="C112" s="1698" t="s">
        <v>18</v>
      </c>
      <c r="D112" s="1699">
        <f>SUM(D113:D116)</f>
        <v>75571.03</v>
      </c>
      <c r="E112" s="1700">
        <f>SUM(E113:E116)</f>
        <v>18678.739999999998</v>
      </c>
    </row>
    <row r="113" spans="1:5" x14ac:dyDescent="0.25">
      <c r="A113" s="39" t="s">
        <v>390</v>
      </c>
      <c r="B113" s="154">
        <v>511</v>
      </c>
      <c r="C113" s="155" t="s">
        <v>21</v>
      </c>
      <c r="D113" s="1689">
        <v>7435.29</v>
      </c>
      <c r="E113" s="1690">
        <v>1718.1</v>
      </c>
    </row>
    <row r="114" spans="1:5" x14ac:dyDescent="0.25">
      <c r="A114" s="39" t="s">
        <v>391</v>
      </c>
      <c r="B114" s="154">
        <v>512</v>
      </c>
      <c r="C114" s="155" t="s">
        <v>24</v>
      </c>
      <c r="D114" s="1689">
        <v>5999.65</v>
      </c>
      <c r="E114" s="1690">
        <v>478.76</v>
      </c>
    </row>
    <row r="115" spans="1:5" x14ac:dyDescent="0.25">
      <c r="A115" s="39" t="s">
        <v>392</v>
      </c>
      <c r="B115" s="154">
        <v>513</v>
      </c>
      <c r="C115" s="155" t="s">
        <v>27</v>
      </c>
      <c r="D115" s="1689">
        <v>1500.19</v>
      </c>
      <c r="E115" s="1690">
        <v>281.24</v>
      </c>
    </row>
    <row r="116" spans="1:5" x14ac:dyDescent="0.25">
      <c r="A116" s="39" t="s">
        <v>393</v>
      </c>
      <c r="B116" s="154">
        <v>518</v>
      </c>
      <c r="C116" s="155" t="s">
        <v>30</v>
      </c>
      <c r="D116" s="1689">
        <v>60635.9</v>
      </c>
      <c r="E116" s="1690">
        <v>16200.64</v>
      </c>
    </row>
    <row r="117" spans="1:5" x14ac:dyDescent="0.25">
      <c r="A117" s="161" t="s">
        <v>394</v>
      </c>
      <c r="B117" s="1697" t="s">
        <v>395</v>
      </c>
      <c r="C117" s="1698" t="s">
        <v>33</v>
      </c>
      <c r="D117" s="1699">
        <f>SUM(D118:D122)</f>
        <v>242224.96</v>
      </c>
      <c r="E117" s="1700">
        <f>SUM(E118:E122)</f>
        <v>18737.52</v>
      </c>
    </row>
    <row r="118" spans="1:5" x14ac:dyDescent="0.25">
      <c r="A118" s="39" t="s">
        <v>396</v>
      </c>
      <c r="B118" s="154">
        <v>521</v>
      </c>
      <c r="C118" s="155" t="s">
        <v>36</v>
      </c>
      <c r="D118" s="1689">
        <v>184465.94</v>
      </c>
      <c r="E118" s="1690">
        <v>14368.71</v>
      </c>
    </row>
    <row r="119" spans="1:5" x14ac:dyDescent="0.25">
      <c r="A119" s="39" t="s">
        <v>397</v>
      </c>
      <c r="B119" s="154">
        <v>524</v>
      </c>
      <c r="C119" s="155" t="s">
        <v>39</v>
      </c>
      <c r="D119" s="1689">
        <v>57759.02</v>
      </c>
      <c r="E119" s="1690">
        <v>4368.8100000000004</v>
      </c>
    </row>
    <row r="120" spans="1:5" x14ac:dyDescent="0.25">
      <c r="A120" s="39" t="s">
        <v>398</v>
      </c>
      <c r="B120" s="154">
        <v>525</v>
      </c>
      <c r="C120" s="155" t="s">
        <v>42</v>
      </c>
      <c r="D120" s="1689">
        <v>0</v>
      </c>
      <c r="E120" s="1690">
        <v>0</v>
      </c>
    </row>
    <row r="121" spans="1:5" x14ac:dyDescent="0.25">
      <c r="A121" s="39" t="s">
        <v>399</v>
      </c>
      <c r="B121" s="154">
        <v>527</v>
      </c>
      <c r="C121" s="155" t="s">
        <v>45</v>
      </c>
      <c r="D121" s="1689">
        <v>0</v>
      </c>
      <c r="E121" s="1690">
        <v>0</v>
      </c>
    </row>
    <row r="122" spans="1:5" x14ac:dyDescent="0.25">
      <c r="A122" s="39" t="s">
        <v>400</v>
      </c>
      <c r="B122" s="154">
        <v>528</v>
      </c>
      <c r="C122" s="155" t="s">
        <v>48</v>
      </c>
      <c r="D122" s="1689">
        <v>0</v>
      </c>
      <c r="E122" s="1690">
        <v>0</v>
      </c>
    </row>
    <row r="123" spans="1:5" x14ac:dyDescent="0.25">
      <c r="A123" s="161" t="s">
        <v>401</v>
      </c>
      <c r="B123" s="1697" t="s">
        <v>402</v>
      </c>
      <c r="C123" s="1698" t="s">
        <v>51</v>
      </c>
      <c r="D123" s="1699">
        <f>SUM(D124:D126)</f>
        <v>441.98</v>
      </c>
      <c r="E123" s="1700">
        <f>SUM(E124:E126)</f>
        <v>64.36</v>
      </c>
    </row>
    <row r="124" spans="1:5" x14ac:dyDescent="0.25">
      <c r="A124" s="39" t="s">
        <v>403</v>
      </c>
      <c r="B124" s="154">
        <v>531</v>
      </c>
      <c r="C124" s="155" t="s">
        <v>54</v>
      </c>
      <c r="D124" s="1689">
        <v>31.38</v>
      </c>
      <c r="E124" s="1690">
        <v>0</v>
      </c>
    </row>
    <row r="125" spans="1:5" x14ac:dyDescent="0.25">
      <c r="A125" s="39" t="s">
        <v>404</v>
      </c>
      <c r="B125" s="154">
        <v>532</v>
      </c>
      <c r="C125" s="155" t="s">
        <v>57</v>
      </c>
      <c r="D125" s="1689">
        <v>19.09</v>
      </c>
      <c r="E125" s="1690">
        <v>0</v>
      </c>
    </row>
    <row r="126" spans="1:5" x14ac:dyDescent="0.25">
      <c r="A126" s="39" t="s">
        <v>405</v>
      </c>
      <c r="B126" s="154">
        <v>538</v>
      </c>
      <c r="C126" s="155" t="s">
        <v>60</v>
      </c>
      <c r="D126" s="1689">
        <v>391.51</v>
      </c>
      <c r="E126" s="1690">
        <v>64.36</v>
      </c>
    </row>
    <row r="127" spans="1:5" x14ac:dyDescent="0.25">
      <c r="A127" s="161" t="s">
        <v>406</v>
      </c>
      <c r="B127" s="1697" t="s">
        <v>407</v>
      </c>
      <c r="C127" s="1698" t="s">
        <v>63</v>
      </c>
      <c r="D127" s="1699">
        <f>SUM(D128:D135)</f>
        <v>31225.25</v>
      </c>
      <c r="E127" s="1700">
        <f>SUM(E128:E135)</f>
        <v>3807.31</v>
      </c>
    </row>
    <row r="128" spans="1:5" x14ac:dyDescent="0.25">
      <c r="A128" s="39" t="s">
        <v>408</v>
      </c>
      <c r="B128" s="154">
        <v>541</v>
      </c>
      <c r="C128" s="155" t="s">
        <v>66</v>
      </c>
      <c r="D128" s="1689">
        <v>0</v>
      </c>
      <c r="E128" s="1690">
        <v>0</v>
      </c>
    </row>
    <row r="129" spans="1:7" x14ac:dyDescent="0.25">
      <c r="A129" s="39" t="s">
        <v>409</v>
      </c>
      <c r="B129" s="154">
        <v>542</v>
      </c>
      <c r="C129" s="155" t="s">
        <v>69</v>
      </c>
      <c r="D129" s="1689">
        <v>85.01</v>
      </c>
      <c r="E129" s="1690">
        <v>1.05</v>
      </c>
    </row>
    <row r="130" spans="1:7" x14ac:dyDescent="0.25">
      <c r="A130" s="39" t="s">
        <v>410</v>
      </c>
      <c r="B130" s="154">
        <v>543</v>
      </c>
      <c r="C130" s="155" t="s">
        <v>72</v>
      </c>
      <c r="D130" s="1689">
        <v>0</v>
      </c>
      <c r="E130" s="1690">
        <v>0</v>
      </c>
    </row>
    <row r="131" spans="1:7" x14ac:dyDescent="0.25">
      <c r="A131" s="39" t="s">
        <v>411</v>
      </c>
      <c r="B131" s="154">
        <v>544</v>
      </c>
      <c r="C131" s="155" t="s">
        <v>75</v>
      </c>
      <c r="D131" s="1689">
        <v>0</v>
      </c>
      <c r="E131" s="1690">
        <v>0</v>
      </c>
    </row>
    <row r="132" spans="1:7" x14ac:dyDescent="0.25">
      <c r="A132" s="39" t="s">
        <v>412</v>
      </c>
      <c r="B132" s="154">
        <v>545</v>
      </c>
      <c r="C132" s="155" t="s">
        <v>78</v>
      </c>
      <c r="D132" s="1689">
        <v>489.65</v>
      </c>
      <c r="E132" s="1690">
        <v>208.92</v>
      </c>
    </row>
    <row r="133" spans="1:7" x14ac:dyDescent="0.25">
      <c r="A133" s="39" t="s">
        <v>413</v>
      </c>
      <c r="B133" s="154">
        <v>546</v>
      </c>
      <c r="C133" s="155" t="s">
        <v>81</v>
      </c>
      <c r="D133" s="1689">
        <v>0</v>
      </c>
      <c r="E133" s="1690">
        <v>0</v>
      </c>
    </row>
    <row r="134" spans="1:7" x14ac:dyDescent="0.25">
      <c r="A134" s="39" t="s">
        <v>414</v>
      </c>
      <c r="B134" s="154">
        <v>548</v>
      </c>
      <c r="C134" s="155" t="s">
        <v>83</v>
      </c>
      <c r="D134" s="1689">
        <v>55.25</v>
      </c>
      <c r="E134" s="1690">
        <v>0</v>
      </c>
    </row>
    <row r="135" spans="1:7" x14ac:dyDescent="0.25">
      <c r="A135" s="39" t="s">
        <v>415</v>
      </c>
      <c r="B135" s="154">
        <v>549</v>
      </c>
      <c r="C135" s="155" t="s">
        <v>86</v>
      </c>
      <c r="D135" s="1689">
        <v>30595.34</v>
      </c>
      <c r="E135" s="1690">
        <v>3597.34</v>
      </c>
    </row>
    <row r="136" spans="1:7" x14ac:dyDescent="0.25">
      <c r="A136" s="161" t="s">
        <v>696</v>
      </c>
      <c r="B136" s="1697" t="s">
        <v>416</v>
      </c>
      <c r="C136" s="1698" t="s">
        <v>89</v>
      </c>
      <c r="D136" s="1699">
        <f>SUM(D137:D142)</f>
        <v>21692.1</v>
      </c>
      <c r="E136" s="1700">
        <f>SUM(E137:E142)</f>
        <v>0</v>
      </c>
    </row>
    <row r="137" spans="1:7" x14ac:dyDescent="0.25">
      <c r="A137" s="39" t="s">
        <v>697</v>
      </c>
      <c r="B137" s="154">
        <v>551</v>
      </c>
      <c r="C137" s="155" t="s">
        <v>92</v>
      </c>
      <c r="D137" s="1689">
        <v>21692.1</v>
      </c>
      <c r="E137" s="1690">
        <v>0</v>
      </c>
      <c r="G137" s="1689"/>
    </row>
    <row r="138" spans="1:7" ht="25.5" x14ac:dyDescent="0.25">
      <c r="A138" s="39" t="s">
        <v>698</v>
      </c>
      <c r="B138" s="154">
        <v>552</v>
      </c>
      <c r="C138" s="155" t="s">
        <v>95</v>
      </c>
      <c r="D138" s="1689">
        <v>0</v>
      </c>
      <c r="E138" s="1690">
        <v>0</v>
      </c>
    </row>
    <row r="139" spans="1:7" x14ac:dyDescent="0.25">
      <c r="A139" s="39" t="s">
        <v>417</v>
      </c>
      <c r="B139" s="154">
        <v>553</v>
      </c>
      <c r="C139" s="155" t="s">
        <v>98</v>
      </c>
      <c r="D139" s="1689">
        <v>0</v>
      </c>
      <c r="E139" s="1690">
        <v>0</v>
      </c>
    </row>
    <row r="140" spans="1:7" x14ac:dyDescent="0.25">
      <c r="A140" s="39" t="s">
        <v>418</v>
      </c>
      <c r="B140" s="154">
        <v>554</v>
      </c>
      <c r="C140" s="155" t="s">
        <v>101</v>
      </c>
      <c r="D140" s="1689">
        <v>0</v>
      </c>
      <c r="E140" s="1690">
        <v>0</v>
      </c>
    </row>
    <row r="141" spans="1:7" x14ac:dyDescent="0.25">
      <c r="A141" s="39" t="s">
        <v>419</v>
      </c>
      <c r="B141" s="154">
        <v>556</v>
      </c>
      <c r="C141" s="155" t="s">
        <v>104</v>
      </c>
      <c r="D141" s="1689">
        <v>0</v>
      </c>
      <c r="E141" s="1690">
        <v>0</v>
      </c>
    </row>
    <row r="142" spans="1:7" x14ac:dyDescent="0.25">
      <c r="A142" s="39" t="s">
        <v>420</v>
      </c>
      <c r="B142" s="154">
        <v>559</v>
      </c>
      <c r="C142" s="155" t="s">
        <v>107</v>
      </c>
      <c r="D142" s="1689">
        <v>0</v>
      </c>
      <c r="E142" s="1690">
        <v>0</v>
      </c>
    </row>
    <row r="143" spans="1:7" x14ac:dyDescent="0.25">
      <c r="A143" s="161" t="s">
        <v>421</v>
      </c>
      <c r="B143" s="1697" t="s">
        <v>422</v>
      </c>
      <c r="C143" s="1698" t="s">
        <v>110</v>
      </c>
      <c r="D143" s="1699">
        <f>SUM(D144:D145)</f>
        <v>0</v>
      </c>
      <c r="E143" s="1700">
        <f>SUM(E144:E145)</f>
        <v>0</v>
      </c>
    </row>
    <row r="144" spans="1:7" x14ac:dyDescent="0.25">
      <c r="A144" s="39" t="s">
        <v>699</v>
      </c>
      <c r="B144" s="154">
        <v>581</v>
      </c>
      <c r="C144" s="155" t="s">
        <v>113</v>
      </c>
      <c r="D144" s="1689">
        <v>0</v>
      </c>
      <c r="E144" s="1690">
        <v>0</v>
      </c>
    </row>
    <row r="145" spans="1:5" x14ac:dyDescent="0.25">
      <c r="A145" s="39" t="s">
        <v>423</v>
      </c>
      <c r="B145" s="154">
        <v>582</v>
      </c>
      <c r="C145" s="155" t="s">
        <v>115</v>
      </c>
      <c r="D145" s="1689">
        <v>0</v>
      </c>
      <c r="E145" s="1690">
        <v>0</v>
      </c>
    </row>
    <row r="146" spans="1:5" x14ac:dyDescent="0.25">
      <c r="A146" s="39" t="s">
        <v>424</v>
      </c>
      <c r="B146" s="154" t="s">
        <v>425</v>
      </c>
      <c r="C146" s="155" t="s">
        <v>117</v>
      </c>
      <c r="D146" s="1691">
        <f>D147</f>
        <v>0</v>
      </c>
      <c r="E146" s="1692">
        <f>E147</f>
        <v>0</v>
      </c>
    </row>
    <row r="147" spans="1:5" x14ac:dyDescent="0.25">
      <c r="A147" s="39" t="s">
        <v>426</v>
      </c>
      <c r="B147" s="154">
        <v>595</v>
      </c>
      <c r="C147" s="155" t="s">
        <v>120</v>
      </c>
      <c r="D147" s="1689">
        <v>0</v>
      </c>
      <c r="E147" s="1690">
        <v>0</v>
      </c>
    </row>
    <row r="148" spans="1:5" ht="26.25" thickBot="1" x14ac:dyDescent="0.3">
      <c r="A148" s="1768" t="s">
        <v>427</v>
      </c>
      <c r="B148" s="1769" t="s">
        <v>428</v>
      </c>
      <c r="C148" s="1770" t="s">
        <v>123</v>
      </c>
      <c r="D148" s="1771">
        <f>D107+D112+D117+D123+D127+D136+D143+D146</f>
        <v>397569.72</v>
      </c>
      <c r="E148" s="1772">
        <f>E107+E112+E117+E123+E127+E136+E143+E146</f>
        <v>45476.89</v>
      </c>
    </row>
    <row r="149" spans="1:5" ht="13.5" thickBot="1" x14ac:dyDescent="0.3">
      <c r="A149" s="2478" t="s">
        <v>429</v>
      </c>
      <c r="B149" s="2479"/>
      <c r="C149" s="2479"/>
      <c r="D149" s="2479"/>
      <c r="E149" s="2480"/>
    </row>
    <row r="150" spans="1:5" x14ac:dyDescent="0.25">
      <c r="A150" s="36" t="s">
        <v>430</v>
      </c>
      <c r="B150" s="1701" t="s">
        <v>431</v>
      </c>
      <c r="C150" s="1694" t="s">
        <v>126</v>
      </c>
      <c r="D150" s="1695">
        <f>SUM(D151:D153)</f>
        <v>3058.4900000000002</v>
      </c>
      <c r="E150" s="1696">
        <f>SUM(E151:E153)</f>
        <v>26092.44</v>
      </c>
    </row>
    <row r="151" spans="1:5" x14ac:dyDescent="0.25">
      <c r="A151" s="39" t="s">
        <v>432</v>
      </c>
      <c r="B151" s="159">
        <v>601</v>
      </c>
      <c r="C151" s="155" t="s">
        <v>129</v>
      </c>
      <c r="D151" s="1689">
        <v>54.71</v>
      </c>
      <c r="E151" s="1690">
        <v>988.19</v>
      </c>
    </row>
    <row r="152" spans="1:5" x14ac:dyDescent="0.25">
      <c r="A152" s="39" t="s">
        <v>433</v>
      </c>
      <c r="B152" s="159">
        <v>602</v>
      </c>
      <c r="C152" s="155" t="s">
        <v>132</v>
      </c>
      <c r="D152" s="1689">
        <v>3003.78</v>
      </c>
      <c r="E152" s="1690">
        <v>25090</v>
      </c>
    </row>
    <row r="153" spans="1:5" x14ac:dyDescent="0.25">
      <c r="A153" s="39" t="s">
        <v>434</v>
      </c>
      <c r="B153" s="159">
        <v>604</v>
      </c>
      <c r="C153" s="155" t="s">
        <v>135</v>
      </c>
      <c r="D153" s="1689">
        <v>0</v>
      </c>
      <c r="E153" s="1690">
        <v>14.25</v>
      </c>
    </row>
    <row r="154" spans="1:5" x14ac:dyDescent="0.25">
      <c r="A154" s="161" t="s">
        <v>435</v>
      </c>
      <c r="B154" s="1702" t="s">
        <v>436</v>
      </c>
      <c r="C154" s="1698" t="s">
        <v>138</v>
      </c>
      <c r="D154" s="1699">
        <f>SUM(D155:D158)</f>
        <v>-866.62000000000012</v>
      </c>
      <c r="E154" s="1700">
        <f>SUM(E155:E158)</f>
        <v>0</v>
      </c>
    </row>
    <row r="155" spans="1:5" x14ac:dyDescent="0.25">
      <c r="A155" s="39" t="s">
        <v>437</v>
      </c>
      <c r="B155" s="159">
        <v>611</v>
      </c>
      <c r="C155" s="155" t="s">
        <v>141</v>
      </c>
      <c r="D155" s="1689">
        <v>-276.43</v>
      </c>
      <c r="E155" s="1690">
        <v>0</v>
      </c>
    </row>
    <row r="156" spans="1:5" x14ac:dyDescent="0.25">
      <c r="A156" s="39" t="s">
        <v>438</v>
      </c>
      <c r="B156" s="159">
        <v>612</v>
      </c>
      <c r="C156" s="155" t="s">
        <v>144</v>
      </c>
      <c r="D156" s="1689">
        <v>0</v>
      </c>
      <c r="E156" s="1690">
        <v>0</v>
      </c>
    </row>
    <row r="157" spans="1:5" x14ac:dyDescent="0.25">
      <c r="A157" s="39" t="s">
        <v>439</v>
      </c>
      <c r="B157" s="159">
        <v>613</v>
      </c>
      <c r="C157" s="155" t="s">
        <v>147</v>
      </c>
      <c r="D157" s="1689">
        <v>-590.19000000000005</v>
      </c>
      <c r="E157" s="1690">
        <v>0</v>
      </c>
    </row>
    <row r="158" spans="1:5" x14ac:dyDescent="0.25">
      <c r="A158" s="39" t="s">
        <v>440</v>
      </c>
      <c r="B158" s="159">
        <v>614</v>
      </c>
      <c r="C158" s="155" t="s">
        <v>150</v>
      </c>
      <c r="D158" s="1689">
        <v>0</v>
      </c>
      <c r="E158" s="1690">
        <v>0</v>
      </c>
    </row>
    <row r="159" spans="1:5" x14ac:dyDescent="0.25">
      <c r="A159" s="161" t="s">
        <v>441</v>
      </c>
      <c r="B159" s="1702" t="s">
        <v>442</v>
      </c>
      <c r="C159" s="1698" t="s">
        <v>153</v>
      </c>
      <c r="D159" s="1699">
        <f>SUM(D160:D163)</f>
        <v>0</v>
      </c>
      <c r="E159" s="1700">
        <f>SUM(E160:E163)</f>
        <v>0</v>
      </c>
    </row>
    <row r="160" spans="1:5" x14ac:dyDescent="0.25">
      <c r="A160" s="39" t="s">
        <v>443</v>
      </c>
      <c r="B160" s="159">
        <v>621</v>
      </c>
      <c r="C160" s="155" t="s">
        <v>156</v>
      </c>
      <c r="D160" s="1689">
        <v>0</v>
      </c>
      <c r="E160" s="1690">
        <v>0</v>
      </c>
    </row>
    <row r="161" spans="1:5" x14ac:dyDescent="0.25">
      <c r="A161" s="39" t="s">
        <v>444</v>
      </c>
      <c r="B161" s="159">
        <v>622</v>
      </c>
      <c r="C161" s="155" t="s">
        <v>159</v>
      </c>
      <c r="D161" s="1689">
        <v>0</v>
      </c>
      <c r="E161" s="1690">
        <v>0</v>
      </c>
    </row>
    <row r="162" spans="1:5" x14ac:dyDescent="0.25">
      <c r="A162" s="39" t="s">
        <v>445</v>
      </c>
      <c r="B162" s="159">
        <v>623</v>
      </c>
      <c r="C162" s="155" t="s">
        <v>162</v>
      </c>
      <c r="D162" s="1689">
        <v>0</v>
      </c>
      <c r="E162" s="1690">
        <v>0</v>
      </c>
    </row>
    <row r="163" spans="1:5" x14ac:dyDescent="0.25">
      <c r="A163" s="39" t="s">
        <v>446</v>
      </c>
      <c r="B163" s="159">
        <v>624</v>
      </c>
      <c r="C163" s="155" t="s">
        <v>164</v>
      </c>
      <c r="D163" s="1689">
        <v>0</v>
      </c>
      <c r="E163" s="1690">
        <v>0</v>
      </c>
    </row>
    <row r="164" spans="1:5" x14ac:dyDescent="0.25">
      <c r="A164" s="161" t="s">
        <v>447</v>
      </c>
      <c r="B164" s="1702" t="s">
        <v>448</v>
      </c>
      <c r="C164" s="1698" t="s">
        <v>167</v>
      </c>
      <c r="D164" s="1699">
        <f>SUM(D165:D171)</f>
        <v>63220.81</v>
      </c>
      <c r="E164" s="1700">
        <f>SUM(E165:E171)</f>
        <v>37928.46</v>
      </c>
    </row>
    <row r="165" spans="1:5" x14ac:dyDescent="0.25">
      <c r="A165" s="39" t="s">
        <v>449</v>
      </c>
      <c r="B165" s="159">
        <v>641</v>
      </c>
      <c r="C165" s="155" t="s">
        <v>170</v>
      </c>
      <c r="D165" s="1689">
        <v>0</v>
      </c>
      <c r="E165" s="1690">
        <v>6.1</v>
      </c>
    </row>
    <row r="166" spans="1:5" x14ac:dyDescent="0.25">
      <c r="A166" s="39" t="s">
        <v>450</v>
      </c>
      <c r="B166" s="159">
        <v>642</v>
      </c>
      <c r="C166" s="155" t="s">
        <v>172</v>
      </c>
      <c r="D166" s="1689">
        <v>0</v>
      </c>
      <c r="E166" s="1690">
        <v>0</v>
      </c>
    </row>
    <row r="167" spans="1:5" x14ac:dyDescent="0.25">
      <c r="A167" s="39" t="s">
        <v>451</v>
      </c>
      <c r="B167" s="159">
        <v>643</v>
      </c>
      <c r="C167" s="155" t="s">
        <v>175</v>
      </c>
      <c r="D167" s="1689">
        <v>0</v>
      </c>
      <c r="E167" s="1690">
        <v>0</v>
      </c>
    </row>
    <row r="168" spans="1:5" x14ac:dyDescent="0.25">
      <c r="A168" s="39" t="s">
        <v>452</v>
      </c>
      <c r="B168" s="159">
        <v>644</v>
      </c>
      <c r="C168" s="155" t="s">
        <v>178</v>
      </c>
      <c r="D168" s="1689">
        <v>28.93</v>
      </c>
      <c r="E168" s="1690">
        <v>5.9</v>
      </c>
    </row>
    <row r="169" spans="1:5" x14ac:dyDescent="0.25">
      <c r="A169" s="39" t="s">
        <v>453</v>
      </c>
      <c r="B169" s="159">
        <v>645</v>
      </c>
      <c r="C169" s="155" t="s">
        <v>181</v>
      </c>
      <c r="D169" s="1689">
        <v>119.69</v>
      </c>
      <c r="E169" s="1690">
        <v>-1.62</v>
      </c>
    </row>
    <row r="170" spans="1:5" x14ac:dyDescent="0.25">
      <c r="A170" s="39" t="s">
        <v>454</v>
      </c>
      <c r="B170" s="159">
        <v>648</v>
      </c>
      <c r="C170" s="155" t="s">
        <v>184</v>
      </c>
      <c r="D170" s="1689">
        <v>26769.89</v>
      </c>
      <c r="E170" s="1690">
        <v>0</v>
      </c>
    </row>
    <row r="171" spans="1:5" x14ac:dyDescent="0.25">
      <c r="A171" s="39" t="s">
        <v>455</v>
      </c>
      <c r="B171" s="159">
        <v>649</v>
      </c>
      <c r="C171" s="155" t="s">
        <v>187</v>
      </c>
      <c r="D171" s="1689">
        <v>36302.300000000003</v>
      </c>
      <c r="E171" s="1690">
        <v>37918.080000000002</v>
      </c>
    </row>
    <row r="172" spans="1:5" ht="25.5" x14ac:dyDescent="0.25">
      <c r="A172" s="161" t="s">
        <v>700</v>
      </c>
      <c r="B172" s="1702" t="s">
        <v>456</v>
      </c>
      <c r="C172" s="1698" t="s">
        <v>189</v>
      </c>
      <c r="D172" s="1699">
        <f>SUM(D173:D179)</f>
        <v>10.92</v>
      </c>
      <c r="E172" s="1700">
        <f>SUM(E173:E179)</f>
        <v>0</v>
      </c>
    </row>
    <row r="173" spans="1:5" x14ac:dyDescent="0.25">
      <c r="A173" s="39" t="s">
        <v>701</v>
      </c>
      <c r="B173" s="159">
        <v>652</v>
      </c>
      <c r="C173" s="155" t="s">
        <v>192</v>
      </c>
      <c r="D173" s="1689">
        <v>10.92</v>
      </c>
      <c r="E173" s="1690">
        <v>0</v>
      </c>
    </row>
    <row r="174" spans="1:5" x14ac:dyDescent="0.25">
      <c r="A174" s="39" t="s">
        <v>457</v>
      </c>
      <c r="B174" s="159">
        <v>653</v>
      </c>
      <c r="C174" s="155" t="s">
        <v>194</v>
      </c>
      <c r="D174" s="1689">
        <v>0</v>
      </c>
      <c r="E174" s="1690">
        <v>0</v>
      </c>
    </row>
    <row r="175" spans="1:5" x14ac:dyDescent="0.25">
      <c r="A175" s="39" t="s">
        <v>458</v>
      </c>
      <c r="B175" s="159">
        <v>654</v>
      </c>
      <c r="C175" s="155" t="s">
        <v>196</v>
      </c>
      <c r="D175" s="1689">
        <v>0</v>
      </c>
      <c r="E175" s="1690">
        <v>0</v>
      </c>
    </row>
    <row r="176" spans="1:5" x14ac:dyDescent="0.25">
      <c r="A176" s="39" t="s">
        <v>459</v>
      </c>
      <c r="B176" s="159">
        <v>655</v>
      </c>
      <c r="C176" s="155" t="s">
        <v>199</v>
      </c>
      <c r="D176" s="1689">
        <v>0</v>
      </c>
      <c r="E176" s="1690">
        <v>0</v>
      </c>
    </row>
    <row r="177" spans="1:5" x14ac:dyDescent="0.25">
      <c r="A177" s="39" t="s">
        <v>460</v>
      </c>
      <c r="B177" s="159">
        <v>656</v>
      </c>
      <c r="C177" s="155" t="s">
        <v>202</v>
      </c>
      <c r="D177" s="1689">
        <v>0</v>
      </c>
      <c r="E177" s="1690">
        <v>0</v>
      </c>
    </row>
    <row r="178" spans="1:5" x14ac:dyDescent="0.25">
      <c r="A178" s="39" t="s">
        <v>461</v>
      </c>
      <c r="B178" s="159">
        <v>657</v>
      </c>
      <c r="C178" s="155" t="s">
        <v>205</v>
      </c>
      <c r="D178" s="1689">
        <v>0</v>
      </c>
      <c r="E178" s="1690">
        <v>0</v>
      </c>
    </row>
    <row r="179" spans="1:5" x14ac:dyDescent="0.25">
      <c r="A179" s="39" t="s">
        <v>462</v>
      </c>
      <c r="B179" s="159">
        <v>659</v>
      </c>
      <c r="C179" s="155" t="s">
        <v>208</v>
      </c>
      <c r="D179" s="1689">
        <v>0</v>
      </c>
      <c r="E179" s="1690">
        <v>0</v>
      </c>
    </row>
    <row r="180" spans="1:5" x14ac:dyDescent="0.25">
      <c r="A180" s="161" t="s">
        <v>463</v>
      </c>
      <c r="B180" s="1702" t="s">
        <v>464</v>
      </c>
      <c r="C180" s="1698" t="s">
        <v>211</v>
      </c>
      <c r="D180" s="1699">
        <f>SUM(D181:D183)</f>
        <v>720.52</v>
      </c>
      <c r="E180" s="1700">
        <f>SUM(E181:E183)</f>
        <v>0</v>
      </c>
    </row>
    <row r="181" spans="1:5" x14ac:dyDescent="0.25">
      <c r="A181" s="39" t="s">
        <v>465</v>
      </c>
      <c r="B181" s="159">
        <v>681</v>
      </c>
      <c r="C181" s="155" t="s">
        <v>214</v>
      </c>
      <c r="D181" s="1689">
        <v>0</v>
      </c>
      <c r="E181" s="1690">
        <v>0</v>
      </c>
    </row>
    <row r="182" spans="1:5" x14ac:dyDescent="0.25">
      <c r="A182" s="39" t="s">
        <v>466</v>
      </c>
      <c r="B182" s="159">
        <v>682</v>
      </c>
      <c r="C182" s="155" t="s">
        <v>217</v>
      </c>
      <c r="D182" s="1689">
        <v>720.52</v>
      </c>
      <c r="E182" s="1690">
        <v>0</v>
      </c>
    </row>
    <row r="183" spans="1:5" x14ac:dyDescent="0.25">
      <c r="A183" s="39" t="s">
        <v>467</v>
      </c>
      <c r="B183" s="159">
        <v>684</v>
      </c>
      <c r="C183" s="155" t="s">
        <v>220</v>
      </c>
      <c r="D183" s="1689">
        <v>0</v>
      </c>
      <c r="E183" s="1690">
        <v>0</v>
      </c>
    </row>
    <row r="184" spans="1:5" x14ac:dyDescent="0.25">
      <c r="A184" s="161" t="s">
        <v>468</v>
      </c>
      <c r="B184" s="1702" t="s">
        <v>469</v>
      </c>
      <c r="C184" s="1698" t="s">
        <v>223</v>
      </c>
      <c r="D184" s="1699">
        <f>D185</f>
        <v>337234.76</v>
      </c>
      <c r="E184" s="1700">
        <f>E185</f>
        <v>0</v>
      </c>
    </row>
    <row r="185" spans="1:5" x14ac:dyDescent="0.25">
      <c r="A185" s="39" t="s">
        <v>470</v>
      </c>
      <c r="B185" s="159">
        <v>691</v>
      </c>
      <c r="C185" s="155" t="s">
        <v>226</v>
      </c>
      <c r="D185" s="1689">
        <v>337234.76</v>
      </c>
      <c r="E185" s="1690">
        <v>0</v>
      </c>
    </row>
    <row r="186" spans="1:5" ht="25.5" x14ac:dyDescent="0.25">
      <c r="A186" s="1773" t="s">
        <v>471</v>
      </c>
      <c r="B186" s="1774" t="s">
        <v>660</v>
      </c>
      <c r="C186" s="1775" t="s">
        <v>229</v>
      </c>
      <c r="D186" s="1776">
        <f>D150+D154+D159+D164+D172+D180+D184</f>
        <v>403378.88</v>
      </c>
      <c r="E186" s="1777">
        <f>E150+E154+E159+E164+E172+E180+E184</f>
        <v>64020.899999999994</v>
      </c>
    </row>
    <row r="187" spans="1:5" x14ac:dyDescent="0.25">
      <c r="A187" s="39" t="s">
        <v>472</v>
      </c>
      <c r="B187" s="159" t="s">
        <v>473</v>
      </c>
      <c r="C187" s="155" t="s">
        <v>232</v>
      </c>
      <c r="D187" s="1689">
        <f>D186-D148</f>
        <v>5809.1600000000326</v>
      </c>
      <c r="E187" s="1690">
        <f>E186-E148</f>
        <v>18544.009999999995</v>
      </c>
    </row>
    <row r="188" spans="1:5" x14ac:dyDescent="0.25">
      <c r="A188" s="39" t="s">
        <v>474</v>
      </c>
      <c r="B188" s="159">
        <v>591</v>
      </c>
      <c r="C188" s="155" t="s">
        <v>235</v>
      </c>
      <c r="D188" s="1689">
        <v>374.7</v>
      </c>
      <c r="E188" s="1690">
        <v>1196.3499999999999</v>
      </c>
    </row>
    <row r="189" spans="1:5" x14ac:dyDescent="0.25">
      <c r="A189" s="1780" t="s">
        <v>475</v>
      </c>
      <c r="B189" s="1781" t="s">
        <v>476</v>
      </c>
      <c r="C189" s="1782" t="s">
        <v>238</v>
      </c>
      <c r="D189" s="1783">
        <f>D187-D188</f>
        <v>5434.4600000000328</v>
      </c>
      <c r="E189" s="1784">
        <f>E187-E188</f>
        <v>17347.659999999996</v>
      </c>
    </row>
    <row r="190" spans="1:5" x14ac:dyDescent="0.25">
      <c r="A190" s="2483"/>
      <c r="B190" s="2484"/>
      <c r="C190" s="2485"/>
      <c r="D190" s="2481" t="s">
        <v>713</v>
      </c>
      <c r="E190" s="2482"/>
    </row>
    <row r="191" spans="1:5" x14ac:dyDescent="0.25">
      <c r="A191" s="353" t="s">
        <v>477</v>
      </c>
      <c r="B191" s="354" t="s">
        <v>587</v>
      </c>
      <c r="C191" s="38" t="s">
        <v>241</v>
      </c>
      <c r="D191" s="2486">
        <f>+D187+E187</f>
        <v>24353.170000000027</v>
      </c>
      <c r="E191" s="2487"/>
    </row>
    <row r="192" spans="1:5" ht="13.5" thickBot="1" x14ac:dyDescent="0.3">
      <c r="A192" s="1768" t="s">
        <v>478</v>
      </c>
      <c r="B192" s="1778" t="s">
        <v>588</v>
      </c>
      <c r="C192" s="1779" t="s">
        <v>244</v>
      </c>
      <c r="D192" s="2488">
        <f>+D189+E189</f>
        <v>22782.120000000028</v>
      </c>
      <c r="E192" s="2489"/>
    </row>
    <row r="193" spans="1:5" x14ac:dyDescent="0.25">
      <c r="A193" s="162"/>
      <c r="B193" s="56"/>
      <c r="C193" s="56"/>
    </row>
    <row r="194" spans="1:5" ht="15" customHeight="1" x14ac:dyDescent="0.25">
      <c r="A194" s="1684" t="s">
        <v>1711</v>
      </c>
      <c r="B194" s="1685"/>
      <c r="C194" s="1685"/>
      <c r="D194" s="1686"/>
      <c r="E194" s="1686"/>
    </row>
    <row r="195" spans="1:5" ht="35.1" customHeight="1" x14ac:dyDescent="0.25">
      <c r="A195" s="2459" t="s">
        <v>1920</v>
      </c>
      <c r="B195" s="2460"/>
      <c r="C195" s="2460"/>
      <c r="D195" s="2460"/>
      <c r="E195" s="2460"/>
    </row>
    <row r="196" spans="1:5" ht="35.1" customHeight="1" x14ac:dyDescent="0.25">
      <c r="A196" s="2460"/>
      <c r="B196" s="2460"/>
      <c r="C196" s="2460"/>
      <c r="D196" s="2460"/>
      <c r="E196" s="2460"/>
    </row>
    <row r="197" spans="1:5" x14ac:dyDescent="0.25">
      <c r="A197" s="53" t="s">
        <v>638</v>
      </c>
      <c r="B197" s="56"/>
      <c r="C197" s="56"/>
    </row>
    <row r="198" spans="1:5" x14ac:dyDescent="0.25">
      <c r="A198" s="190" t="s">
        <v>1170</v>
      </c>
      <c r="B198" s="56"/>
      <c r="C198" s="56"/>
    </row>
    <row r="199" spans="1:5" x14ac:dyDescent="0.25">
      <c r="A199" s="31" t="s">
        <v>663</v>
      </c>
      <c r="B199" s="32"/>
      <c r="C199" s="32"/>
    </row>
    <row r="200" spans="1:5" x14ac:dyDescent="0.25">
      <c r="A200" s="190" t="s">
        <v>658</v>
      </c>
      <c r="B200" s="32"/>
      <c r="C200" s="32"/>
    </row>
    <row r="201" spans="1:5" x14ac:dyDescent="0.25">
      <c r="A201" s="190" t="s">
        <v>1118</v>
      </c>
    </row>
    <row r="202" spans="1:5" ht="15.75" x14ac:dyDescent="0.25">
      <c r="B202" s="1128" t="s">
        <v>1325</v>
      </c>
      <c r="C202" s="1129"/>
      <c r="D202" s="1130"/>
      <c r="E202" s="1132"/>
    </row>
    <row r="203" spans="1:5" x14ac:dyDescent="0.25">
      <c r="B203" s="1687" t="s">
        <v>1715</v>
      </c>
      <c r="C203" s="1131"/>
      <c r="D203" s="1132"/>
      <c r="E203" s="1132"/>
    </row>
    <row r="204" spans="1:5" x14ac:dyDescent="0.25">
      <c r="B204" s="1131" t="s">
        <v>1328</v>
      </c>
      <c r="C204" s="1131"/>
      <c r="D204" s="1132"/>
      <c r="E204" s="1132"/>
    </row>
    <row r="205" spans="1:5" x14ac:dyDescent="0.25">
      <c r="B205" s="1134" t="s">
        <v>1329</v>
      </c>
      <c r="C205" s="1131"/>
      <c r="D205" s="1132"/>
      <c r="E205" s="1132"/>
    </row>
    <row r="206" spans="1:5" ht="15.75" x14ac:dyDescent="0.25">
      <c r="A206" s="2490" t="s">
        <v>1716</v>
      </c>
      <c r="B206" s="2490"/>
      <c r="C206" s="2490"/>
      <c r="D206" s="2490"/>
      <c r="E206" s="2490"/>
    </row>
    <row r="207" spans="1:5" ht="13.5" thickBot="1" x14ac:dyDescent="0.3">
      <c r="A207" s="2491"/>
      <c r="B207" s="2491"/>
      <c r="C207" s="2491"/>
      <c r="D207" s="2491"/>
      <c r="E207" s="2491"/>
    </row>
    <row r="208" spans="1:5" ht="16.5" thickBot="1" x14ac:dyDescent="0.3">
      <c r="A208" s="2492" t="s">
        <v>661</v>
      </c>
      <c r="B208" s="2493"/>
      <c r="C208" s="2493"/>
      <c r="D208" s="2493"/>
      <c r="E208" s="2494"/>
    </row>
    <row r="209" spans="1:5" ht="13.5" thickBot="1" x14ac:dyDescent="0.3">
      <c r="A209" s="1703" t="s">
        <v>608</v>
      </c>
      <c r="B209" s="1704"/>
      <c r="C209" s="1704"/>
      <c r="D209" s="1704"/>
      <c r="E209" s="1705"/>
    </row>
    <row r="210" spans="1:5" ht="39" thickBot="1" x14ac:dyDescent="0.3">
      <c r="A210" s="1706" t="s">
        <v>609</v>
      </c>
      <c r="B210" s="1707" t="s">
        <v>656</v>
      </c>
      <c r="C210" s="1708" t="s">
        <v>662</v>
      </c>
      <c r="D210" s="1709" t="s">
        <v>832</v>
      </c>
      <c r="E210" s="1710" t="s">
        <v>833</v>
      </c>
    </row>
    <row r="211" spans="1:5" x14ac:dyDescent="0.25">
      <c r="A211" s="1711" t="s">
        <v>381</v>
      </c>
      <c r="B211" s="2495"/>
      <c r="C211" s="2496"/>
      <c r="D211" s="1712" t="s">
        <v>586</v>
      </c>
      <c r="E211" s="1713" t="s">
        <v>506</v>
      </c>
    </row>
    <row r="212" spans="1:5" x14ac:dyDescent="0.25">
      <c r="A212" s="1714" t="s">
        <v>382</v>
      </c>
      <c r="B212" s="1715" t="s">
        <v>383</v>
      </c>
      <c r="C212" s="1716" t="s">
        <v>3</v>
      </c>
      <c r="D212" s="1717">
        <f>SUM(D213:D216)</f>
        <v>0</v>
      </c>
      <c r="E212" s="1718">
        <f>SUM(E213:E216)</f>
        <v>1241.94</v>
      </c>
    </row>
    <row r="213" spans="1:5" x14ac:dyDescent="0.25">
      <c r="A213" s="1719" t="s">
        <v>384</v>
      </c>
      <c r="B213" s="1720">
        <v>501</v>
      </c>
      <c r="C213" s="1721" t="s">
        <v>6</v>
      </c>
      <c r="D213" s="1722">
        <v>0</v>
      </c>
      <c r="E213" s="1723">
        <f>46.88</f>
        <v>46.88</v>
      </c>
    </row>
    <row r="214" spans="1:5" x14ac:dyDescent="0.25">
      <c r="A214" s="1719" t="s">
        <v>385</v>
      </c>
      <c r="B214" s="1720">
        <v>502</v>
      </c>
      <c r="C214" s="1721" t="s">
        <v>9</v>
      </c>
      <c r="D214" s="1722">
        <v>0</v>
      </c>
      <c r="E214" s="1723">
        <f>1195.06</f>
        <v>1195.06</v>
      </c>
    </row>
    <row r="215" spans="1:5" x14ac:dyDescent="0.25">
      <c r="A215" s="1719" t="s">
        <v>386</v>
      </c>
      <c r="B215" s="1720">
        <v>503</v>
      </c>
      <c r="C215" s="1721" t="s">
        <v>12</v>
      </c>
      <c r="D215" s="1722">
        <v>0</v>
      </c>
      <c r="E215" s="1723">
        <v>0</v>
      </c>
    </row>
    <row r="216" spans="1:5" x14ac:dyDescent="0.25">
      <c r="A216" s="1719" t="s">
        <v>387</v>
      </c>
      <c r="B216" s="1720">
        <v>504</v>
      </c>
      <c r="C216" s="1721" t="s">
        <v>15</v>
      </c>
      <c r="D216" s="1722">
        <v>0</v>
      </c>
      <c r="E216" s="1723">
        <v>0</v>
      </c>
    </row>
    <row r="217" spans="1:5" x14ac:dyDescent="0.25">
      <c r="A217" s="1724" t="s">
        <v>388</v>
      </c>
      <c r="B217" s="1725" t="s">
        <v>389</v>
      </c>
      <c r="C217" s="1726" t="s">
        <v>18</v>
      </c>
      <c r="D217" s="1727">
        <f>SUM(D218:D221)</f>
        <v>0</v>
      </c>
      <c r="E217" s="1728">
        <f>SUM(E218:E221)</f>
        <v>2675.89</v>
      </c>
    </row>
    <row r="218" spans="1:5" x14ac:dyDescent="0.25">
      <c r="A218" s="1719" t="s">
        <v>390</v>
      </c>
      <c r="B218" s="1720">
        <v>511</v>
      </c>
      <c r="C218" s="1721" t="s">
        <v>21</v>
      </c>
      <c r="D218" s="1722">
        <v>0</v>
      </c>
      <c r="E218" s="1723">
        <f>292.04</f>
        <v>292.04000000000002</v>
      </c>
    </row>
    <row r="219" spans="1:5" x14ac:dyDescent="0.25">
      <c r="A219" s="1719" t="s">
        <v>391</v>
      </c>
      <c r="B219" s="1720">
        <v>512</v>
      </c>
      <c r="C219" s="1721" t="s">
        <v>24</v>
      </c>
      <c r="D219" s="1722">
        <v>0</v>
      </c>
      <c r="E219" s="1723">
        <v>0</v>
      </c>
    </row>
    <row r="220" spans="1:5" x14ac:dyDescent="0.25">
      <c r="A220" s="1719" t="s">
        <v>392</v>
      </c>
      <c r="B220" s="1720">
        <v>513</v>
      </c>
      <c r="C220" s="1721" t="s">
        <v>27</v>
      </c>
      <c r="D220" s="1722">
        <v>0</v>
      </c>
      <c r="E220" s="1723">
        <v>0</v>
      </c>
    </row>
    <row r="221" spans="1:5" x14ac:dyDescent="0.25">
      <c r="A221" s="1719" t="s">
        <v>393</v>
      </c>
      <c r="B221" s="1720">
        <v>518</v>
      </c>
      <c r="C221" s="1721" t="s">
        <v>30</v>
      </c>
      <c r="D221" s="1722">
        <v>0</v>
      </c>
      <c r="E221" s="1723">
        <f>2383.85</f>
        <v>2383.85</v>
      </c>
    </row>
    <row r="222" spans="1:5" x14ac:dyDescent="0.25">
      <c r="A222" s="1724" t="s">
        <v>394</v>
      </c>
      <c r="B222" s="1725" t="s">
        <v>395</v>
      </c>
      <c r="C222" s="1726" t="s">
        <v>33</v>
      </c>
      <c r="D222" s="1727">
        <f>SUM(D223:D227)</f>
        <v>0</v>
      </c>
      <c r="E222" s="1728">
        <f>SUM(E223:E227)</f>
        <v>675.49</v>
      </c>
    </row>
    <row r="223" spans="1:5" x14ac:dyDescent="0.25">
      <c r="A223" s="1719" t="s">
        <v>396</v>
      </c>
      <c r="B223" s="1720">
        <v>521</v>
      </c>
      <c r="C223" s="1721" t="s">
        <v>36</v>
      </c>
      <c r="D223" s="1722">
        <v>0</v>
      </c>
      <c r="E223" s="1723">
        <f>504.1</f>
        <v>504.1</v>
      </c>
    </row>
    <row r="224" spans="1:5" x14ac:dyDescent="0.25">
      <c r="A224" s="1719" t="s">
        <v>397</v>
      </c>
      <c r="B224" s="1720">
        <v>524</v>
      </c>
      <c r="C224" s="1721" t="s">
        <v>39</v>
      </c>
      <c r="D224" s="1722">
        <v>0</v>
      </c>
      <c r="E224" s="1723">
        <f>171.39</f>
        <v>171.39</v>
      </c>
    </row>
    <row r="225" spans="1:5" x14ac:dyDescent="0.25">
      <c r="A225" s="1719" t="s">
        <v>398</v>
      </c>
      <c r="B225" s="1720">
        <v>525</v>
      </c>
      <c r="C225" s="1721" t="s">
        <v>42</v>
      </c>
      <c r="D225" s="1722">
        <v>0</v>
      </c>
      <c r="E225" s="1723">
        <v>0</v>
      </c>
    </row>
    <row r="226" spans="1:5" x14ac:dyDescent="0.25">
      <c r="A226" s="1719" t="s">
        <v>399</v>
      </c>
      <c r="B226" s="1720">
        <v>527</v>
      </c>
      <c r="C226" s="1721" t="s">
        <v>45</v>
      </c>
      <c r="D226" s="1722">
        <v>0</v>
      </c>
      <c r="E226" s="1723">
        <v>0</v>
      </c>
    </row>
    <row r="227" spans="1:5" x14ac:dyDescent="0.25">
      <c r="A227" s="1719" t="s">
        <v>400</v>
      </c>
      <c r="B227" s="1720">
        <v>528</v>
      </c>
      <c r="C227" s="1721" t="s">
        <v>48</v>
      </c>
      <c r="D227" s="1722">
        <v>0</v>
      </c>
      <c r="E227" s="1723">
        <v>0</v>
      </c>
    </row>
    <row r="228" spans="1:5" x14ac:dyDescent="0.25">
      <c r="A228" s="1724" t="s">
        <v>401</v>
      </c>
      <c r="B228" s="1725" t="s">
        <v>402</v>
      </c>
      <c r="C228" s="1726" t="s">
        <v>51</v>
      </c>
      <c r="D228" s="1727">
        <f>SUM(D229:D231)</f>
        <v>0</v>
      </c>
      <c r="E228" s="1728">
        <f>SUM(E229:E231)</f>
        <v>16.29</v>
      </c>
    </row>
    <row r="229" spans="1:5" x14ac:dyDescent="0.25">
      <c r="A229" s="1719" t="s">
        <v>403</v>
      </c>
      <c r="B229" s="1720">
        <v>531</v>
      </c>
      <c r="C229" s="1721" t="s">
        <v>54</v>
      </c>
      <c r="D229" s="1722">
        <v>0</v>
      </c>
      <c r="E229" s="1723">
        <v>0</v>
      </c>
    </row>
    <row r="230" spans="1:5" x14ac:dyDescent="0.25">
      <c r="A230" s="1719" t="s">
        <v>404</v>
      </c>
      <c r="B230" s="1720">
        <v>532</v>
      </c>
      <c r="C230" s="1721" t="s">
        <v>57</v>
      </c>
      <c r="D230" s="1722">
        <v>0</v>
      </c>
      <c r="E230" s="1723">
        <v>0</v>
      </c>
    </row>
    <row r="231" spans="1:5" x14ac:dyDescent="0.25">
      <c r="A231" s="1719" t="s">
        <v>405</v>
      </c>
      <c r="B231" s="1720">
        <v>538</v>
      </c>
      <c r="C231" s="1721" t="s">
        <v>60</v>
      </c>
      <c r="D231" s="1722">
        <v>0</v>
      </c>
      <c r="E231" s="1723">
        <f>16.29</f>
        <v>16.29</v>
      </c>
    </row>
    <row r="232" spans="1:5" x14ac:dyDescent="0.25">
      <c r="A232" s="1724" t="s">
        <v>406</v>
      </c>
      <c r="B232" s="1725" t="s">
        <v>407</v>
      </c>
      <c r="C232" s="1726" t="s">
        <v>63</v>
      </c>
      <c r="D232" s="1727">
        <f>SUM(D233:D240)</f>
        <v>0</v>
      </c>
      <c r="E232" s="1728">
        <f>SUM(E233:E240)</f>
        <v>113.34</v>
      </c>
    </row>
    <row r="233" spans="1:5" x14ac:dyDescent="0.25">
      <c r="A233" s="1719" t="s">
        <v>408</v>
      </c>
      <c r="B233" s="1720">
        <v>541</v>
      </c>
      <c r="C233" s="1721" t="s">
        <v>66</v>
      </c>
      <c r="D233" s="1722">
        <v>0</v>
      </c>
      <c r="E233" s="1723">
        <v>0</v>
      </c>
    </row>
    <row r="234" spans="1:5" x14ac:dyDescent="0.25">
      <c r="A234" s="1719" t="s">
        <v>409</v>
      </c>
      <c r="B234" s="1720">
        <v>542</v>
      </c>
      <c r="C234" s="1721" t="s">
        <v>69</v>
      </c>
      <c r="D234" s="1722">
        <v>0</v>
      </c>
      <c r="E234" s="1723">
        <v>0</v>
      </c>
    </row>
    <row r="235" spans="1:5" x14ac:dyDescent="0.25">
      <c r="A235" s="1719" t="s">
        <v>410</v>
      </c>
      <c r="B235" s="1720">
        <v>543</v>
      </c>
      <c r="C235" s="1721" t="s">
        <v>72</v>
      </c>
      <c r="D235" s="1722">
        <v>0</v>
      </c>
      <c r="E235" s="1723">
        <v>0</v>
      </c>
    </row>
    <row r="236" spans="1:5" x14ac:dyDescent="0.25">
      <c r="A236" s="1719" t="s">
        <v>411</v>
      </c>
      <c r="B236" s="1720">
        <v>544</v>
      </c>
      <c r="C236" s="1721" t="s">
        <v>75</v>
      </c>
      <c r="D236" s="1722">
        <v>0</v>
      </c>
      <c r="E236" s="1723">
        <v>0</v>
      </c>
    </row>
    <row r="237" spans="1:5" x14ac:dyDescent="0.25">
      <c r="A237" s="1719" t="s">
        <v>412</v>
      </c>
      <c r="B237" s="1720">
        <v>545</v>
      </c>
      <c r="C237" s="1721" t="s">
        <v>78</v>
      </c>
      <c r="D237" s="1722">
        <v>0</v>
      </c>
      <c r="E237" s="1723">
        <v>0</v>
      </c>
    </row>
    <row r="238" spans="1:5" x14ac:dyDescent="0.25">
      <c r="A238" s="1719" t="s">
        <v>413</v>
      </c>
      <c r="B238" s="1720">
        <v>546</v>
      </c>
      <c r="C238" s="1721" t="s">
        <v>81</v>
      </c>
      <c r="D238" s="1722">
        <v>0</v>
      </c>
      <c r="E238" s="1723">
        <v>0</v>
      </c>
    </row>
    <row r="239" spans="1:5" x14ac:dyDescent="0.25">
      <c r="A239" s="1719" t="s">
        <v>414</v>
      </c>
      <c r="B239" s="1720">
        <v>548</v>
      </c>
      <c r="C239" s="1721" t="s">
        <v>83</v>
      </c>
      <c r="D239" s="1722">
        <v>0</v>
      </c>
      <c r="E239" s="1723">
        <v>0</v>
      </c>
    </row>
    <row r="240" spans="1:5" x14ac:dyDescent="0.25">
      <c r="A240" s="1719" t="s">
        <v>415</v>
      </c>
      <c r="B240" s="1720">
        <v>549</v>
      </c>
      <c r="C240" s="1721" t="s">
        <v>86</v>
      </c>
      <c r="D240" s="1722">
        <v>0</v>
      </c>
      <c r="E240" s="1723">
        <v>113.34</v>
      </c>
    </row>
    <row r="241" spans="1:5" x14ac:dyDescent="0.25">
      <c r="A241" s="1724" t="s">
        <v>696</v>
      </c>
      <c r="B241" s="1725" t="s">
        <v>416</v>
      </c>
      <c r="C241" s="1726" t="s">
        <v>89</v>
      </c>
      <c r="D241" s="1727">
        <f>SUM(D242:D247)</f>
        <v>0</v>
      </c>
      <c r="E241" s="1728">
        <f>SUM(E242:E247)</f>
        <v>0</v>
      </c>
    </row>
    <row r="242" spans="1:5" x14ac:dyDescent="0.25">
      <c r="A242" s="1719" t="s">
        <v>697</v>
      </c>
      <c r="B242" s="1720">
        <v>551</v>
      </c>
      <c r="C242" s="1721" t="s">
        <v>92</v>
      </c>
      <c r="D242" s="1722">
        <v>0</v>
      </c>
      <c r="E242" s="1723">
        <v>0</v>
      </c>
    </row>
    <row r="243" spans="1:5" ht="25.5" x14ac:dyDescent="0.25">
      <c r="A243" s="1719" t="s">
        <v>698</v>
      </c>
      <c r="B243" s="1720">
        <v>552</v>
      </c>
      <c r="C243" s="1721" t="s">
        <v>95</v>
      </c>
      <c r="D243" s="1722">
        <v>0</v>
      </c>
      <c r="E243" s="1723">
        <v>0</v>
      </c>
    </row>
    <row r="244" spans="1:5" x14ac:dyDescent="0.25">
      <c r="A244" s="1719" t="s">
        <v>417</v>
      </c>
      <c r="B244" s="1720">
        <v>553</v>
      </c>
      <c r="C244" s="1721" t="s">
        <v>98</v>
      </c>
      <c r="D244" s="1722">
        <v>0</v>
      </c>
      <c r="E244" s="1723">
        <v>0</v>
      </c>
    </row>
    <row r="245" spans="1:5" x14ac:dyDescent="0.25">
      <c r="A245" s="1719" t="s">
        <v>418</v>
      </c>
      <c r="B245" s="1720">
        <v>554</v>
      </c>
      <c r="C245" s="1721" t="s">
        <v>101</v>
      </c>
      <c r="D245" s="1722">
        <v>0</v>
      </c>
      <c r="E245" s="1723">
        <v>0</v>
      </c>
    </row>
    <row r="246" spans="1:5" x14ac:dyDescent="0.25">
      <c r="A246" s="1719" t="s">
        <v>419</v>
      </c>
      <c r="B246" s="1720">
        <v>556</v>
      </c>
      <c r="C246" s="1721" t="s">
        <v>104</v>
      </c>
      <c r="D246" s="1722">
        <v>0</v>
      </c>
      <c r="E246" s="1723">
        <v>0</v>
      </c>
    </row>
    <row r="247" spans="1:5" x14ac:dyDescent="0.25">
      <c r="A247" s="1719" t="s">
        <v>420</v>
      </c>
      <c r="B247" s="1720">
        <v>559</v>
      </c>
      <c r="C247" s="1721" t="s">
        <v>107</v>
      </c>
      <c r="D247" s="1722">
        <v>0</v>
      </c>
      <c r="E247" s="1723">
        <v>0</v>
      </c>
    </row>
    <row r="248" spans="1:5" x14ac:dyDescent="0.25">
      <c r="A248" s="1724" t="s">
        <v>421</v>
      </c>
      <c r="B248" s="1725" t="s">
        <v>422</v>
      </c>
      <c r="C248" s="1726" t="s">
        <v>110</v>
      </c>
      <c r="D248" s="1727">
        <f>SUM(D249:D250)</f>
        <v>0</v>
      </c>
      <c r="E248" s="1728">
        <v>0</v>
      </c>
    </row>
    <row r="249" spans="1:5" x14ac:dyDescent="0.25">
      <c r="A249" s="1719" t="s">
        <v>699</v>
      </c>
      <c r="B249" s="1720">
        <v>581</v>
      </c>
      <c r="C249" s="1721" t="s">
        <v>113</v>
      </c>
      <c r="D249" s="1722">
        <v>0</v>
      </c>
      <c r="E249" s="1723">
        <v>0</v>
      </c>
    </row>
    <row r="250" spans="1:5" x14ac:dyDescent="0.25">
      <c r="A250" s="1719" t="s">
        <v>423</v>
      </c>
      <c r="B250" s="1720">
        <v>582</v>
      </c>
      <c r="C250" s="1721" t="s">
        <v>115</v>
      </c>
      <c r="D250" s="1722">
        <v>0</v>
      </c>
      <c r="E250" s="1723">
        <v>0</v>
      </c>
    </row>
    <row r="251" spans="1:5" x14ac:dyDescent="0.25">
      <c r="A251" s="1724" t="s">
        <v>424</v>
      </c>
      <c r="B251" s="1725" t="s">
        <v>425</v>
      </c>
      <c r="C251" s="1726" t="s">
        <v>117</v>
      </c>
      <c r="D251" s="1727">
        <f>D252</f>
        <v>0</v>
      </c>
      <c r="E251" s="1728">
        <v>0</v>
      </c>
    </row>
    <row r="252" spans="1:5" x14ac:dyDescent="0.25">
      <c r="A252" s="1719" t="s">
        <v>426</v>
      </c>
      <c r="B252" s="1720">
        <v>595</v>
      </c>
      <c r="C252" s="1721" t="s">
        <v>120</v>
      </c>
      <c r="D252" s="1722">
        <v>0</v>
      </c>
      <c r="E252" s="1723">
        <v>0</v>
      </c>
    </row>
    <row r="253" spans="1:5" ht="26.25" thickBot="1" x14ac:dyDescent="0.3">
      <c r="A253" s="1729" t="s">
        <v>427</v>
      </c>
      <c r="B253" s="1730" t="s">
        <v>428</v>
      </c>
      <c r="C253" s="1731" t="s">
        <v>123</v>
      </c>
      <c r="D253" s="1732">
        <f>D212+D217+D222+D228+D232+D241+D248+D251</f>
        <v>0</v>
      </c>
      <c r="E253" s="1733">
        <f>E212+E217+E222+E228+E232+E241+E248+E251</f>
        <v>4722.95</v>
      </c>
    </row>
    <row r="254" spans="1:5" ht="13.5" thickBot="1" x14ac:dyDescent="0.3">
      <c r="A254" s="1734" t="s">
        <v>429</v>
      </c>
      <c r="B254" s="1735"/>
      <c r="C254" s="1735"/>
      <c r="D254" s="1735"/>
      <c r="E254" s="1736"/>
    </row>
    <row r="255" spans="1:5" x14ac:dyDescent="0.25">
      <c r="A255" s="1714" t="s">
        <v>430</v>
      </c>
      <c r="B255" s="1737" t="s">
        <v>431</v>
      </c>
      <c r="C255" s="1716" t="s">
        <v>126</v>
      </c>
      <c r="D255" s="1717">
        <f>SUM(D256:D258)</f>
        <v>0</v>
      </c>
      <c r="E255" s="1718">
        <f>SUM(E256:E258)</f>
        <v>4930.32</v>
      </c>
    </row>
    <row r="256" spans="1:5" x14ac:dyDescent="0.25">
      <c r="A256" s="1719" t="s">
        <v>432</v>
      </c>
      <c r="B256" s="1738">
        <v>601</v>
      </c>
      <c r="C256" s="1721" t="s">
        <v>129</v>
      </c>
      <c r="D256" s="1722">
        <v>0</v>
      </c>
      <c r="E256" s="1723">
        <v>0</v>
      </c>
    </row>
    <row r="257" spans="1:5" x14ac:dyDescent="0.25">
      <c r="A257" s="1719" t="s">
        <v>433</v>
      </c>
      <c r="B257" s="1738">
        <v>602</v>
      </c>
      <c r="C257" s="1721" t="s">
        <v>132</v>
      </c>
      <c r="D257" s="1722">
        <v>0</v>
      </c>
      <c r="E257" s="1723">
        <v>4930.32</v>
      </c>
    </row>
    <row r="258" spans="1:5" x14ac:dyDescent="0.25">
      <c r="A258" s="1719" t="s">
        <v>434</v>
      </c>
      <c r="B258" s="1738">
        <v>604</v>
      </c>
      <c r="C258" s="1721" t="s">
        <v>135</v>
      </c>
      <c r="D258" s="1722">
        <v>0</v>
      </c>
      <c r="E258" s="1723">
        <v>0</v>
      </c>
    </row>
    <row r="259" spans="1:5" x14ac:dyDescent="0.25">
      <c r="A259" s="1724" t="s">
        <v>435</v>
      </c>
      <c r="B259" s="1739" t="s">
        <v>436</v>
      </c>
      <c r="C259" s="1726" t="s">
        <v>138</v>
      </c>
      <c r="D259" s="1727">
        <f>SUM(D260:D263)</f>
        <v>0</v>
      </c>
      <c r="E259" s="1728">
        <f>SUM(E260:E263)</f>
        <v>0</v>
      </c>
    </row>
    <row r="260" spans="1:5" x14ac:dyDescent="0.25">
      <c r="A260" s="1719" t="s">
        <v>437</v>
      </c>
      <c r="B260" s="1738">
        <v>611</v>
      </c>
      <c r="C260" s="1721" t="s">
        <v>141</v>
      </c>
      <c r="D260" s="1722">
        <v>0</v>
      </c>
      <c r="E260" s="1723">
        <v>0</v>
      </c>
    </row>
    <row r="261" spans="1:5" x14ac:dyDescent="0.25">
      <c r="A261" s="1719" t="s">
        <v>438</v>
      </c>
      <c r="B261" s="1738">
        <v>612</v>
      </c>
      <c r="C261" s="1721" t="s">
        <v>144</v>
      </c>
      <c r="D261" s="1722">
        <v>0</v>
      </c>
      <c r="E261" s="1723">
        <v>0</v>
      </c>
    </row>
    <row r="262" spans="1:5" x14ac:dyDescent="0.25">
      <c r="A262" s="1719" t="s">
        <v>439</v>
      </c>
      <c r="B262" s="1738">
        <v>613</v>
      </c>
      <c r="C262" s="1721" t="s">
        <v>147</v>
      </c>
      <c r="D262" s="1722">
        <v>0</v>
      </c>
      <c r="E262" s="1723">
        <v>0</v>
      </c>
    </row>
    <row r="263" spans="1:5" x14ac:dyDescent="0.25">
      <c r="A263" s="1719" t="s">
        <v>440</v>
      </c>
      <c r="B263" s="1738">
        <v>614</v>
      </c>
      <c r="C263" s="1721" t="s">
        <v>150</v>
      </c>
      <c r="D263" s="1722">
        <v>0</v>
      </c>
      <c r="E263" s="1723">
        <v>0</v>
      </c>
    </row>
    <row r="264" spans="1:5" x14ac:dyDescent="0.25">
      <c r="A264" s="1724" t="s">
        <v>441</v>
      </c>
      <c r="B264" s="1739" t="s">
        <v>442</v>
      </c>
      <c r="C264" s="1726" t="s">
        <v>153</v>
      </c>
      <c r="D264" s="1727">
        <f>SUM(D265:D268)</f>
        <v>0</v>
      </c>
      <c r="E264" s="1728">
        <f>SUM(E265:E268)</f>
        <v>0</v>
      </c>
    </row>
    <row r="265" spans="1:5" x14ac:dyDescent="0.25">
      <c r="A265" s="1719" t="s">
        <v>443</v>
      </c>
      <c r="B265" s="1738">
        <v>621</v>
      </c>
      <c r="C265" s="1721" t="s">
        <v>156</v>
      </c>
      <c r="D265" s="1722">
        <v>0</v>
      </c>
      <c r="E265" s="1723">
        <v>0</v>
      </c>
    </row>
    <row r="266" spans="1:5" x14ac:dyDescent="0.25">
      <c r="A266" s="1719" t="s">
        <v>444</v>
      </c>
      <c r="B266" s="1738">
        <v>622</v>
      </c>
      <c r="C266" s="1721" t="s">
        <v>159</v>
      </c>
      <c r="D266" s="1722">
        <v>0</v>
      </c>
      <c r="E266" s="1723">
        <v>0</v>
      </c>
    </row>
    <row r="267" spans="1:5" x14ac:dyDescent="0.25">
      <c r="A267" s="1719" t="s">
        <v>445</v>
      </c>
      <c r="B267" s="1738">
        <v>623</v>
      </c>
      <c r="C267" s="1721" t="s">
        <v>162</v>
      </c>
      <c r="D267" s="1722">
        <v>0</v>
      </c>
      <c r="E267" s="1723">
        <v>0</v>
      </c>
    </row>
    <row r="268" spans="1:5" x14ac:dyDescent="0.25">
      <c r="A268" s="1719" t="s">
        <v>446</v>
      </c>
      <c r="B268" s="1738">
        <v>624</v>
      </c>
      <c r="C268" s="1721" t="s">
        <v>164</v>
      </c>
      <c r="D268" s="1722">
        <v>0</v>
      </c>
      <c r="E268" s="1723">
        <v>0</v>
      </c>
    </row>
    <row r="269" spans="1:5" x14ac:dyDescent="0.25">
      <c r="A269" s="1724" t="s">
        <v>447</v>
      </c>
      <c r="B269" s="1739" t="s">
        <v>448</v>
      </c>
      <c r="C269" s="1726" t="s">
        <v>167</v>
      </c>
      <c r="D269" s="1727">
        <f>SUM(D270:D276)</f>
        <v>0</v>
      </c>
      <c r="E269" s="1728">
        <f>SUM(E270:E276)</f>
        <v>34.090000000000003</v>
      </c>
    </row>
    <row r="270" spans="1:5" x14ac:dyDescent="0.25">
      <c r="A270" s="1719" t="s">
        <v>449</v>
      </c>
      <c r="B270" s="1738">
        <v>641</v>
      </c>
      <c r="C270" s="1721" t="s">
        <v>170</v>
      </c>
      <c r="D270" s="1722">
        <v>0</v>
      </c>
      <c r="E270" s="1723">
        <v>0</v>
      </c>
    </row>
    <row r="271" spans="1:5" x14ac:dyDescent="0.25">
      <c r="A271" s="1719" t="s">
        <v>450</v>
      </c>
      <c r="B271" s="1738">
        <v>642</v>
      </c>
      <c r="C271" s="1721" t="s">
        <v>172</v>
      </c>
      <c r="D271" s="1722">
        <v>0</v>
      </c>
      <c r="E271" s="1723">
        <v>0</v>
      </c>
    </row>
    <row r="272" spans="1:5" x14ac:dyDescent="0.25">
      <c r="A272" s="1719" t="s">
        <v>451</v>
      </c>
      <c r="B272" s="1738">
        <v>643</v>
      </c>
      <c r="C272" s="1721" t="s">
        <v>175</v>
      </c>
      <c r="D272" s="1722">
        <v>0</v>
      </c>
      <c r="E272" s="1723">
        <v>0</v>
      </c>
    </row>
    <row r="273" spans="1:5" x14ac:dyDescent="0.25">
      <c r="A273" s="1719" t="s">
        <v>452</v>
      </c>
      <c r="B273" s="1738">
        <v>644</v>
      </c>
      <c r="C273" s="1721" t="s">
        <v>178</v>
      </c>
      <c r="D273" s="1722">
        <v>0</v>
      </c>
      <c r="E273" s="1723">
        <v>0</v>
      </c>
    </row>
    <row r="274" spans="1:5" x14ac:dyDescent="0.25">
      <c r="A274" s="1719" t="s">
        <v>453</v>
      </c>
      <c r="B274" s="1738">
        <v>645</v>
      </c>
      <c r="C274" s="1721" t="s">
        <v>181</v>
      </c>
      <c r="D274" s="1722">
        <v>0</v>
      </c>
      <c r="E274" s="1723">
        <v>0</v>
      </c>
    </row>
    <row r="275" spans="1:5" x14ac:dyDescent="0.25">
      <c r="A275" s="1719" t="s">
        <v>454</v>
      </c>
      <c r="B275" s="1738">
        <v>648</v>
      </c>
      <c r="C275" s="1721" t="s">
        <v>184</v>
      </c>
      <c r="D275" s="1722">
        <v>0</v>
      </c>
      <c r="E275" s="1723">
        <v>0</v>
      </c>
    </row>
    <row r="276" spans="1:5" x14ac:dyDescent="0.25">
      <c r="A276" s="1719" t="s">
        <v>455</v>
      </c>
      <c r="B276" s="1738">
        <v>649</v>
      </c>
      <c r="C276" s="1721" t="s">
        <v>187</v>
      </c>
      <c r="D276" s="1722">
        <v>0</v>
      </c>
      <c r="E276" s="1723">
        <v>34.090000000000003</v>
      </c>
    </row>
    <row r="277" spans="1:5" ht="25.5" x14ac:dyDescent="0.25">
      <c r="A277" s="1724" t="s">
        <v>700</v>
      </c>
      <c r="B277" s="1739" t="s">
        <v>456</v>
      </c>
      <c r="C277" s="1726" t="s">
        <v>189</v>
      </c>
      <c r="D277" s="1727">
        <f>SUM(D278:D284)</f>
        <v>0</v>
      </c>
      <c r="E277" s="1728">
        <f>SUM(E278:E284)</f>
        <v>0</v>
      </c>
    </row>
    <row r="278" spans="1:5" x14ac:dyDescent="0.25">
      <c r="A278" s="1719" t="s">
        <v>701</v>
      </c>
      <c r="B278" s="1738">
        <v>652</v>
      </c>
      <c r="C278" s="1721" t="s">
        <v>192</v>
      </c>
      <c r="D278" s="1722">
        <v>0</v>
      </c>
      <c r="E278" s="1723">
        <v>0</v>
      </c>
    </row>
    <row r="279" spans="1:5" x14ac:dyDescent="0.25">
      <c r="A279" s="1719" t="s">
        <v>457</v>
      </c>
      <c r="B279" s="1738">
        <v>653</v>
      </c>
      <c r="C279" s="1721" t="s">
        <v>194</v>
      </c>
      <c r="D279" s="1722">
        <v>0</v>
      </c>
      <c r="E279" s="1723">
        <v>0</v>
      </c>
    </row>
    <row r="280" spans="1:5" x14ac:dyDescent="0.25">
      <c r="A280" s="1719" t="s">
        <v>458</v>
      </c>
      <c r="B280" s="1738">
        <v>654</v>
      </c>
      <c r="C280" s="1721" t="s">
        <v>196</v>
      </c>
      <c r="D280" s="1722">
        <v>0</v>
      </c>
      <c r="E280" s="1723">
        <v>0</v>
      </c>
    </row>
    <row r="281" spans="1:5" x14ac:dyDescent="0.25">
      <c r="A281" s="1719" t="s">
        <v>459</v>
      </c>
      <c r="B281" s="1738">
        <v>655</v>
      </c>
      <c r="C281" s="1721" t="s">
        <v>199</v>
      </c>
      <c r="D281" s="1722">
        <v>0</v>
      </c>
      <c r="E281" s="1723">
        <v>0</v>
      </c>
    </row>
    <row r="282" spans="1:5" x14ac:dyDescent="0.25">
      <c r="A282" s="1719" t="s">
        <v>460</v>
      </c>
      <c r="B282" s="1738">
        <v>656</v>
      </c>
      <c r="C282" s="1721" t="s">
        <v>202</v>
      </c>
      <c r="D282" s="1722">
        <v>0</v>
      </c>
      <c r="E282" s="1723">
        <v>0</v>
      </c>
    </row>
    <row r="283" spans="1:5" x14ac:dyDescent="0.25">
      <c r="A283" s="1719" t="s">
        <v>461</v>
      </c>
      <c r="B283" s="1738">
        <v>657</v>
      </c>
      <c r="C283" s="1721" t="s">
        <v>205</v>
      </c>
      <c r="D283" s="1722">
        <v>0</v>
      </c>
      <c r="E283" s="1723">
        <v>0</v>
      </c>
    </row>
    <row r="284" spans="1:5" x14ac:dyDescent="0.25">
      <c r="A284" s="1719" t="s">
        <v>462</v>
      </c>
      <c r="B284" s="1738">
        <v>659</v>
      </c>
      <c r="C284" s="1721" t="s">
        <v>208</v>
      </c>
      <c r="D284" s="1722">
        <v>0</v>
      </c>
      <c r="E284" s="1723">
        <v>0</v>
      </c>
    </row>
    <row r="285" spans="1:5" x14ac:dyDescent="0.25">
      <c r="A285" s="1724" t="s">
        <v>463</v>
      </c>
      <c r="B285" s="1739" t="s">
        <v>464</v>
      </c>
      <c r="C285" s="1726" t="s">
        <v>211</v>
      </c>
      <c r="D285" s="1727">
        <f>SUM(D286:D288)</f>
        <v>0</v>
      </c>
      <c r="E285" s="1728">
        <f>SUM(E286:E288)</f>
        <v>0</v>
      </c>
    </row>
    <row r="286" spans="1:5" x14ac:dyDescent="0.25">
      <c r="A286" s="1719" t="s">
        <v>465</v>
      </c>
      <c r="B286" s="1738">
        <v>681</v>
      </c>
      <c r="C286" s="1721" t="s">
        <v>214</v>
      </c>
      <c r="D286" s="1722">
        <v>0</v>
      </c>
      <c r="E286" s="1723">
        <v>0</v>
      </c>
    </row>
    <row r="287" spans="1:5" x14ac:dyDescent="0.25">
      <c r="A287" s="1719" t="s">
        <v>466</v>
      </c>
      <c r="B287" s="1738">
        <v>682</v>
      </c>
      <c r="C287" s="1721" t="s">
        <v>217</v>
      </c>
      <c r="D287" s="1722">
        <v>0</v>
      </c>
      <c r="E287" s="1723">
        <v>0</v>
      </c>
    </row>
    <row r="288" spans="1:5" x14ac:dyDescent="0.25">
      <c r="A288" s="1719" t="s">
        <v>467</v>
      </c>
      <c r="B288" s="1738">
        <v>684</v>
      </c>
      <c r="C288" s="1721" t="s">
        <v>220</v>
      </c>
      <c r="D288" s="1722">
        <v>0</v>
      </c>
      <c r="E288" s="1723">
        <v>0</v>
      </c>
    </row>
    <row r="289" spans="1:5" x14ac:dyDescent="0.25">
      <c r="A289" s="1724" t="s">
        <v>468</v>
      </c>
      <c r="B289" s="1739" t="s">
        <v>469</v>
      </c>
      <c r="C289" s="1726" t="s">
        <v>223</v>
      </c>
      <c r="D289" s="1727">
        <f>D290</f>
        <v>0</v>
      </c>
      <c r="E289" s="1728">
        <f>E290</f>
        <v>0</v>
      </c>
    </row>
    <row r="290" spans="1:5" x14ac:dyDescent="0.25">
      <c r="A290" s="1719" t="s">
        <v>470</v>
      </c>
      <c r="B290" s="1738">
        <v>691</v>
      </c>
      <c r="C290" s="1721" t="s">
        <v>226</v>
      </c>
      <c r="D290" s="1722">
        <v>0</v>
      </c>
      <c r="E290" s="1723">
        <v>0</v>
      </c>
    </row>
    <row r="291" spans="1:5" ht="25.5" x14ac:dyDescent="0.25">
      <c r="A291" s="1740" t="s">
        <v>471</v>
      </c>
      <c r="B291" s="1741" t="s">
        <v>660</v>
      </c>
      <c r="C291" s="1742" t="s">
        <v>229</v>
      </c>
      <c r="D291" s="1743">
        <f>D255+D259+D264+D269+D277+D285+D289</f>
        <v>0</v>
      </c>
      <c r="E291" s="1744">
        <f>E255+E259+E264+E269+E277+E285+E289</f>
        <v>4964.41</v>
      </c>
    </row>
    <row r="292" spans="1:5" x14ac:dyDescent="0.25">
      <c r="A292" s="1724" t="s">
        <v>472</v>
      </c>
      <c r="B292" s="1739" t="s">
        <v>473</v>
      </c>
      <c r="C292" s="1726" t="s">
        <v>232</v>
      </c>
      <c r="D292" s="1727">
        <f>D291-D253</f>
        <v>0</v>
      </c>
      <c r="E292" s="1728">
        <f>E291-E253</f>
        <v>241.46000000000004</v>
      </c>
    </row>
    <row r="293" spans="1:5" x14ac:dyDescent="0.25">
      <c r="A293" s="1719" t="s">
        <v>474</v>
      </c>
      <c r="B293" s="1738">
        <v>591</v>
      </c>
      <c r="C293" s="1721" t="s">
        <v>235</v>
      </c>
      <c r="D293" s="1722">
        <v>0</v>
      </c>
      <c r="E293" s="1723">
        <v>0</v>
      </c>
    </row>
    <row r="294" spans="1:5" x14ac:dyDescent="0.25">
      <c r="A294" s="1724" t="s">
        <v>475</v>
      </c>
      <c r="B294" s="1738" t="s">
        <v>476</v>
      </c>
      <c r="C294" s="1721" t="s">
        <v>238</v>
      </c>
      <c r="D294" s="1722">
        <f>D292-D293</f>
        <v>0</v>
      </c>
      <c r="E294" s="1723">
        <f>E292-E293</f>
        <v>241.46000000000004</v>
      </c>
    </row>
    <row r="295" spans="1:5" x14ac:dyDescent="0.25">
      <c r="A295" s="2497"/>
      <c r="B295" s="2498"/>
      <c r="C295" s="2499"/>
      <c r="D295" s="2500" t="s">
        <v>713</v>
      </c>
      <c r="E295" s="2501"/>
    </row>
    <row r="296" spans="1:5" x14ac:dyDescent="0.25">
      <c r="A296" s="1745" t="s">
        <v>477</v>
      </c>
      <c r="B296" s="1746" t="s">
        <v>587</v>
      </c>
      <c r="C296" s="1747" t="s">
        <v>241</v>
      </c>
      <c r="D296" s="2502">
        <f>+D292+E292</f>
        <v>241.46000000000004</v>
      </c>
      <c r="E296" s="2503"/>
    </row>
    <row r="297" spans="1:5" ht="13.5" thickBot="1" x14ac:dyDescent="0.3">
      <c r="A297" s="1729" t="s">
        <v>478</v>
      </c>
      <c r="B297" s="1748" t="s">
        <v>588</v>
      </c>
      <c r="C297" s="1749" t="s">
        <v>244</v>
      </c>
      <c r="D297" s="2504">
        <f>+D294+E294</f>
        <v>241.46000000000004</v>
      </c>
      <c r="E297" s="2505"/>
    </row>
    <row r="298" spans="1:5" x14ac:dyDescent="0.25">
      <c r="A298" s="1750"/>
      <c r="B298" s="1751"/>
      <c r="C298" s="1751"/>
      <c r="D298" s="1752"/>
      <c r="E298" s="1752"/>
    </row>
    <row r="299" spans="1:5" ht="15.75" x14ac:dyDescent="0.25">
      <c r="A299" s="1750"/>
      <c r="B299" s="1128" t="s">
        <v>1325</v>
      </c>
      <c r="C299" s="1129"/>
      <c r="D299" s="1130"/>
      <c r="E299" s="1132"/>
    </row>
    <row r="300" spans="1:5" x14ac:dyDescent="0.25">
      <c r="A300" s="1750"/>
      <c r="B300" s="1131" t="s">
        <v>1327</v>
      </c>
      <c r="C300" s="1131"/>
      <c r="D300" s="1132"/>
      <c r="E300" s="1132"/>
    </row>
    <row r="301" spans="1:5" x14ac:dyDescent="0.25">
      <c r="A301" s="1750"/>
      <c r="B301" s="1131" t="s">
        <v>1328</v>
      </c>
      <c r="C301" s="1131"/>
      <c r="D301" s="1132"/>
      <c r="E301" s="1132"/>
    </row>
    <row r="302" spans="1:5" x14ac:dyDescent="0.25">
      <c r="A302" s="1750"/>
      <c r="B302" s="1751"/>
      <c r="C302" s="1751"/>
      <c r="D302" s="1752"/>
      <c r="E302" s="1752"/>
    </row>
    <row r="303" spans="1:5" ht="15.75" x14ac:dyDescent="0.25">
      <c r="A303" s="2490" t="s">
        <v>1717</v>
      </c>
      <c r="B303" s="2490"/>
      <c r="C303" s="2490"/>
      <c r="D303" s="2490"/>
      <c r="E303" s="2490"/>
    </row>
    <row r="304" spans="1:5" ht="13.5" thickBot="1" x14ac:dyDescent="0.3">
      <c r="A304" s="2491"/>
      <c r="B304" s="2491"/>
      <c r="C304" s="2491"/>
      <c r="D304" s="2491"/>
      <c r="E304" s="2491"/>
    </row>
    <row r="305" spans="1:5" ht="16.5" thickBot="1" x14ac:dyDescent="0.3">
      <c r="A305" s="2492" t="s">
        <v>661</v>
      </c>
      <c r="B305" s="2493"/>
      <c r="C305" s="2493"/>
      <c r="D305" s="2493"/>
      <c r="E305" s="2494"/>
    </row>
    <row r="306" spans="1:5" ht="13.5" thickBot="1" x14ac:dyDescent="0.3">
      <c r="A306" s="1703" t="s">
        <v>608</v>
      </c>
      <c r="B306" s="1704"/>
      <c r="C306" s="1704"/>
      <c r="D306" s="1704"/>
      <c r="E306" s="1705"/>
    </row>
    <row r="307" spans="1:5" ht="39" thickBot="1" x14ac:dyDescent="0.3">
      <c r="A307" s="1706" t="s">
        <v>609</v>
      </c>
      <c r="B307" s="1707" t="s">
        <v>656</v>
      </c>
      <c r="C307" s="1708" t="s">
        <v>662</v>
      </c>
      <c r="D307" s="1709" t="s">
        <v>832</v>
      </c>
      <c r="E307" s="1710" t="s">
        <v>833</v>
      </c>
    </row>
    <row r="308" spans="1:5" x14ac:dyDescent="0.25">
      <c r="A308" s="1711" t="s">
        <v>381</v>
      </c>
      <c r="B308" s="2495"/>
      <c r="C308" s="2496"/>
      <c r="D308" s="1712" t="s">
        <v>586</v>
      </c>
      <c r="E308" s="1713" t="s">
        <v>506</v>
      </c>
    </row>
    <row r="309" spans="1:5" x14ac:dyDescent="0.25">
      <c r="A309" s="1714" t="s">
        <v>382</v>
      </c>
      <c r="B309" s="1715" t="s">
        <v>383</v>
      </c>
      <c r="C309" s="1716" t="s">
        <v>3</v>
      </c>
      <c r="D309" s="1717">
        <f t="shared" ref="D309:E324" si="0">D107-D212</f>
        <v>26414.400000000001</v>
      </c>
      <c r="E309" s="1718">
        <f t="shared" si="0"/>
        <v>2947.02</v>
      </c>
    </row>
    <row r="310" spans="1:5" x14ac:dyDescent="0.25">
      <c r="A310" s="1719" t="s">
        <v>384</v>
      </c>
      <c r="B310" s="1720">
        <v>501</v>
      </c>
      <c r="C310" s="1721" t="s">
        <v>6</v>
      </c>
      <c r="D310" s="1753">
        <f t="shared" si="0"/>
        <v>16520.25</v>
      </c>
      <c r="E310" s="1754">
        <f t="shared" si="0"/>
        <v>2941.2999999999997</v>
      </c>
    </row>
    <row r="311" spans="1:5" x14ac:dyDescent="0.25">
      <c r="A311" s="1719" t="s">
        <v>385</v>
      </c>
      <c r="B311" s="1720">
        <v>502</v>
      </c>
      <c r="C311" s="1721" t="s">
        <v>9</v>
      </c>
      <c r="D311" s="1753">
        <f t="shared" si="0"/>
        <v>9567.57</v>
      </c>
      <c r="E311" s="1754">
        <f t="shared" si="0"/>
        <v>0</v>
      </c>
    </row>
    <row r="312" spans="1:5" x14ac:dyDescent="0.25">
      <c r="A312" s="1719" t="s">
        <v>386</v>
      </c>
      <c r="B312" s="1720">
        <v>503</v>
      </c>
      <c r="C312" s="1721" t="s">
        <v>12</v>
      </c>
      <c r="D312" s="1753">
        <f t="shared" si="0"/>
        <v>326.58</v>
      </c>
      <c r="E312" s="1754">
        <f t="shared" si="0"/>
        <v>0.33</v>
      </c>
    </row>
    <row r="313" spans="1:5" x14ac:dyDescent="0.25">
      <c r="A313" s="1719" t="s">
        <v>387</v>
      </c>
      <c r="B313" s="1720">
        <v>504</v>
      </c>
      <c r="C313" s="1721" t="s">
        <v>15</v>
      </c>
      <c r="D313" s="1753">
        <f t="shared" si="0"/>
        <v>0</v>
      </c>
      <c r="E313" s="1754">
        <f t="shared" si="0"/>
        <v>5.39</v>
      </c>
    </row>
    <row r="314" spans="1:5" x14ac:dyDescent="0.25">
      <c r="A314" s="1724" t="s">
        <v>388</v>
      </c>
      <c r="B314" s="1725" t="s">
        <v>389</v>
      </c>
      <c r="C314" s="1726" t="s">
        <v>18</v>
      </c>
      <c r="D314" s="1717">
        <f t="shared" si="0"/>
        <v>75571.03</v>
      </c>
      <c r="E314" s="1718">
        <f t="shared" si="0"/>
        <v>16002.849999999999</v>
      </c>
    </row>
    <row r="315" spans="1:5" x14ac:dyDescent="0.25">
      <c r="A315" s="1719" t="s">
        <v>390</v>
      </c>
      <c r="B315" s="1720">
        <v>511</v>
      </c>
      <c r="C315" s="1721" t="s">
        <v>21</v>
      </c>
      <c r="D315" s="1753">
        <f t="shared" si="0"/>
        <v>7435.29</v>
      </c>
      <c r="E315" s="1754">
        <f t="shared" si="0"/>
        <v>1426.06</v>
      </c>
    </row>
    <row r="316" spans="1:5" x14ac:dyDescent="0.25">
      <c r="A316" s="1719" t="s">
        <v>391</v>
      </c>
      <c r="B316" s="1720">
        <v>512</v>
      </c>
      <c r="C316" s="1721" t="s">
        <v>24</v>
      </c>
      <c r="D316" s="1753">
        <f t="shared" si="0"/>
        <v>5999.65</v>
      </c>
      <c r="E316" s="1754">
        <f t="shared" si="0"/>
        <v>478.76</v>
      </c>
    </row>
    <row r="317" spans="1:5" x14ac:dyDescent="0.25">
      <c r="A317" s="1719" t="s">
        <v>392</v>
      </c>
      <c r="B317" s="1720">
        <v>513</v>
      </c>
      <c r="C317" s="1721" t="s">
        <v>27</v>
      </c>
      <c r="D317" s="1753">
        <f t="shared" si="0"/>
        <v>1500.19</v>
      </c>
      <c r="E317" s="1754">
        <f t="shared" si="0"/>
        <v>281.24</v>
      </c>
    </row>
    <row r="318" spans="1:5" x14ac:dyDescent="0.25">
      <c r="A318" s="1719" t="s">
        <v>393</v>
      </c>
      <c r="B318" s="1720">
        <v>518</v>
      </c>
      <c r="C318" s="1721" t="s">
        <v>30</v>
      </c>
      <c r="D318" s="1753">
        <f t="shared" si="0"/>
        <v>60635.9</v>
      </c>
      <c r="E318" s="1754">
        <f t="shared" si="0"/>
        <v>13816.789999999999</v>
      </c>
    </row>
    <row r="319" spans="1:5" x14ac:dyDescent="0.25">
      <c r="A319" s="1724" t="s">
        <v>394</v>
      </c>
      <c r="B319" s="1725" t="s">
        <v>395</v>
      </c>
      <c r="C319" s="1726" t="s">
        <v>33</v>
      </c>
      <c r="D319" s="1717">
        <f t="shared" si="0"/>
        <v>242224.96</v>
      </c>
      <c r="E319" s="1718">
        <f t="shared" si="0"/>
        <v>18062.03</v>
      </c>
    </row>
    <row r="320" spans="1:5" x14ac:dyDescent="0.25">
      <c r="A320" s="1719" t="s">
        <v>396</v>
      </c>
      <c r="B320" s="1720">
        <v>521</v>
      </c>
      <c r="C320" s="1721" t="s">
        <v>36</v>
      </c>
      <c r="D320" s="1753">
        <f t="shared" si="0"/>
        <v>184465.94</v>
      </c>
      <c r="E320" s="1754">
        <f t="shared" si="0"/>
        <v>13864.609999999999</v>
      </c>
    </row>
    <row r="321" spans="1:5" x14ac:dyDescent="0.25">
      <c r="A321" s="1719" t="s">
        <v>397</v>
      </c>
      <c r="B321" s="1720">
        <v>524</v>
      </c>
      <c r="C321" s="1721" t="s">
        <v>39</v>
      </c>
      <c r="D321" s="1753">
        <f t="shared" si="0"/>
        <v>57759.02</v>
      </c>
      <c r="E321" s="1754">
        <f t="shared" si="0"/>
        <v>4197.42</v>
      </c>
    </row>
    <row r="322" spans="1:5" x14ac:dyDescent="0.25">
      <c r="A322" s="1719" t="s">
        <v>398</v>
      </c>
      <c r="B322" s="1720">
        <v>525</v>
      </c>
      <c r="C322" s="1721" t="s">
        <v>42</v>
      </c>
      <c r="D322" s="1753">
        <f t="shared" si="0"/>
        <v>0</v>
      </c>
      <c r="E322" s="1754">
        <f t="shared" si="0"/>
        <v>0</v>
      </c>
    </row>
    <row r="323" spans="1:5" x14ac:dyDescent="0.25">
      <c r="A323" s="1719" t="s">
        <v>399</v>
      </c>
      <c r="B323" s="1720">
        <v>527</v>
      </c>
      <c r="C323" s="1721" t="s">
        <v>45</v>
      </c>
      <c r="D323" s="1753">
        <f t="shared" si="0"/>
        <v>0</v>
      </c>
      <c r="E323" s="1754">
        <f t="shared" si="0"/>
        <v>0</v>
      </c>
    </row>
    <row r="324" spans="1:5" x14ac:dyDescent="0.25">
      <c r="A324" s="1719" t="s">
        <v>400</v>
      </c>
      <c r="B324" s="1720">
        <v>528</v>
      </c>
      <c r="C324" s="1721" t="s">
        <v>48</v>
      </c>
      <c r="D324" s="1753">
        <f t="shared" si="0"/>
        <v>0</v>
      </c>
      <c r="E324" s="1754">
        <f t="shared" si="0"/>
        <v>0</v>
      </c>
    </row>
    <row r="325" spans="1:5" x14ac:dyDescent="0.25">
      <c r="A325" s="1724" t="s">
        <v>401</v>
      </c>
      <c r="B325" s="1725" t="s">
        <v>402</v>
      </c>
      <c r="C325" s="1726" t="s">
        <v>51</v>
      </c>
      <c r="D325" s="1717">
        <f t="shared" ref="D325:E340" si="1">D123-D228</f>
        <v>441.98</v>
      </c>
      <c r="E325" s="1718">
        <f t="shared" si="1"/>
        <v>48.07</v>
      </c>
    </row>
    <row r="326" spans="1:5" x14ac:dyDescent="0.25">
      <c r="A326" s="1719" t="s">
        <v>403</v>
      </c>
      <c r="B326" s="1720">
        <v>531</v>
      </c>
      <c r="C326" s="1721" t="s">
        <v>54</v>
      </c>
      <c r="D326" s="1753">
        <f t="shared" si="1"/>
        <v>31.38</v>
      </c>
      <c r="E326" s="1754">
        <f t="shared" si="1"/>
        <v>0</v>
      </c>
    </row>
    <row r="327" spans="1:5" x14ac:dyDescent="0.25">
      <c r="A327" s="1719" t="s">
        <v>404</v>
      </c>
      <c r="B327" s="1720">
        <v>532</v>
      </c>
      <c r="C327" s="1721" t="s">
        <v>57</v>
      </c>
      <c r="D327" s="1753">
        <f t="shared" si="1"/>
        <v>19.09</v>
      </c>
      <c r="E327" s="1754">
        <f t="shared" si="1"/>
        <v>0</v>
      </c>
    </row>
    <row r="328" spans="1:5" x14ac:dyDescent="0.25">
      <c r="A328" s="1719" t="s">
        <v>405</v>
      </c>
      <c r="B328" s="1720">
        <v>538</v>
      </c>
      <c r="C328" s="1721" t="s">
        <v>60</v>
      </c>
      <c r="D328" s="1753">
        <f t="shared" si="1"/>
        <v>391.51</v>
      </c>
      <c r="E328" s="1754">
        <f t="shared" si="1"/>
        <v>48.07</v>
      </c>
    </row>
    <row r="329" spans="1:5" x14ac:dyDescent="0.25">
      <c r="A329" s="1724" t="s">
        <v>406</v>
      </c>
      <c r="B329" s="1725" t="s">
        <v>407</v>
      </c>
      <c r="C329" s="1726" t="s">
        <v>63</v>
      </c>
      <c r="D329" s="1717">
        <f t="shared" si="1"/>
        <v>31225.25</v>
      </c>
      <c r="E329" s="1718">
        <f t="shared" si="1"/>
        <v>3693.97</v>
      </c>
    </row>
    <row r="330" spans="1:5" x14ac:dyDescent="0.25">
      <c r="A330" s="1719" t="s">
        <v>408</v>
      </c>
      <c r="B330" s="1720">
        <v>541</v>
      </c>
      <c r="C330" s="1721" t="s">
        <v>66</v>
      </c>
      <c r="D330" s="1753">
        <f t="shared" si="1"/>
        <v>0</v>
      </c>
      <c r="E330" s="1754">
        <f t="shared" si="1"/>
        <v>0</v>
      </c>
    </row>
    <row r="331" spans="1:5" x14ac:dyDescent="0.25">
      <c r="A331" s="1719" t="s">
        <v>409</v>
      </c>
      <c r="B331" s="1720">
        <v>542</v>
      </c>
      <c r="C331" s="1721" t="s">
        <v>69</v>
      </c>
      <c r="D331" s="1753">
        <f t="shared" si="1"/>
        <v>85.01</v>
      </c>
      <c r="E331" s="1754">
        <f t="shared" si="1"/>
        <v>1.05</v>
      </c>
    </row>
    <row r="332" spans="1:5" x14ac:dyDescent="0.25">
      <c r="A332" s="1719" t="s">
        <v>410</v>
      </c>
      <c r="B332" s="1720">
        <v>543</v>
      </c>
      <c r="C332" s="1721" t="s">
        <v>72</v>
      </c>
      <c r="D332" s="1753">
        <f t="shared" si="1"/>
        <v>0</v>
      </c>
      <c r="E332" s="1754">
        <f t="shared" si="1"/>
        <v>0</v>
      </c>
    </row>
    <row r="333" spans="1:5" x14ac:dyDescent="0.25">
      <c r="A333" s="1719" t="s">
        <v>411</v>
      </c>
      <c r="B333" s="1720">
        <v>544</v>
      </c>
      <c r="C333" s="1721" t="s">
        <v>75</v>
      </c>
      <c r="D333" s="1753">
        <f t="shared" si="1"/>
        <v>0</v>
      </c>
      <c r="E333" s="1754">
        <f t="shared" si="1"/>
        <v>0</v>
      </c>
    </row>
    <row r="334" spans="1:5" x14ac:dyDescent="0.25">
      <c r="A334" s="1719" t="s">
        <v>412</v>
      </c>
      <c r="B334" s="1720">
        <v>545</v>
      </c>
      <c r="C334" s="1721" t="s">
        <v>78</v>
      </c>
      <c r="D334" s="1753">
        <f t="shared" si="1"/>
        <v>489.65</v>
      </c>
      <c r="E334" s="1754">
        <f t="shared" si="1"/>
        <v>208.92</v>
      </c>
    </row>
    <row r="335" spans="1:5" x14ac:dyDescent="0.25">
      <c r="A335" s="1719" t="s">
        <v>413</v>
      </c>
      <c r="B335" s="1720">
        <v>546</v>
      </c>
      <c r="C335" s="1721" t="s">
        <v>81</v>
      </c>
      <c r="D335" s="1753">
        <f t="shared" si="1"/>
        <v>0</v>
      </c>
      <c r="E335" s="1754">
        <f t="shared" si="1"/>
        <v>0</v>
      </c>
    </row>
    <row r="336" spans="1:5" x14ac:dyDescent="0.25">
      <c r="A336" s="1719" t="s">
        <v>414</v>
      </c>
      <c r="B336" s="1720">
        <v>548</v>
      </c>
      <c r="C336" s="1721" t="s">
        <v>83</v>
      </c>
      <c r="D336" s="1753">
        <f t="shared" si="1"/>
        <v>55.25</v>
      </c>
      <c r="E336" s="1754">
        <f t="shared" si="1"/>
        <v>0</v>
      </c>
    </row>
    <row r="337" spans="1:5" x14ac:dyDescent="0.25">
      <c r="A337" s="1719" t="s">
        <v>415</v>
      </c>
      <c r="B337" s="1720">
        <v>549</v>
      </c>
      <c r="C337" s="1721" t="s">
        <v>86</v>
      </c>
      <c r="D337" s="1753">
        <f t="shared" si="1"/>
        <v>30595.34</v>
      </c>
      <c r="E337" s="1754">
        <f t="shared" si="1"/>
        <v>3484</v>
      </c>
    </row>
    <row r="338" spans="1:5" x14ac:dyDescent="0.25">
      <c r="A338" s="1724" t="s">
        <v>696</v>
      </c>
      <c r="B338" s="1725" t="s">
        <v>416</v>
      </c>
      <c r="C338" s="1726" t="s">
        <v>89</v>
      </c>
      <c r="D338" s="1717">
        <f t="shared" si="1"/>
        <v>21692.1</v>
      </c>
      <c r="E338" s="1718">
        <f t="shared" si="1"/>
        <v>0</v>
      </c>
    </row>
    <row r="339" spans="1:5" x14ac:dyDescent="0.25">
      <c r="A339" s="1719" t="s">
        <v>697</v>
      </c>
      <c r="B339" s="1720">
        <v>551</v>
      </c>
      <c r="C339" s="1721" t="s">
        <v>92</v>
      </c>
      <c r="D339" s="1753">
        <f t="shared" si="1"/>
        <v>21692.1</v>
      </c>
      <c r="E339" s="1754">
        <f t="shared" si="1"/>
        <v>0</v>
      </c>
    </row>
    <row r="340" spans="1:5" ht="25.5" x14ac:dyDescent="0.25">
      <c r="A340" s="1719" t="s">
        <v>698</v>
      </c>
      <c r="B340" s="1720">
        <v>552</v>
      </c>
      <c r="C340" s="1721" t="s">
        <v>95</v>
      </c>
      <c r="D340" s="1753">
        <f t="shared" si="1"/>
        <v>0</v>
      </c>
      <c r="E340" s="1754">
        <f t="shared" si="1"/>
        <v>0</v>
      </c>
    </row>
    <row r="341" spans="1:5" x14ac:dyDescent="0.25">
      <c r="A341" s="1719" t="s">
        <v>417</v>
      </c>
      <c r="B341" s="1720">
        <v>553</v>
      </c>
      <c r="C341" s="1721" t="s">
        <v>98</v>
      </c>
      <c r="D341" s="1753">
        <f t="shared" ref="D341:E356" si="2">D139-D244</f>
        <v>0</v>
      </c>
      <c r="E341" s="1754">
        <f t="shared" si="2"/>
        <v>0</v>
      </c>
    </row>
    <row r="342" spans="1:5" x14ac:dyDescent="0.25">
      <c r="A342" s="1719" t="s">
        <v>418</v>
      </c>
      <c r="B342" s="1720">
        <v>554</v>
      </c>
      <c r="C342" s="1721" t="s">
        <v>101</v>
      </c>
      <c r="D342" s="1753">
        <f t="shared" si="2"/>
        <v>0</v>
      </c>
      <c r="E342" s="1754">
        <f t="shared" si="2"/>
        <v>0</v>
      </c>
    </row>
    <row r="343" spans="1:5" x14ac:dyDescent="0.25">
      <c r="A343" s="1719" t="s">
        <v>419</v>
      </c>
      <c r="B343" s="1720">
        <v>556</v>
      </c>
      <c r="C343" s="1721" t="s">
        <v>104</v>
      </c>
      <c r="D343" s="1753">
        <f t="shared" si="2"/>
        <v>0</v>
      </c>
      <c r="E343" s="1754">
        <f t="shared" si="2"/>
        <v>0</v>
      </c>
    </row>
    <row r="344" spans="1:5" x14ac:dyDescent="0.25">
      <c r="A344" s="1719" t="s">
        <v>420</v>
      </c>
      <c r="B344" s="1720">
        <v>559</v>
      </c>
      <c r="C344" s="1721" t="s">
        <v>107</v>
      </c>
      <c r="D344" s="1753">
        <f t="shared" si="2"/>
        <v>0</v>
      </c>
      <c r="E344" s="1754">
        <f t="shared" si="2"/>
        <v>0</v>
      </c>
    </row>
    <row r="345" spans="1:5" x14ac:dyDescent="0.25">
      <c r="A345" s="1724" t="s">
        <v>421</v>
      </c>
      <c r="B345" s="1725" t="s">
        <v>422</v>
      </c>
      <c r="C345" s="1726" t="s">
        <v>110</v>
      </c>
      <c r="D345" s="1717">
        <f t="shared" si="2"/>
        <v>0</v>
      </c>
      <c r="E345" s="1718">
        <f t="shared" si="2"/>
        <v>0</v>
      </c>
    </row>
    <row r="346" spans="1:5" x14ac:dyDescent="0.25">
      <c r="A346" s="1719" t="s">
        <v>699</v>
      </c>
      <c r="B346" s="1720">
        <v>581</v>
      </c>
      <c r="C346" s="1721" t="s">
        <v>113</v>
      </c>
      <c r="D346" s="1753">
        <f t="shared" si="2"/>
        <v>0</v>
      </c>
      <c r="E346" s="1754">
        <f t="shared" si="2"/>
        <v>0</v>
      </c>
    </row>
    <row r="347" spans="1:5" x14ac:dyDescent="0.25">
      <c r="A347" s="1719" t="s">
        <v>423</v>
      </c>
      <c r="B347" s="1720">
        <v>582</v>
      </c>
      <c r="C347" s="1721" t="s">
        <v>115</v>
      </c>
      <c r="D347" s="1753">
        <f t="shared" si="2"/>
        <v>0</v>
      </c>
      <c r="E347" s="1754">
        <f t="shared" si="2"/>
        <v>0</v>
      </c>
    </row>
    <row r="348" spans="1:5" x14ac:dyDescent="0.25">
      <c r="A348" s="1724" t="s">
        <v>424</v>
      </c>
      <c r="B348" s="1725" t="s">
        <v>425</v>
      </c>
      <c r="C348" s="1726" t="s">
        <v>117</v>
      </c>
      <c r="D348" s="1753">
        <f t="shared" si="2"/>
        <v>0</v>
      </c>
      <c r="E348" s="1754">
        <f t="shared" si="2"/>
        <v>0</v>
      </c>
    </row>
    <row r="349" spans="1:5" x14ac:dyDescent="0.25">
      <c r="A349" s="1719" t="s">
        <v>426</v>
      </c>
      <c r="B349" s="1720">
        <v>595</v>
      </c>
      <c r="C349" s="1721" t="s">
        <v>120</v>
      </c>
      <c r="D349" s="1753">
        <f t="shared" si="2"/>
        <v>0</v>
      </c>
      <c r="E349" s="1754">
        <f t="shared" si="2"/>
        <v>0</v>
      </c>
    </row>
    <row r="350" spans="1:5" ht="26.25" thickBot="1" x14ac:dyDescent="0.3">
      <c r="A350" s="1729" t="s">
        <v>427</v>
      </c>
      <c r="B350" s="1730" t="s">
        <v>428</v>
      </c>
      <c r="C350" s="1731" t="s">
        <v>123</v>
      </c>
      <c r="D350" s="1732">
        <f t="shared" si="2"/>
        <v>397569.72</v>
      </c>
      <c r="E350" s="1733">
        <f t="shared" si="2"/>
        <v>40753.94</v>
      </c>
    </row>
    <row r="351" spans="1:5" ht="13.5" thickBot="1" x14ac:dyDescent="0.3">
      <c r="A351" s="1755" t="s">
        <v>429</v>
      </c>
      <c r="B351" s="1756"/>
      <c r="C351" s="1756"/>
      <c r="D351" s="1757">
        <f t="shared" si="2"/>
        <v>0</v>
      </c>
      <c r="E351" s="1758">
        <f t="shared" si="2"/>
        <v>0</v>
      </c>
    </row>
    <row r="352" spans="1:5" x14ac:dyDescent="0.25">
      <c r="A352" s="1711" t="s">
        <v>430</v>
      </c>
      <c r="B352" s="1759" t="s">
        <v>431</v>
      </c>
      <c r="C352" s="1760" t="s">
        <v>126</v>
      </c>
      <c r="D352" s="1785">
        <f t="shared" si="2"/>
        <v>3058.4900000000002</v>
      </c>
      <c r="E352" s="1786">
        <f t="shared" si="2"/>
        <v>21162.12</v>
      </c>
    </row>
    <row r="353" spans="1:5" x14ac:dyDescent="0.25">
      <c r="A353" s="1719" t="s">
        <v>432</v>
      </c>
      <c r="B353" s="1738">
        <v>601</v>
      </c>
      <c r="C353" s="1721" t="s">
        <v>129</v>
      </c>
      <c r="D353" s="1753">
        <f t="shared" si="2"/>
        <v>54.71</v>
      </c>
      <c r="E353" s="1754">
        <f t="shared" si="2"/>
        <v>988.19</v>
      </c>
    </row>
    <row r="354" spans="1:5" x14ac:dyDescent="0.25">
      <c r="A354" s="1719" t="s">
        <v>433</v>
      </c>
      <c r="B354" s="1738">
        <v>602</v>
      </c>
      <c r="C354" s="1721" t="s">
        <v>132</v>
      </c>
      <c r="D354" s="1753">
        <f t="shared" si="2"/>
        <v>3003.78</v>
      </c>
      <c r="E354" s="1754">
        <f t="shared" si="2"/>
        <v>20159.68</v>
      </c>
    </row>
    <row r="355" spans="1:5" x14ac:dyDescent="0.25">
      <c r="A355" s="1719" t="s">
        <v>434</v>
      </c>
      <c r="B355" s="1738">
        <v>604</v>
      </c>
      <c r="C355" s="1721" t="s">
        <v>135</v>
      </c>
      <c r="D355" s="1753">
        <f t="shared" si="2"/>
        <v>0</v>
      </c>
      <c r="E355" s="1754">
        <f t="shared" si="2"/>
        <v>14.25</v>
      </c>
    </row>
    <row r="356" spans="1:5" x14ac:dyDescent="0.25">
      <c r="A356" s="1724" t="s">
        <v>435</v>
      </c>
      <c r="B356" s="1739" t="s">
        <v>436</v>
      </c>
      <c r="C356" s="1726" t="s">
        <v>138</v>
      </c>
      <c r="D356" s="1717">
        <f t="shared" si="2"/>
        <v>-866.62000000000012</v>
      </c>
      <c r="E356" s="1718">
        <f t="shared" si="2"/>
        <v>0</v>
      </c>
    </row>
    <row r="357" spans="1:5" x14ac:dyDescent="0.25">
      <c r="A357" s="1719" t="s">
        <v>437</v>
      </c>
      <c r="B357" s="1738">
        <v>611</v>
      </c>
      <c r="C357" s="1721" t="s">
        <v>141</v>
      </c>
      <c r="D357" s="1753">
        <f t="shared" ref="D357:E372" si="3">D155-D260</f>
        <v>-276.43</v>
      </c>
      <c r="E357" s="1754">
        <f t="shared" si="3"/>
        <v>0</v>
      </c>
    </row>
    <row r="358" spans="1:5" x14ac:dyDescent="0.25">
      <c r="A358" s="1719" t="s">
        <v>438</v>
      </c>
      <c r="B358" s="1738">
        <v>612</v>
      </c>
      <c r="C358" s="1721" t="s">
        <v>144</v>
      </c>
      <c r="D358" s="1753">
        <f t="shared" si="3"/>
        <v>0</v>
      </c>
      <c r="E358" s="1754">
        <f t="shared" si="3"/>
        <v>0</v>
      </c>
    </row>
    <row r="359" spans="1:5" x14ac:dyDescent="0.25">
      <c r="A359" s="1719" t="s">
        <v>439</v>
      </c>
      <c r="B359" s="1738">
        <v>613</v>
      </c>
      <c r="C359" s="1721" t="s">
        <v>147</v>
      </c>
      <c r="D359" s="1753">
        <f t="shared" si="3"/>
        <v>-590.19000000000005</v>
      </c>
      <c r="E359" s="1754">
        <f t="shared" si="3"/>
        <v>0</v>
      </c>
    </row>
    <row r="360" spans="1:5" x14ac:dyDescent="0.25">
      <c r="A360" s="1719" t="s">
        <v>440</v>
      </c>
      <c r="B360" s="1738">
        <v>614</v>
      </c>
      <c r="C360" s="1721" t="s">
        <v>150</v>
      </c>
      <c r="D360" s="1753">
        <f t="shared" si="3"/>
        <v>0</v>
      </c>
      <c r="E360" s="1754">
        <f t="shared" si="3"/>
        <v>0</v>
      </c>
    </row>
    <row r="361" spans="1:5" x14ac:dyDescent="0.25">
      <c r="A361" s="1724" t="s">
        <v>441</v>
      </c>
      <c r="B361" s="1739" t="s">
        <v>442</v>
      </c>
      <c r="C361" s="1726" t="s">
        <v>153</v>
      </c>
      <c r="D361" s="1753">
        <f t="shared" si="3"/>
        <v>0</v>
      </c>
      <c r="E361" s="1754">
        <f t="shared" si="3"/>
        <v>0</v>
      </c>
    </row>
    <row r="362" spans="1:5" x14ac:dyDescent="0.25">
      <c r="A362" s="1719" t="s">
        <v>443</v>
      </c>
      <c r="B362" s="1738">
        <v>621</v>
      </c>
      <c r="C362" s="1721" t="s">
        <v>156</v>
      </c>
      <c r="D362" s="1753">
        <f t="shared" si="3"/>
        <v>0</v>
      </c>
      <c r="E362" s="1754">
        <f t="shared" si="3"/>
        <v>0</v>
      </c>
    </row>
    <row r="363" spans="1:5" x14ac:dyDescent="0.25">
      <c r="A363" s="1719" t="s">
        <v>444</v>
      </c>
      <c r="B363" s="1738">
        <v>622</v>
      </c>
      <c r="C363" s="1721" t="s">
        <v>159</v>
      </c>
      <c r="D363" s="1753">
        <f t="shared" si="3"/>
        <v>0</v>
      </c>
      <c r="E363" s="1754">
        <f t="shared" si="3"/>
        <v>0</v>
      </c>
    </row>
    <row r="364" spans="1:5" x14ac:dyDescent="0.25">
      <c r="A364" s="1719" t="s">
        <v>445</v>
      </c>
      <c r="B364" s="1738">
        <v>623</v>
      </c>
      <c r="C364" s="1721" t="s">
        <v>162</v>
      </c>
      <c r="D364" s="1753">
        <f t="shared" si="3"/>
        <v>0</v>
      </c>
      <c r="E364" s="1754">
        <f t="shared" si="3"/>
        <v>0</v>
      </c>
    </row>
    <row r="365" spans="1:5" x14ac:dyDescent="0.25">
      <c r="A365" s="1719" t="s">
        <v>446</v>
      </c>
      <c r="B365" s="1738">
        <v>624</v>
      </c>
      <c r="C365" s="1721" t="s">
        <v>164</v>
      </c>
      <c r="D365" s="1753">
        <f t="shared" si="3"/>
        <v>0</v>
      </c>
      <c r="E365" s="1754">
        <f t="shared" si="3"/>
        <v>0</v>
      </c>
    </row>
    <row r="366" spans="1:5" x14ac:dyDescent="0.25">
      <c r="A366" s="1724" t="s">
        <v>447</v>
      </c>
      <c r="B366" s="1739" t="s">
        <v>448</v>
      </c>
      <c r="C366" s="1726" t="s">
        <v>167</v>
      </c>
      <c r="D366" s="1717">
        <f t="shared" si="3"/>
        <v>63220.81</v>
      </c>
      <c r="E366" s="1718">
        <f t="shared" si="3"/>
        <v>37894.370000000003</v>
      </c>
    </row>
    <row r="367" spans="1:5" x14ac:dyDescent="0.25">
      <c r="A367" s="1719" t="s">
        <v>449</v>
      </c>
      <c r="B367" s="1738">
        <v>641</v>
      </c>
      <c r="C367" s="1721" t="s">
        <v>170</v>
      </c>
      <c r="D367" s="1753">
        <f t="shared" si="3"/>
        <v>0</v>
      </c>
      <c r="E367" s="1754">
        <f t="shared" si="3"/>
        <v>6.1</v>
      </c>
    </row>
    <row r="368" spans="1:5" x14ac:dyDescent="0.25">
      <c r="A368" s="1719" t="s">
        <v>450</v>
      </c>
      <c r="B368" s="1738">
        <v>642</v>
      </c>
      <c r="C368" s="1721" t="s">
        <v>172</v>
      </c>
      <c r="D368" s="1753">
        <f t="shared" si="3"/>
        <v>0</v>
      </c>
      <c r="E368" s="1754">
        <f t="shared" si="3"/>
        <v>0</v>
      </c>
    </row>
    <row r="369" spans="1:5" x14ac:dyDescent="0.25">
      <c r="A369" s="1719" t="s">
        <v>451</v>
      </c>
      <c r="B369" s="1738">
        <v>643</v>
      </c>
      <c r="C369" s="1721" t="s">
        <v>175</v>
      </c>
      <c r="D369" s="1753">
        <f t="shared" si="3"/>
        <v>0</v>
      </c>
      <c r="E369" s="1754">
        <f t="shared" si="3"/>
        <v>0</v>
      </c>
    </row>
    <row r="370" spans="1:5" x14ac:dyDescent="0.25">
      <c r="A370" s="1719" t="s">
        <v>452</v>
      </c>
      <c r="B370" s="1738">
        <v>644</v>
      </c>
      <c r="C370" s="1721" t="s">
        <v>178</v>
      </c>
      <c r="D370" s="1753">
        <f t="shared" si="3"/>
        <v>28.93</v>
      </c>
      <c r="E370" s="1754">
        <f t="shared" si="3"/>
        <v>5.9</v>
      </c>
    </row>
    <row r="371" spans="1:5" x14ac:dyDescent="0.25">
      <c r="A371" s="1719" t="s">
        <v>453</v>
      </c>
      <c r="B371" s="1738">
        <v>645</v>
      </c>
      <c r="C371" s="1721" t="s">
        <v>181</v>
      </c>
      <c r="D371" s="1753">
        <f t="shared" si="3"/>
        <v>119.69</v>
      </c>
      <c r="E371" s="1754">
        <f t="shared" si="3"/>
        <v>-1.62</v>
      </c>
    </row>
    <row r="372" spans="1:5" x14ac:dyDescent="0.25">
      <c r="A372" s="1719" t="s">
        <v>454</v>
      </c>
      <c r="B372" s="1738">
        <v>648</v>
      </c>
      <c r="C372" s="1721" t="s">
        <v>184</v>
      </c>
      <c r="D372" s="1753">
        <f t="shared" si="3"/>
        <v>26769.89</v>
      </c>
      <c r="E372" s="1754">
        <f t="shared" si="3"/>
        <v>0</v>
      </c>
    </row>
    <row r="373" spans="1:5" x14ac:dyDescent="0.25">
      <c r="A373" s="1719" t="s">
        <v>455</v>
      </c>
      <c r="B373" s="1738">
        <v>649</v>
      </c>
      <c r="C373" s="1721" t="s">
        <v>187</v>
      </c>
      <c r="D373" s="1753">
        <f t="shared" ref="D373:E388" si="4">D171-D276</f>
        <v>36302.300000000003</v>
      </c>
      <c r="E373" s="1754">
        <f t="shared" si="4"/>
        <v>37883.990000000005</v>
      </c>
    </row>
    <row r="374" spans="1:5" ht="25.5" x14ac:dyDescent="0.25">
      <c r="A374" s="1724" t="s">
        <v>700</v>
      </c>
      <c r="B374" s="1739" t="s">
        <v>456</v>
      </c>
      <c r="C374" s="1726" t="s">
        <v>189</v>
      </c>
      <c r="D374" s="1717">
        <f t="shared" si="4"/>
        <v>10.92</v>
      </c>
      <c r="E374" s="1718">
        <f t="shared" si="4"/>
        <v>0</v>
      </c>
    </row>
    <row r="375" spans="1:5" x14ac:dyDescent="0.25">
      <c r="A375" s="1719" t="s">
        <v>701</v>
      </c>
      <c r="B375" s="1738">
        <v>652</v>
      </c>
      <c r="C375" s="1721" t="s">
        <v>192</v>
      </c>
      <c r="D375" s="1753">
        <f t="shared" si="4"/>
        <v>10.92</v>
      </c>
      <c r="E375" s="1754">
        <f t="shared" si="4"/>
        <v>0</v>
      </c>
    </row>
    <row r="376" spans="1:5" x14ac:dyDescent="0.25">
      <c r="A376" s="1719" t="s">
        <v>457</v>
      </c>
      <c r="B376" s="1738">
        <v>653</v>
      </c>
      <c r="C376" s="1721" t="s">
        <v>194</v>
      </c>
      <c r="D376" s="1753">
        <f t="shared" si="4"/>
        <v>0</v>
      </c>
      <c r="E376" s="1754">
        <f t="shared" si="4"/>
        <v>0</v>
      </c>
    </row>
    <row r="377" spans="1:5" x14ac:dyDescent="0.25">
      <c r="A377" s="1719" t="s">
        <v>458</v>
      </c>
      <c r="B377" s="1738">
        <v>654</v>
      </c>
      <c r="C377" s="1721" t="s">
        <v>196</v>
      </c>
      <c r="D377" s="1753">
        <f t="shared" si="4"/>
        <v>0</v>
      </c>
      <c r="E377" s="1754">
        <f t="shared" si="4"/>
        <v>0</v>
      </c>
    </row>
    <row r="378" spans="1:5" x14ac:dyDescent="0.25">
      <c r="A378" s="1719" t="s">
        <v>459</v>
      </c>
      <c r="B378" s="1738">
        <v>655</v>
      </c>
      <c r="C378" s="1721" t="s">
        <v>199</v>
      </c>
      <c r="D378" s="1753">
        <f t="shared" si="4"/>
        <v>0</v>
      </c>
      <c r="E378" s="1754">
        <f t="shared" si="4"/>
        <v>0</v>
      </c>
    </row>
    <row r="379" spans="1:5" x14ac:dyDescent="0.25">
      <c r="A379" s="1719" t="s">
        <v>460</v>
      </c>
      <c r="B379" s="1738">
        <v>656</v>
      </c>
      <c r="C379" s="1721" t="s">
        <v>202</v>
      </c>
      <c r="D379" s="1753">
        <f t="shared" si="4"/>
        <v>0</v>
      </c>
      <c r="E379" s="1754">
        <f t="shared" si="4"/>
        <v>0</v>
      </c>
    </row>
    <row r="380" spans="1:5" x14ac:dyDescent="0.25">
      <c r="A380" s="1719" t="s">
        <v>461</v>
      </c>
      <c r="B380" s="1738">
        <v>657</v>
      </c>
      <c r="C380" s="1721" t="s">
        <v>205</v>
      </c>
      <c r="D380" s="1753">
        <f t="shared" si="4"/>
        <v>0</v>
      </c>
      <c r="E380" s="1754">
        <f t="shared" si="4"/>
        <v>0</v>
      </c>
    </row>
    <row r="381" spans="1:5" x14ac:dyDescent="0.25">
      <c r="A381" s="1719" t="s">
        <v>462</v>
      </c>
      <c r="B381" s="1738">
        <v>659</v>
      </c>
      <c r="C381" s="1721" t="s">
        <v>208</v>
      </c>
      <c r="D381" s="1753">
        <f t="shared" si="4"/>
        <v>0</v>
      </c>
      <c r="E381" s="1754">
        <f t="shared" si="4"/>
        <v>0</v>
      </c>
    </row>
    <row r="382" spans="1:5" x14ac:dyDescent="0.25">
      <c r="A382" s="1724" t="s">
        <v>463</v>
      </c>
      <c r="B382" s="1739" t="s">
        <v>464</v>
      </c>
      <c r="C382" s="1726" t="s">
        <v>211</v>
      </c>
      <c r="D382" s="1717">
        <f t="shared" si="4"/>
        <v>720.52</v>
      </c>
      <c r="E382" s="1718">
        <f t="shared" si="4"/>
        <v>0</v>
      </c>
    </row>
    <row r="383" spans="1:5" x14ac:dyDescent="0.25">
      <c r="A383" s="1719" t="s">
        <v>465</v>
      </c>
      <c r="B383" s="1738">
        <v>681</v>
      </c>
      <c r="C383" s="1721" t="s">
        <v>214</v>
      </c>
      <c r="D383" s="1753">
        <f t="shared" si="4"/>
        <v>0</v>
      </c>
      <c r="E383" s="1754">
        <f t="shared" si="4"/>
        <v>0</v>
      </c>
    </row>
    <row r="384" spans="1:5" x14ac:dyDescent="0.25">
      <c r="A384" s="1719" t="s">
        <v>466</v>
      </c>
      <c r="B384" s="1738">
        <v>682</v>
      </c>
      <c r="C384" s="1721" t="s">
        <v>217</v>
      </c>
      <c r="D384" s="1753">
        <f t="shared" si="4"/>
        <v>720.52</v>
      </c>
      <c r="E384" s="1754">
        <f t="shared" si="4"/>
        <v>0</v>
      </c>
    </row>
    <row r="385" spans="1:5" x14ac:dyDescent="0.25">
      <c r="A385" s="1719" t="s">
        <v>467</v>
      </c>
      <c r="B385" s="1738">
        <v>684</v>
      </c>
      <c r="C385" s="1721" t="s">
        <v>220</v>
      </c>
      <c r="D385" s="1753">
        <f t="shared" si="4"/>
        <v>0</v>
      </c>
      <c r="E385" s="1754">
        <f t="shared" si="4"/>
        <v>0</v>
      </c>
    </row>
    <row r="386" spans="1:5" x14ac:dyDescent="0.25">
      <c r="A386" s="1724" t="s">
        <v>468</v>
      </c>
      <c r="B386" s="1739" t="s">
        <v>469</v>
      </c>
      <c r="C386" s="1726" t="s">
        <v>223</v>
      </c>
      <c r="D386" s="1753">
        <f t="shared" si="4"/>
        <v>337234.76</v>
      </c>
      <c r="E386" s="1754">
        <f t="shared" si="4"/>
        <v>0</v>
      </c>
    </row>
    <row r="387" spans="1:5" x14ac:dyDescent="0.25">
      <c r="A387" s="1719" t="s">
        <v>470</v>
      </c>
      <c r="B387" s="1738">
        <v>691</v>
      </c>
      <c r="C387" s="1721" t="s">
        <v>226</v>
      </c>
      <c r="D387" s="1753">
        <f t="shared" si="4"/>
        <v>337234.76</v>
      </c>
      <c r="E387" s="1754">
        <f t="shared" si="4"/>
        <v>0</v>
      </c>
    </row>
    <row r="388" spans="1:5" ht="25.5" x14ac:dyDescent="0.25">
      <c r="A388" s="1740" t="s">
        <v>471</v>
      </c>
      <c r="B388" s="1741" t="s">
        <v>660</v>
      </c>
      <c r="C388" s="1742" t="s">
        <v>229</v>
      </c>
      <c r="D388" s="1761">
        <f t="shared" si="4"/>
        <v>403378.88</v>
      </c>
      <c r="E388" s="1762">
        <f t="shared" si="4"/>
        <v>59056.489999999991</v>
      </c>
    </row>
    <row r="389" spans="1:5" x14ac:dyDescent="0.25">
      <c r="A389" s="1724" t="s">
        <v>472</v>
      </c>
      <c r="B389" s="1739" t="s">
        <v>473</v>
      </c>
      <c r="C389" s="1726" t="s">
        <v>232</v>
      </c>
      <c r="D389" s="1753">
        <f t="shared" ref="D389:E391" si="5">D187-D292</f>
        <v>5809.1600000000326</v>
      </c>
      <c r="E389" s="1754">
        <f t="shared" si="5"/>
        <v>18302.549999999996</v>
      </c>
    </row>
    <row r="390" spans="1:5" x14ac:dyDescent="0.25">
      <c r="A390" s="1719" t="s">
        <v>474</v>
      </c>
      <c r="B390" s="1738">
        <v>591</v>
      </c>
      <c r="C390" s="1721" t="s">
        <v>235</v>
      </c>
      <c r="D390" s="1753">
        <f t="shared" si="5"/>
        <v>374.7</v>
      </c>
      <c r="E390" s="1754">
        <f t="shared" si="5"/>
        <v>1196.3499999999999</v>
      </c>
    </row>
    <row r="391" spans="1:5" x14ac:dyDescent="0.25">
      <c r="A391" s="1724" t="s">
        <v>475</v>
      </c>
      <c r="B391" s="1738" t="s">
        <v>476</v>
      </c>
      <c r="C391" s="1721" t="s">
        <v>238</v>
      </c>
      <c r="D391" s="1753">
        <f t="shared" si="5"/>
        <v>5434.4600000000328</v>
      </c>
      <c r="E391" s="1754">
        <f t="shared" si="5"/>
        <v>17106.199999999997</v>
      </c>
    </row>
    <row r="392" spans="1:5" x14ac:dyDescent="0.25">
      <c r="A392" s="2497"/>
      <c r="B392" s="2498"/>
      <c r="C392" s="2499"/>
      <c r="D392" s="2500" t="s">
        <v>713</v>
      </c>
      <c r="E392" s="2501"/>
    </row>
    <row r="393" spans="1:5" x14ac:dyDescent="0.25">
      <c r="A393" s="1745" t="s">
        <v>477</v>
      </c>
      <c r="B393" s="1746" t="s">
        <v>587</v>
      </c>
      <c r="C393" s="1747" t="s">
        <v>241</v>
      </c>
      <c r="D393" s="2502">
        <f>+D389+E389</f>
        <v>24111.710000000028</v>
      </c>
      <c r="E393" s="2503"/>
    </row>
    <row r="394" spans="1:5" ht="13.5" thickBot="1" x14ac:dyDescent="0.3">
      <c r="A394" s="1729" t="s">
        <v>478</v>
      </c>
      <c r="B394" s="1748" t="s">
        <v>588</v>
      </c>
      <c r="C394" s="1749" t="s">
        <v>244</v>
      </c>
      <c r="D394" s="2504">
        <f>+D391+E391</f>
        <v>22540.660000000029</v>
      </c>
      <c r="E394" s="2505"/>
    </row>
    <row r="395" spans="1:5" x14ac:dyDescent="0.25">
      <c r="A395" s="1750"/>
      <c r="B395" s="1751"/>
      <c r="C395" s="1751"/>
      <c r="D395" s="1752"/>
      <c r="E395" s="1752"/>
    </row>
    <row r="396" spans="1:5" ht="15.75" x14ac:dyDescent="0.25">
      <c r="A396" s="1750"/>
      <c r="B396" s="1128" t="s">
        <v>1325</v>
      </c>
      <c r="C396" s="1129"/>
      <c r="D396" s="1130"/>
      <c r="E396" s="1132"/>
    </row>
    <row r="397" spans="1:5" x14ac:dyDescent="0.25">
      <c r="A397" s="1750"/>
      <c r="B397" s="1131" t="s">
        <v>1327</v>
      </c>
      <c r="C397" s="1131"/>
      <c r="D397" s="1132"/>
      <c r="E397" s="1132"/>
    </row>
    <row r="398" spans="1:5" x14ac:dyDescent="0.25">
      <c r="A398" s="1750"/>
      <c r="B398" s="1131" t="s">
        <v>1328</v>
      </c>
      <c r="C398" s="1131"/>
      <c r="D398" s="1132"/>
      <c r="E398" s="1132"/>
    </row>
  </sheetData>
  <customSheetViews>
    <customSheetView guid="{2AF6EA2A-E5C5-45EB-B6C4-875AD1E4E056}">
      <pane ySplit="5" topLeftCell="A6" activePane="bottomLeft" state="frozenSplit"/>
      <selection pane="bottomLeft" sqref="A1:E1"/>
      <rowBreaks count="1" manualBreakCount="1">
        <brk id="48" max="16383" man="1"/>
      </rowBreaks>
      <pageMargins left="0.70866141732283472" right="0" top="0.39370078740157483" bottom="0.39370078740157483" header="0.51181102362204722" footer="0.51181102362204722"/>
      <pageSetup paperSize="9" scale="80" orientation="portrait" r:id="rId1"/>
      <headerFooter alignWithMargins="0"/>
    </customSheetView>
  </customSheetViews>
  <mergeCells count="36">
    <mergeCell ref="B308:C308"/>
    <mergeCell ref="A392:C392"/>
    <mergeCell ref="D392:E392"/>
    <mergeCell ref="D393:E393"/>
    <mergeCell ref="D394:E394"/>
    <mergeCell ref="D296:E296"/>
    <mergeCell ref="D297:E297"/>
    <mergeCell ref="A303:E303"/>
    <mergeCell ref="A304:E304"/>
    <mergeCell ref="A305:E305"/>
    <mergeCell ref="A206:E206"/>
    <mergeCell ref="A207:E207"/>
    <mergeCell ref="A208:E208"/>
    <mergeCell ref="B211:C211"/>
    <mergeCell ref="A295:C295"/>
    <mergeCell ref="D295:E295"/>
    <mergeCell ref="A190:C190"/>
    <mergeCell ref="D190:E190"/>
    <mergeCell ref="D191:E191"/>
    <mergeCell ref="D192:E192"/>
    <mergeCell ref="A195:E196"/>
    <mergeCell ref="A101:E101"/>
    <mergeCell ref="A103:E103"/>
    <mergeCell ref="A104:E104"/>
    <mergeCell ref="B106:C106"/>
    <mergeCell ref="A149:E149"/>
    <mergeCell ref="D92:E92"/>
    <mergeCell ref="A3:E3"/>
    <mergeCell ref="A49:E49"/>
    <mergeCell ref="D90:E90"/>
    <mergeCell ref="A90:C90"/>
    <mergeCell ref="A1:E1"/>
    <mergeCell ref="A2:E2"/>
    <mergeCell ref="B6:C6"/>
    <mergeCell ref="A4:E4"/>
    <mergeCell ref="D91:E91"/>
  </mergeCells>
  <pageMargins left="0.70866141732283472" right="0" top="0.39370078740157483" bottom="0.39370078740157483" header="0.51181102362204722" footer="0.51181102362204722"/>
  <pageSetup paperSize="9" scale="84" orientation="portrait" r:id="rId2"/>
  <headerFooter alignWithMargins="0"/>
  <rowBreaks count="1" manualBreakCount="1">
    <brk id="48" max="16383" man="1"/>
  </rowBreaks>
  <ignoredErrors>
    <ignoredError sqref="C7:C48 C50:C89 C91:C93"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pageSetUpPr fitToPage="1"/>
  </sheetPr>
  <dimension ref="B2:AH175"/>
  <sheetViews>
    <sheetView workbookViewId="0">
      <selection activeCell="I1" sqref="I1"/>
    </sheetView>
  </sheetViews>
  <sheetFormatPr defaultRowHeight="15" x14ac:dyDescent="0.25"/>
  <cols>
    <col min="2" max="2" width="9.28515625" bestFit="1" customWidth="1"/>
    <col min="8" max="8" width="10.7109375" customWidth="1"/>
    <col min="9" max="10" width="9.42578125" bestFit="1" customWidth="1"/>
    <col min="11" max="11" width="9.28515625" bestFit="1" customWidth="1"/>
    <col min="12" max="12" width="9.42578125" bestFit="1" customWidth="1"/>
    <col min="13" max="13" width="9.28515625" bestFit="1" customWidth="1"/>
    <col min="16" max="17" width="11.42578125" customWidth="1"/>
    <col min="18" max="18" width="7" customWidth="1"/>
    <col min="19" max="19" width="26.85546875" bestFit="1" customWidth="1"/>
    <col min="20" max="20" width="6.42578125" customWidth="1"/>
    <col min="21" max="21" width="13.28515625" bestFit="1" customWidth="1"/>
    <col min="22" max="22" width="2" hidden="1" customWidth="1"/>
    <col min="23" max="23" width="0" hidden="1" customWidth="1"/>
    <col min="24" max="24" width="6.42578125" hidden="1" customWidth="1"/>
    <col min="25" max="25" width="0" hidden="1" customWidth="1"/>
    <col min="26" max="26" width="4" hidden="1" customWidth="1"/>
    <col min="27" max="27" width="7" hidden="1" customWidth="1"/>
    <col min="28" max="28" width="12.42578125" hidden="1" customWidth="1"/>
    <col min="29" max="29" width="13.28515625" hidden="1" customWidth="1"/>
    <col min="30" max="30" width="0" hidden="1" customWidth="1"/>
    <col min="31" max="31" width="4.5703125" hidden="1" customWidth="1"/>
    <col min="32" max="38" width="0" hidden="1" customWidth="1"/>
  </cols>
  <sheetData>
    <row r="2" spans="2:14" ht="18.75" x14ac:dyDescent="0.25">
      <c r="B2" s="809" t="s">
        <v>1203</v>
      </c>
    </row>
    <row r="5" spans="2:14" ht="18.75" x14ac:dyDescent="0.25">
      <c r="B5" s="808" t="s">
        <v>1202</v>
      </c>
      <c r="C5" s="808"/>
      <c r="D5" s="808"/>
      <c r="E5" s="808"/>
      <c r="F5" s="139"/>
      <c r="G5" s="139"/>
      <c r="H5" s="139"/>
      <c r="I5" s="139"/>
      <c r="J5" s="139"/>
      <c r="K5" s="139"/>
      <c r="L5" s="139"/>
      <c r="M5" s="139"/>
      <c r="N5" s="139"/>
    </row>
    <row r="6" spans="2:14" x14ac:dyDescent="0.25">
      <c r="B6" s="139"/>
      <c r="C6" s="139"/>
      <c r="D6" s="139"/>
      <c r="E6" s="139"/>
      <c r="F6" s="139"/>
      <c r="G6" s="139"/>
      <c r="H6" s="139"/>
      <c r="I6" s="139"/>
      <c r="J6" s="139"/>
      <c r="K6" s="139"/>
      <c r="L6" s="139"/>
      <c r="M6" s="139"/>
      <c r="N6" s="139"/>
    </row>
    <row r="7" spans="2:14" x14ac:dyDescent="0.25">
      <c r="B7" s="139"/>
      <c r="C7" s="139"/>
      <c r="D7" s="139"/>
      <c r="E7" s="139"/>
      <c r="F7" s="139"/>
      <c r="G7" s="139"/>
      <c r="H7" s="139"/>
      <c r="I7" s="139"/>
      <c r="J7" s="139"/>
      <c r="K7" s="139"/>
      <c r="L7" s="139"/>
      <c r="M7" s="139"/>
      <c r="N7" s="139"/>
    </row>
    <row r="8" spans="2:14" ht="18.75" x14ac:dyDescent="0.3">
      <c r="B8" s="937" t="s">
        <v>1295</v>
      </c>
      <c r="C8" s="937"/>
      <c r="D8" s="139"/>
      <c r="E8" s="139"/>
      <c r="F8" s="139"/>
      <c r="G8" s="139"/>
      <c r="H8" s="139"/>
      <c r="I8" s="139"/>
      <c r="J8" s="139"/>
      <c r="K8" s="139"/>
      <c r="L8" s="139"/>
      <c r="M8" s="139"/>
      <c r="N8" s="139"/>
    </row>
    <row r="9" spans="2:14" ht="15.75" thickBot="1" x14ac:dyDescent="0.3">
      <c r="B9" s="139"/>
      <c r="C9" s="139"/>
      <c r="D9" s="139"/>
      <c r="E9" s="139"/>
      <c r="F9" s="139"/>
      <c r="G9" s="139"/>
      <c r="H9" s="139"/>
      <c r="I9" s="139"/>
      <c r="J9" s="139"/>
      <c r="K9" s="139"/>
      <c r="L9" s="139"/>
      <c r="M9" s="139"/>
      <c r="N9" s="139"/>
    </row>
    <row r="10" spans="2:14" x14ac:dyDescent="0.25">
      <c r="B10" s="2939" t="s">
        <v>479</v>
      </c>
      <c r="C10" s="2942" t="s">
        <v>484</v>
      </c>
      <c r="D10" s="2942"/>
      <c r="E10" s="2942"/>
      <c r="F10" s="2942"/>
      <c r="G10" s="2942"/>
      <c r="H10" s="2942"/>
      <c r="I10" s="2945" t="s">
        <v>1159</v>
      </c>
      <c r="J10" s="2947" t="s">
        <v>486</v>
      </c>
      <c r="K10" s="2948"/>
      <c r="L10" s="938" t="s">
        <v>487</v>
      </c>
      <c r="M10" s="939" t="s">
        <v>485</v>
      </c>
      <c r="N10" s="2949" t="s">
        <v>1296</v>
      </c>
    </row>
    <row r="11" spans="2:14" ht="48" x14ac:dyDescent="0.25">
      <c r="B11" s="2940"/>
      <c r="C11" s="2943"/>
      <c r="D11" s="2943"/>
      <c r="E11" s="2943"/>
      <c r="F11" s="2943"/>
      <c r="G11" s="2943"/>
      <c r="H11" s="2943"/>
      <c r="I11" s="2946"/>
      <c r="J11" s="940" t="s">
        <v>664</v>
      </c>
      <c r="K11" s="941" t="s">
        <v>1165</v>
      </c>
      <c r="L11" s="940" t="s">
        <v>488</v>
      </c>
      <c r="M11" s="942" t="s">
        <v>665</v>
      </c>
      <c r="N11" s="2950"/>
    </row>
    <row r="12" spans="2:14" x14ac:dyDescent="0.25">
      <c r="B12" s="2941"/>
      <c r="C12" s="2952"/>
      <c r="D12" s="2952"/>
      <c r="E12" s="2952"/>
      <c r="F12" s="2952"/>
      <c r="G12" s="2952"/>
      <c r="H12" s="2952"/>
      <c r="I12" s="943" t="s">
        <v>558</v>
      </c>
      <c r="J12" s="944" t="s">
        <v>559</v>
      </c>
      <c r="K12" s="944" t="s">
        <v>560</v>
      </c>
      <c r="L12" s="944" t="s">
        <v>561</v>
      </c>
      <c r="M12" s="945" t="s">
        <v>666</v>
      </c>
      <c r="N12" s="2950"/>
    </row>
    <row r="13" spans="2:14" x14ac:dyDescent="0.25">
      <c r="B13" s="946">
        <v>1</v>
      </c>
      <c r="C13" s="947" t="s">
        <v>667</v>
      </c>
      <c r="D13" s="948"/>
      <c r="E13" s="948"/>
      <c r="F13" s="948"/>
      <c r="G13" s="948"/>
      <c r="H13" s="949"/>
      <c r="I13" s="950">
        <f>SUM(I14:I18)+I21+I22</f>
        <v>59526</v>
      </c>
      <c r="J13" s="951">
        <f>SUM(J14:J18)+J21+J22</f>
        <v>41194</v>
      </c>
      <c r="K13" s="951">
        <f>SUM(K14:K18)+K21+K22</f>
        <v>25506</v>
      </c>
      <c r="L13" s="951">
        <f>SUM(L14:L18)+L21+L22</f>
        <v>25380</v>
      </c>
      <c r="M13" s="950">
        <f>SUM(M14:M18)+M21+M22</f>
        <v>75340</v>
      </c>
      <c r="N13" s="2951"/>
    </row>
    <row r="14" spans="2:14" x14ac:dyDescent="0.25">
      <c r="B14" s="952">
        <f>B13+1</f>
        <v>2</v>
      </c>
      <c r="C14" s="953" t="s">
        <v>481</v>
      </c>
      <c r="D14" s="954" t="s">
        <v>489</v>
      </c>
      <c r="E14" s="955"/>
      <c r="F14" s="955"/>
      <c r="G14" s="955"/>
      <c r="H14" s="956"/>
      <c r="I14" s="957">
        <v>0</v>
      </c>
      <c r="J14" s="958">
        <v>0</v>
      </c>
      <c r="K14" s="958">
        <v>0</v>
      </c>
      <c r="L14" s="958">
        <v>0</v>
      </c>
      <c r="M14" s="959">
        <f t="shared" ref="M14:M22" si="0">I14+J14-L14</f>
        <v>0</v>
      </c>
      <c r="N14" s="960">
        <v>0</v>
      </c>
    </row>
    <row r="15" spans="2:14" x14ac:dyDescent="0.25">
      <c r="B15" s="961">
        <f>B14+1</f>
        <v>3</v>
      </c>
      <c r="C15" s="962"/>
      <c r="D15" s="963" t="s">
        <v>490</v>
      </c>
      <c r="E15" s="964"/>
      <c r="F15" s="964"/>
      <c r="G15" s="964"/>
      <c r="H15" s="965"/>
      <c r="I15" s="966">
        <v>18509</v>
      </c>
      <c r="J15" s="967">
        <f>12753+7921-1</f>
        <v>20673</v>
      </c>
      <c r="K15" s="968">
        <v>12753</v>
      </c>
      <c r="L15" s="967">
        <v>11955</v>
      </c>
      <c r="M15" s="969">
        <f t="shared" si="0"/>
        <v>27227</v>
      </c>
      <c r="N15" s="970">
        <v>13347</v>
      </c>
    </row>
    <row r="16" spans="2:14" x14ac:dyDescent="0.25">
      <c r="B16" s="961">
        <f>B15+1</f>
        <v>4</v>
      </c>
      <c r="C16" s="962"/>
      <c r="D16" s="963" t="s">
        <v>491</v>
      </c>
      <c r="E16" s="964"/>
      <c r="F16" s="964"/>
      <c r="G16" s="964"/>
      <c r="H16" s="965"/>
      <c r="I16" s="966">
        <v>2225</v>
      </c>
      <c r="J16" s="967">
        <f>3057+1597</f>
        <v>4654</v>
      </c>
      <c r="K16" s="971">
        <v>0</v>
      </c>
      <c r="L16" s="967">
        <v>2118</v>
      </c>
      <c r="M16" s="969">
        <f t="shared" si="0"/>
        <v>4761</v>
      </c>
      <c r="N16" s="970">
        <v>0</v>
      </c>
    </row>
    <row r="17" spans="2:14" x14ac:dyDescent="0.25">
      <c r="B17" s="961">
        <f>B16+1</f>
        <v>5</v>
      </c>
      <c r="C17" s="962"/>
      <c r="D17" s="963" t="s">
        <v>492</v>
      </c>
      <c r="E17" s="964"/>
      <c r="F17" s="964"/>
      <c r="G17" s="964"/>
      <c r="H17" s="965"/>
      <c r="I17" s="966">
        <v>9606</v>
      </c>
      <c r="J17" s="967">
        <v>6376</v>
      </c>
      <c r="K17" s="958">
        <v>6376</v>
      </c>
      <c r="L17" s="991">
        <v>2856</v>
      </c>
      <c r="M17" s="969">
        <f t="shared" si="0"/>
        <v>13126</v>
      </c>
      <c r="N17" s="972">
        <v>6673</v>
      </c>
    </row>
    <row r="18" spans="2:14" x14ac:dyDescent="0.25">
      <c r="B18" s="961">
        <f>B17+1</f>
        <v>6</v>
      </c>
      <c r="C18" s="962"/>
      <c r="D18" s="963" t="s">
        <v>493</v>
      </c>
      <c r="E18" s="964"/>
      <c r="F18" s="964"/>
      <c r="G18" s="964"/>
      <c r="H18" s="965"/>
      <c r="I18" s="966">
        <v>1053</v>
      </c>
      <c r="J18" s="967">
        <v>1164</v>
      </c>
      <c r="K18" s="971">
        <v>0</v>
      </c>
      <c r="L18" s="967">
        <v>1053</v>
      </c>
      <c r="M18" s="969">
        <f t="shared" si="0"/>
        <v>1164</v>
      </c>
      <c r="N18" s="972">
        <v>0</v>
      </c>
    </row>
    <row r="19" spans="2:14" x14ac:dyDescent="0.25">
      <c r="B19" s="961" t="s">
        <v>668</v>
      </c>
      <c r="C19" s="962"/>
      <c r="D19" s="963" t="s">
        <v>496</v>
      </c>
      <c r="E19" s="964" t="s">
        <v>497</v>
      </c>
      <c r="F19" s="964"/>
      <c r="G19" s="964"/>
      <c r="H19" s="965"/>
      <c r="I19" s="966">
        <v>1043</v>
      </c>
      <c r="J19" s="967">
        <v>1118</v>
      </c>
      <c r="K19" s="971">
        <v>0</v>
      </c>
      <c r="L19" s="967">
        <v>1043</v>
      </c>
      <c r="M19" s="969">
        <f t="shared" si="0"/>
        <v>1118</v>
      </c>
      <c r="N19" s="972">
        <v>0</v>
      </c>
    </row>
    <row r="20" spans="2:14" x14ac:dyDescent="0.25">
      <c r="B20" s="961" t="s">
        <v>669</v>
      </c>
      <c r="C20" s="962"/>
      <c r="D20" s="963"/>
      <c r="E20" s="964" t="s">
        <v>498</v>
      </c>
      <c r="F20" s="964"/>
      <c r="G20" s="964"/>
      <c r="H20" s="965"/>
      <c r="I20" s="966">
        <v>10</v>
      </c>
      <c r="J20" s="967">
        <v>46</v>
      </c>
      <c r="K20" s="971">
        <v>0</v>
      </c>
      <c r="L20" s="967">
        <v>10</v>
      </c>
      <c r="M20" s="969">
        <f t="shared" si="0"/>
        <v>46</v>
      </c>
      <c r="N20" s="972">
        <v>0</v>
      </c>
    </row>
    <row r="21" spans="2:14" x14ac:dyDescent="0.25">
      <c r="B21" s="973">
        <f>B18+1</f>
        <v>7</v>
      </c>
      <c r="C21" s="974"/>
      <c r="D21" s="975" t="s">
        <v>494</v>
      </c>
      <c r="E21" s="976"/>
      <c r="F21" s="976"/>
      <c r="G21" s="976"/>
      <c r="H21" s="977"/>
      <c r="I21" s="978">
        <f>'[1]11.f'!D11</f>
        <v>0</v>
      </c>
      <c r="J21" s="968">
        <f>'[1]11.f'!D12</f>
        <v>0</v>
      </c>
      <c r="K21" s="979">
        <v>0</v>
      </c>
      <c r="L21" s="968">
        <f>'[1]11.f'!D18</f>
        <v>0</v>
      </c>
      <c r="M21" s="980">
        <f t="shared" si="0"/>
        <v>0</v>
      </c>
      <c r="N21" s="972">
        <v>0</v>
      </c>
    </row>
    <row r="22" spans="2:14" ht="15.75" thickBot="1" x14ac:dyDescent="0.3">
      <c r="B22" s="981">
        <f>B21+1</f>
        <v>8</v>
      </c>
      <c r="C22" s="982"/>
      <c r="D22" s="983" t="s">
        <v>495</v>
      </c>
      <c r="E22" s="984"/>
      <c r="F22" s="984"/>
      <c r="G22" s="984"/>
      <c r="H22" s="985"/>
      <c r="I22" s="986">
        <v>28133</v>
      </c>
      <c r="J22" s="987">
        <f>8326+1</f>
        <v>8327</v>
      </c>
      <c r="K22" s="987">
        <v>6377</v>
      </c>
      <c r="L22" s="987">
        <f>5801+1597</f>
        <v>7398</v>
      </c>
      <c r="M22" s="988">
        <f t="shared" si="0"/>
        <v>29062</v>
      </c>
      <c r="N22" s="989">
        <v>6674</v>
      </c>
    </row>
    <row r="23" spans="2:14" x14ac:dyDescent="0.25">
      <c r="B23" s="139"/>
      <c r="C23" s="139"/>
      <c r="D23" s="139"/>
      <c r="E23" s="139"/>
      <c r="F23" s="139"/>
      <c r="G23" s="139"/>
      <c r="H23" s="139"/>
      <c r="I23" s="139"/>
      <c r="J23" s="139"/>
      <c r="K23" s="139"/>
      <c r="L23" s="139"/>
      <c r="M23" s="139"/>
      <c r="N23" s="139"/>
    </row>
    <row r="24" spans="2:14" s="139" customFormat="1" ht="18.75" x14ac:dyDescent="0.3">
      <c r="B24" s="990" t="s">
        <v>1297</v>
      </c>
    </row>
    <row r="25" spans="2:14" ht="15.75" thickBot="1" x14ac:dyDescent="0.3"/>
    <row r="26" spans="2:14" x14ac:dyDescent="0.25">
      <c r="B26" s="2939" t="s">
        <v>479</v>
      </c>
      <c r="C26" s="2942" t="s">
        <v>484</v>
      </c>
      <c r="D26" s="2942"/>
      <c r="E26" s="2942"/>
      <c r="F26" s="2942"/>
      <c r="G26" s="2942"/>
      <c r="H26" s="2942"/>
      <c r="I26" s="2945" t="s">
        <v>1159</v>
      </c>
      <c r="J26" s="2947" t="s">
        <v>486</v>
      </c>
      <c r="K26" s="2948"/>
      <c r="L26" s="938" t="s">
        <v>487</v>
      </c>
      <c r="M26" s="939" t="s">
        <v>485</v>
      </c>
      <c r="N26" s="2949" t="s">
        <v>1296</v>
      </c>
    </row>
    <row r="27" spans="2:14" ht="48" x14ac:dyDescent="0.25">
      <c r="B27" s="2940"/>
      <c r="C27" s="2943"/>
      <c r="D27" s="2943"/>
      <c r="E27" s="2943"/>
      <c r="F27" s="2943"/>
      <c r="G27" s="2943"/>
      <c r="H27" s="2943"/>
      <c r="I27" s="2946"/>
      <c r="J27" s="940" t="s">
        <v>664</v>
      </c>
      <c r="K27" s="941" t="s">
        <v>1165</v>
      </c>
      <c r="L27" s="940" t="s">
        <v>488</v>
      </c>
      <c r="M27" s="942" t="s">
        <v>665</v>
      </c>
      <c r="N27" s="2950"/>
    </row>
    <row r="28" spans="2:14" x14ac:dyDescent="0.25">
      <c r="B28" s="2941"/>
      <c r="C28" s="2952"/>
      <c r="D28" s="2952"/>
      <c r="E28" s="2952"/>
      <c r="F28" s="2952"/>
      <c r="G28" s="2952"/>
      <c r="H28" s="2952"/>
      <c r="I28" s="943" t="s">
        <v>558</v>
      </c>
      <c r="J28" s="944" t="s">
        <v>559</v>
      </c>
      <c r="K28" s="944" t="s">
        <v>560</v>
      </c>
      <c r="L28" s="944" t="s">
        <v>561</v>
      </c>
      <c r="M28" s="945" t="s">
        <v>666</v>
      </c>
      <c r="N28" s="2950"/>
    </row>
    <row r="29" spans="2:14" x14ac:dyDescent="0.25">
      <c r="B29" s="946">
        <v>1</v>
      </c>
      <c r="C29" s="947" t="s">
        <v>667</v>
      </c>
      <c r="D29" s="948"/>
      <c r="E29" s="948"/>
      <c r="F29" s="948"/>
      <c r="G29" s="948"/>
      <c r="H29" s="949"/>
      <c r="I29" s="950">
        <f>SUM(I30:I34)+I37+I38</f>
        <v>75340</v>
      </c>
      <c r="J29" s="951">
        <f>SUM(J30:J34)+J37+J38</f>
        <v>52096</v>
      </c>
      <c r="K29" s="951">
        <f>SUM(K30:K34)+K37+K38</f>
        <v>26694</v>
      </c>
      <c r="L29" s="951">
        <f>SUM(L30:L34)+L37+L38</f>
        <v>43946</v>
      </c>
      <c r="M29" s="950">
        <f>SUM(M30:M34)+M37+M38</f>
        <v>83490</v>
      </c>
      <c r="N29" s="2951"/>
    </row>
    <row r="30" spans="2:14" x14ac:dyDescent="0.25">
      <c r="B30" s="952">
        <f>B29+1</f>
        <v>2</v>
      </c>
      <c r="C30" s="953" t="s">
        <v>481</v>
      </c>
      <c r="D30" s="954" t="s">
        <v>489</v>
      </c>
      <c r="E30" s="955"/>
      <c r="F30" s="955"/>
      <c r="G30" s="955"/>
      <c r="H30" s="956"/>
      <c r="I30" s="957">
        <v>0</v>
      </c>
      <c r="J30" s="958">
        <v>0</v>
      </c>
      <c r="K30" s="958">
        <v>0</v>
      </c>
      <c r="L30" s="958">
        <v>0</v>
      </c>
      <c r="M30" s="959">
        <f t="shared" ref="M30:M38" si="1">I30+J30-L30</f>
        <v>0</v>
      </c>
      <c r="N30" s="960">
        <v>0</v>
      </c>
    </row>
    <row r="31" spans="2:14" x14ac:dyDescent="0.25">
      <c r="B31" s="961">
        <f>B30+1</f>
        <v>3</v>
      </c>
      <c r="C31" s="962"/>
      <c r="D31" s="963" t="s">
        <v>490</v>
      </c>
      <c r="E31" s="964"/>
      <c r="F31" s="964"/>
      <c r="G31" s="964"/>
      <c r="H31" s="965"/>
      <c r="I31" s="966">
        <v>27227</v>
      </c>
      <c r="J31" s="967">
        <v>22995</v>
      </c>
      <c r="K31" s="968">
        <v>13347</v>
      </c>
      <c r="L31" s="967">
        <v>17177</v>
      </c>
      <c r="M31" s="969">
        <f t="shared" si="1"/>
        <v>33045</v>
      </c>
      <c r="N31" s="970">
        <v>11391</v>
      </c>
    </row>
    <row r="32" spans="2:14" x14ac:dyDescent="0.25">
      <c r="B32" s="961">
        <f>B31+1</f>
        <v>4</v>
      </c>
      <c r="C32" s="962"/>
      <c r="D32" s="963" t="s">
        <v>491</v>
      </c>
      <c r="E32" s="964"/>
      <c r="F32" s="964"/>
      <c r="G32" s="964"/>
      <c r="H32" s="965"/>
      <c r="I32" s="966">
        <v>4761</v>
      </c>
      <c r="J32" s="967">
        <v>2439</v>
      </c>
      <c r="K32" s="971">
        <v>0</v>
      </c>
      <c r="L32" s="967">
        <v>3369</v>
      </c>
      <c r="M32" s="969">
        <f t="shared" si="1"/>
        <v>3831</v>
      </c>
      <c r="N32" s="970">
        <v>0</v>
      </c>
    </row>
    <row r="33" spans="2:19" x14ac:dyDescent="0.25">
      <c r="B33" s="961">
        <f>B32+1</f>
        <v>5</v>
      </c>
      <c r="C33" s="962"/>
      <c r="D33" s="963" t="s">
        <v>492</v>
      </c>
      <c r="E33" s="964"/>
      <c r="F33" s="964"/>
      <c r="G33" s="964"/>
      <c r="H33" s="965"/>
      <c r="I33" s="966">
        <v>13126</v>
      </c>
      <c r="J33" s="967">
        <v>6673</v>
      </c>
      <c r="K33" s="958">
        <v>6673</v>
      </c>
      <c r="L33" s="991">
        <v>9771</v>
      </c>
      <c r="M33" s="969">
        <f t="shared" si="1"/>
        <v>10028</v>
      </c>
      <c r="N33" s="972">
        <v>5696</v>
      </c>
      <c r="P33" t="s">
        <v>486</v>
      </c>
      <c r="Q33" s="139" t="s">
        <v>487</v>
      </c>
    </row>
    <row r="34" spans="2:19" x14ac:dyDescent="0.25">
      <c r="B34" s="961">
        <f>B33+1</f>
        <v>6</v>
      </c>
      <c r="C34" s="962"/>
      <c r="D34" s="963" t="s">
        <v>493</v>
      </c>
      <c r="E34" s="964"/>
      <c r="F34" s="964"/>
      <c r="G34" s="964"/>
      <c r="H34" s="965"/>
      <c r="I34" s="966">
        <v>1164</v>
      </c>
      <c r="J34" s="967">
        <v>1162</v>
      </c>
      <c r="K34" s="971">
        <v>0</v>
      </c>
      <c r="L34" s="967">
        <v>1163</v>
      </c>
      <c r="M34" s="969">
        <f t="shared" si="1"/>
        <v>1163</v>
      </c>
      <c r="N34" s="972">
        <v>0</v>
      </c>
      <c r="P34" t="s">
        <v>1298</v>
      </c>
      <c r="Q34" s="139" t="s">
        <v>1298</v>
      </c>
    </row>
    <row r="35" spans="2:19" x14ac:dyDescent="0.25">
      <c r="B35" s="961" t="s">
        <v>668</v>
      </c>
      <c r="C35" s="962"/>
      <c r="D35" s="963" t="s">
        <v>496</v>
      </c>
      <c r="E35" s="964" t="s">
        <v>497</v>
      </c>
      <c r="F35" s="964"/>
      <c r="G35" s="964"/>
      <c r="H35" s="965"/>
      <c r="I35" s="966">
        <f>1118</f>
        <v>1118</v>
      </c>
      <c r="J35" s="967">
        <v>1160</v>
      </c>
      <c r="K35" s="971">
        <v>0</v>
      </c>
      <c r="L35" s="967">
        <v>1117</v>
      </c>
      <c r="M35" s="969">
        <f t="shared" si="1"/>
        <v>1161</v>
      </c>
      <c r="N35" s="972">
        <v>0</v>
      </c>
      <c r="P35" s="829">
        <v>854710.4</v>
      </c>
      <c r="Q35" s="829">
        <v>175153</v>
      </c>
      <c r="R35" s="829"/>
      <c r="S35" s="829"/>
    </row>
    <row r="36" spans="2:19" x14ac:dyDescent="0.25">
      <c r="B36" s="961" t="s">
        <v>669</v>
      </c>
      <c r="C36" s="962"/>
      <c r="D36" s="963"/>
      <c r="E36" s="964" t="s">
        <v>498</v>
      </c>
      <c r="F36" s="964"/>
      <c r="G36" s="964"/>
      <c r="H36" s="965"/>
      <c r="I36" s="966">
        <v>46</v>
      </c>
      <c r="J36" s="967">
        <v>2</v>
      </c>
      <c r="K36" s="971">
        <v>0</v>
      </c>
      <c r="L36" s="967">
        <f>1163-1117</f>
        <v>46</v>
      </c>
      <c r="M36" s="969">
        <f t="shared" si="1"/>
        <v>2</v>
      </c>
      <c r="N36" s="972">
        <v>0</v>
      </c>
      <c r="P36" s="829">
        <v>164562.85</v>
      </c>
      <c r="Q36" s="829">
        <v>25177</v>
      </c>
      <c r="R36" s="829"/>
      <c r="S36" s="829"/>
    </row>
    <row r="37" spans="2:19" x14ac:dyDescent="0.25">
      <c r="B37" s="973">
        <f>B34+1</f>
        <v>7</v>
      </c>
      <c r="C37" s="974"/>
      <c r="D37" s="975" t="s">
        <v>494</v>
      </c>
      <c r="E37" s="976"/>
      <c r="F37" s="976"/>
      <c r="G37" s="976"/>
      <c r="H37" s="977"/>
      <c r="I37" s="978">
        <v>0</v>
      </c>
      <c r="J37" s="968">
        <v>0</v>
      </c>
      <c r="K37" s="979">
        <v>0</v>
      </c>
      <c r="L37" s="968">
        <v>0</v>
      </c>
      <c r="M37" s="980">
        <f t="shared" si="1"/>
        <v>0</v>
      </c>
      <c r="N37" s="972">
        <v>0</v>
      </c>
      <c r="P37" s="829">
        <v>140339</v>
      </c>
      <c r="Q37" s="829">
        <v>194515</v>
      </c>
      <c r="R37" s="829"/>
      <c r="S37" s="829"/>
    </row>
    <row r="38" spans="2:19" ht="15.75" thickBot="1" x14ac:dyDescent="0.3">
      <c r="B38" s="981">
        <f>B37+1</f>
        <v>8</v>
      </c>
      <c r="C38" s="982"/>
      <c r="D38" s="983" t="s">
        <v>495</v>
      </c>
      <c r="E38" s="984"/>
      <c r="F38" s="984"/>
      <c r="G38" s="984"/>
      <c r="H38" s="985"/>
      <c r="I38" s="986">
        <v>29062</v>
      </c>
      <c r="J38" s="987">
        <v>18827</v>
      </c>
      <c r="K38" s="987">
        <v>6674</v>
      </c>
      <c r="L38" s="987">
        <v>12466</v>
      </c>
      <c r="M38" s="988">
        <f t="shared" si="1"/>
        <v>35423</v>
      </c>
      <c r="N38" s="989">
        <v>5696</v>
      </c>
      <c r="P38" s="829">
        <f>SUM(P35:P37)</f>
        <v>1159612.25</v>
      </c>
      <c r="Q38" s="829">
        <v>39416</v>
      </c>
      <c r="R38" s="829"/>
      <c r="S38" s="829"/>
    </row>
    <row r="39" spans="2:19" x14ac:dyDescent="0.25">
      <c r="B39" s="139"/>
      <c r="C39" s="139"/>
      <c r="D39" s="139"/>
      <c r="E39" s="139"/>
      <c r="F39" s="139"/>
      <c r="G39" s="139"/>
      <c r="H39" s="139"/>
      <c r="I39" s="139"/>
      <c r="J39" s="139"/>
      <c r="K39" s="139"/>
      <c r="L39" s="139"/>
      <c r="M39" s="139"/>
      <c r="N39" s="139"/>
      <c r="Q39" s="829">
        <v>682216</v>
      </c>
    </row>
    <row r="40" spans="2:19" ht="18.75" x14ac:dyDescent="0.3">
      <c r="B40" s="992" t="s">
        <v>1299</v>
      </c>
      <c r="C40" s="994" t="s">
        <v>1302</v>
      </c>
      <c r="D40" s="139"/>
      <c r="E40" s="139"/>
      <c r="F40" s="139"/>
      <c r="G40" s="139"/>
      <c r="H40" s="139"/>
      <c r="I40" s="139"/>
      <c r="J40" s="139"/>
      <c r="K40" s="139"/>
      <c r="L40" s="139"/>
      <c r="M40" s="139"/>
      <c r="N40" s="139"/>
      <c r="Q40" s="829">
        <v>696</v>
      </c>
    </row>
    <row r="41" spans="2:19" ht="15.75" thickBot="1" x14ac:dyDescent="0.3">
      <c r="B41" s="139"/>
      <c r="C41" s="139"/>
      <c r="D41" s="139"/>
      <c r="E41" s="139"/>
      <c r="F41" s="139"/>
      <c r="G41" s="139"/>
      <c r="H41" s="139"/>
      <c r="I41" s="139"/>
      <c r="J41" s="139"/>
      <c r="K41" s="139"/>
      <c r="L41" s="139"/>
      <c r="M41" s="139"/>
      <c r="N41" s="139"/>
      <c r="Q41" s="829">
        <f>SUM(Q35:Q40)</f>
        <v>1117173</v>
      </c>
    </row>
    <row r="42" spans="2:19" x14ac:dyDescent="0.25">
      <c r="B42" s="2953" t="s">
        <v>479</v>
      </c>
      <c r="C42" s="2956" t="s">
        <v>484</v>
      </c>
      <c r="D42" s="2956"/>
      <c r="E42" s="2956"/>
      <c r="F42" s="2956"/>
      <c r="G42" s="2956"/>
      <c r="H42" s="2957"/>
      <c r="I42" s="1023" t="s">
        <v>1300</v>
      </c>
      <c r="J42" s="2935" t="s">
        <v>486</v>
      </c>
      <c r="K42" s="2935"/>
      <c r="L42" s="1024" t="s">
        <v>487</v>
      </c>
      <c r="M42" s="1025" t="s">
        <v>485</v>
      </c>
      <c r="N42" s="139"/>
    </row>
    <row r="43" spans="2:19" ht="38.25" x14ac:dyDescent="0.25">
      <c r="B43" s="2954"/>
      <c r="C43" s="2958"/>
      <c r="D43" s="2958"/>
      <c r="E43" s="2958"/>
      <c r="F43" s="2958"/>
      <c r="G43" s="2958"/>
      <c r="H43" s="2959"/>
      <c r="I43" s="1014" t="s">
        <v>1301</v>
      </c>
      <c r="J43" s="1015" t="s">
        <v>664</v>
      </c>
      <c r="K43" s="1016" t="s">
        <v>1303</v>
      </c>
      <c r="L43" s="1017" t="s">
        <v>488</v>
      </c>
      <c r="M43" s="1018" t="s">
        <v>665</v>
      </c>
      <c r="N43" s="139"/>
      <c r="Q43" s="829">
        <v>1117</v>
      </c>
    </row>
    <row r="44" spans="2:19" ht="15.75" thickBot="1" x14ac:dyDescent="0.3">
      <c r="B44" s="2955"/>
      <c r="C44" s="2960"/>
      <c r="D44" s="2960"/>
      <c r="E44" s="2960"/>
      <c r="F44" s="2960"/>
      <c r="G44" s="2960"/>
      <c r="H44" s="2961"/>
      <c r="I44" s="1019" t="s">
        <v>558</v>
      </c>
      <c r="J44" s="1020" t="s">
        <v>559</v>
      </c>
      <c r="K44" s="1020" t="s">
        <v>560</v>
      </c>
      <c r="L44" s="1021" t="s">
        <v>561</v>
      </c>
      <c r="M44" s="1022" t="s">
        <v>666</v>
      </c>
      <c r="N44" s="139"/>
      <c r="Q44" s="829">
        <v>46</v>
      </c>
    </row>
    <row r="45" spans="2:19" x14ac:dyDescent="0.25">
      <c r="B45" s="995">
        <v>1</v>
      </c>
      <c r="C45" s="996" t="s">
        <v>667</v>
      </c>
      <c r="D45" s="997"/>
      <c r="E45" s="997"/>
      <c r="F45" s="997"/>
      <c r="G45" s="997"/>
      <c r="H45" s="997"/>
      <c r="I45" s="998">
        <f>SUM(I46:I50)+I53+I54</f>
        <v>15814</v>
      </c>
      <c r="J45" s="999">
        <f>SUM(J46:J50)+J53+J54</f>
        <v>10902</v>
      </c>
      <c r="K45" s="999">
        <f>SUM(K46:K50)+K53+K54</f>
        <v>1188</v>
      </c>
      <c r="L45" s="1000">
        <f>SUM(L46:L50)+L53+L54</f>
        <v>18566</v>
      </c>
      <c r="M45" s="1001">
        <f>SUM(M46:M50)+M53+M54</f>
        <v>8150</v>
      </c>
      <c r="N45" s="139"/>
      <c r="Q45" s="829">
        <f>SUM(Q43:Q44)</f>
        <v>1163</v>
      </c>
    </row>
    <row r="46" spans="2:19" x14ac:dyDescent="0.25">
      <c r="B46" s="1002">
        <f>B45+1</f>
        <v>2</v>
      </c>
      <c r="C46" s="1003" t="s">
        <v>481</v>
      </c>
      <c r="D46" s="1004" t="s">
        <v>489</v>
      </c>
      <c r="E46" s="1005"/>
      <c r="F46" s="1005"/>
      <c r="G46" s="1005"/>
      <c r="H46" s="1005"/>
      <c r="I46" s="1006">
        <f>I30-I14</f>
        <v>0</v>
      </c>
      <c r="J46" s="1006">
        <f t="shared" ref="J46:L47" si="2">J30-J14</f>
        <v>0</v>
      </c>
      <c r="K46" s="1006">
        <f t="shared" si="2"/>
        <v>0</v>
      </c>
      <c r="L46" s="1006">
        <f t="shared" si="2"/>
        <v>0</v>
      </c>
      <c r="M46" s="1007">
        <f>I46+J46-L46</f>
        <v>0</v>
      </c>
      <c r="N46" s="139"/>
    </row>
    <row r="47" spans="2:19" x14ac:dyDescent="0.25">
      <c r="B47" s="1002">
        <f>B46+1</f>
        <v>3</v>
      </c>
      <c r="C47" s="1003"/>
      <c r="D47" s="1004" t="s">
        <v>490</v>
      </c>
      <c r="E47" s="1005"/>
      <c r="F47" s="1005"/>
      <c r="G47" s="1005"/>
      <c r="H47" s="1005"/>
      <c r="I47" s="1006">
        <f>I31-I15</f>
        <v>8718</v>
      </c>
      <c r="J47" s="1006">
        <f t="shared" si="2"/>
        <v>2322</v>
      </c>
      <c r="K47" s="1006">
        <f t="shared" si="2"/>
        <v>594</v>
      </c>
      <c r="L47" s="1006">
        <f t="shared" si="2"/>
        <v>5222</v>
      </c>
      <c r="M47" s="1007">
        <f t="shared" ref="M47:M54" si="3">I47+J47-L47</f>
        <v>5818</v>
      </c>
      <c r="N47" s="139"/>
    </row>
    <row r="48" spans="2:19" x14ac:dyDescent="0.25">
      <c r="B48" s="1002">
        <f>B47+1</f>
        <v>4</v>
      </c>
      <c r="C48" s="1003"/>
      <c r="D48" s="1004" t="s">
        <v>491</v>
      </c>
      <c r="E48" s="1005"/>
      <c r="F48" s="1005"/>
      <c r="G48" s="1005"/>
      <c r="H48" s="1005"/>
      <c r="I48" s="1006">
        <f t="shared" ref="I48:L48" si="4">I32-I16</f>
        <v>2536</v>
      </c>
      <c r="J48" s="1027">
        <f t="shared" si="4"/>
        <v>-2215</v>
      </c>
      <c r="K48" s="1006">
        <f t="shared" si="4"/>
        <v>0</v>
      </c>
      <c r="L48" s="1006">
        <f t="shared" si="4"/>
        <v>1251</v>
      </c>
      <c r="M48" s="1028">
        <f t="shared" si="3"/>
        <v>-930</v>
      </c>
      <c r="N48" s="139"/>
    </row>
    <row r="49" spans="2:14" x14ac:dyDescent="0.25">
      <c r="B49" s="1002">
        <f>B48+1</f>
        <v>5</v>
      </c>
      <c r="C49" s="1003"/>
      <c r="D49" s="1004" t="s">
        <v>492</v>
      </c>
      <c r="E49" s="1005"/>
      <c r="F49" s="1005"/>
      <c r="G49" s="1005"/>
      <c r="H49" s="1005"/>
      <c r="I49" s="1006">
        <f t="shared" ref="I49:L49" si="5">I33-I17</f>
        <v>3520</v>
      </c>
      <c r="J49" s="1006">
        <f t="shared" si="5"/>
        <v>297</v>
      </c>
      <c r="K49" s="1006">
        <f t="shared" si="5"/>
        <v>297</v>
      </c>
      <c r="L49" s="1006">
        <f t="shared" si="5"/>
        <v>6915</v>
      </c>
      <c r="M49" s="1028">
        <f t="shared" si="3"/>
        <v>-3098</v>
      </c>
      <c r="N49" s="139"/>
    </row>
    <row r="50" spans="2:14" x14ac:dyDescent="0.25">
      <c r="B50" s="1002">
        <f>B49+1</f>
        <v>6</v>
      </c>
      <c r="C50" s="1003"/>
      <c r="D50" s="1004" t="s">
        <v>493</v>
      </c>
      <c r="E50" s="1005"/>
      <c r="F50" s="1005"/>
      <c r="G50" s="1005"/>
      <c r="H50" s="1005"/>
      <c r="I50" s="1006">
        <f t="shared" ref="I50:L50" si="6">I34-I18</f>
        <v>111</v>
      </c>
      <c r="J50" s="1027">
        <f t="shared" si="6"/>
        <v>-2</v>
      </c>
      <c r="K50" s="1006">
        <f t="shared" si="6"/>
        <v>0</v>
      </c>
      <c r="L50" s="1006">
        <f t="shared" si="6"/>
        <v>110</v>
      </c>
      <c r="M50" s="1028">
        <f t="shared" si="3"/>
        <v>-1</v>
      </c>
      <c r="N50" s="139"/>
    </row>
    <row r="51" spans="2:14" x14ac:dyDescent="0.25">
      <c r="B51" s="1002" t="s">
        <v>668</v>
      </c>
      <c r="C51" s="1003"/>
      <c r="D51" s="1004" t="s">
        <v>496</v>
      </c>
      <c r="E51" s="1005" t="s">
        <v>497</v>
      </c>
      <c r="F51" s="1005"/>
      <c r="G51" s="1005"/>
      <c r="H51" s="1005"/>
      <c r="I51" s="1006">
        <f t="shared" ref="I51:L51" si="7">I35-I19</f>
        <v>75</v>
      </c>
      <c r="J51" s="1006">
        <f t="shared" si="7"/>
        <v>42</v>
      </c>
      <c r="K51" s="1006">
        <f t="shared" si="7"/>
        <v>0</v>
      </c>
      <c r="L51" s="1006">
        <f t="shared" si="7"/>
        <v>74</v>
      </c>
      <c r="M51" s="1007">
        <f t="shared" si="3"/>
        <v>43</v>
      </c>
      <c r="N51" s="139"/>
    </row>
    <row r="52" spans="2:14" x14ac:dyDescent="0.25">
      <c r="B52" s="1002" t="s">
        <v>669</v>
      </c>
      <c r="C52" s="1003"/>
      <c r="D52" s="1004"/>
      <c r="E52" s="1005" t="s">
        <v>498</v>
      </c>
      <c r="F52" s="1005"/>
      <c r="G52" s="1005"/>
      <c r="H52" s="1005"/>
      <c r="I52" s="1006">
        <f t="shared" ref="I52:L52" si="8">I36-I20</f>
        <v>36</v>
      </c>
      <c r="J52" s="1027">
        <f t="shared" si="8"/>
        <v>-44</v>
      </c>
      <c r="K52" s="1006">
        <f t="shared" si="8"/>
        <v>0</v>
      </c>
      <c r="L52" s="1006">
        <f t="shared" si="8"/>
        <v>36</v>
      </c>
      <c r="M52" s="1028">
        <f t="shared" si="3"/>
        <v>-44</v>
      </c>
      <c r="N52" s="139"/>
    </row>
    <row r="53" spans="2:14" x14ac:dyDescent="0.25">
      <c r="B53" s="1002">
        <f>B50+1</f>
        <v>7</v>
      </c>
      <c r="C53" s="1003"/>
      <c r="D53" s="1004" t="s">
        <v>494</v>
      </c>
      <c r="E53" s="1005"/>
      <c r="F53" s="1005"/>
      <c r="G53" s="1005"/>
      <c r="H53" s="1005"/>
      <c r="I53" s="1006">
        <f t="shared" ref="I53:L53" si="9">I37-I21</f>
        <v>0</v>
      </c>
      <c r="J53" s="1006">
        <f t="shared" si="9"/>
        <v>0</v>
      </c>
      <c r="K53" s="1006">
        <f t="shared" si="9"/>
        <v>0</v>
      </c>
      <c r="L53" s="1006">
        <f t="shared" si="9"/>
        <v>0</v>
      </c>
      <c r="M53" s="1007">
        <f t="shared" si="3"/>
        <v>0</v>
      </c>
      <c r="N53" s="139"/>
    </row>
    <row r="54" spans="2:14" ht="15.75" thickBot="1" x14ac:dyDescent="0.3">
      <c r="B54" s="1008">
        <f>B53+1</f>
        <v>8</v>
      </c>
      <c r="C54" s="1009"/>
      <c r="D54" s="1010" t="s">
        <v>495</v>
      </c>
      <c r="E54" s="1011"/>
      <c r="F54" s="1011"/>
      <c r="G54" s="1011"/>
      <c r="H54" s="1011"/>
      <c r="I54" s="1012">
        <f t="shared" ref="I54:L54" si="10">I38-I22</f>
        <v>929</v>
      </c>
      <c r="J54" s="1012">
        <f t="shared" si="10"/>
        <v>10500</v>
      </c>
      <c r="K54" s="1012">
        <f t="shared" si="10"/>
        <v>297</v>
      </c>
      <c r="L54" s="1012">
        <f t="shared" si="10"/>
        <v>5068</v>
      </c>
      <c r="M54" s="1013">
        <f t="shared" si="3"/>
        <v>6361</v>
      </c>
      <c r="N54" s="139"/>
    </row>
    <row r="55" spans="2:14" x14ac:dyDescent="0.25">
      <c r="B55" s="139"/>
      <c r="C55" s="139"/>
      <c r="D55" s="139"/>
      <c r="E55" s="139"/>
      <c r="F55" s="139"/>
      <c r="G55" s="139"/>
      <c r="H55" s="139"/>
      <c r="I55" s="139"/>
      <c r="J55" s="139"/>
      <c r="K55" s="139"/>
      <c r="L55" s="139"/>
      <c r="M55" s="139"/>
      <c r="N55" s="139"/>
    </row>
    <row r="61" spans="2:14" x14ac:dyDescent="0.25">
      <c r="B61" s="139"/>
      <c r="C61" s="139"/>
      <c r="D61" s="139"/>
      <c r="E61" s="139"/>
      <c r="F61" s="139"/>
      <c r="G61" s="139"/>
      <c r="H61" s="139"/>
      <c r="I61" s="139"/>
      <c r="J61" s="139"/>
      <c r="K61" s="139"/>
      <c r="L61" s="139"/>
      <c r="M61" s="139"/>
      <c r="N61" s="139"/>
    </row>
    <row r="62" spans="2:14" ht="18.75" x14ac:dyDescent="0.3">
      <c r="B62" s="993"/>
      <c r="C62" s="139"/>
      <c r="D62" s="139"/>
      <c r="E62" s="139"/>
      <c r="F62" s="139"/>
      <c r="G62" s="139"/>
      <c r="H62" s="139"/>
      <c r="I62" s="139"/>
      <c r="J62" s="139"/>
      <c r="K62" s="139"/>
      <c r="L62" s="139"/>
      <c r="M62" s="139"/>
      <c r="N62" s="139"/>
    </row>
    <row r="63" spans="2:14" x14ac:dyDescent="0.25">
      <c r="B63" s="139"/>
      <c r="C63" s="139"/>
      <c r="D63" s="139"/>
      <c r="E63" s="139"/>
      <c r="F63" s="139"/>
      <c r="G63" s="139"/>
      <c r="H63" s="139"/>
      <c r="I63" s="139"/>
      <c r="J63" s="139"/>
      <c r="K63" s="139"/>
      <c r="L63" s="139"/>
      <c r="M63" s="139"/>
      <c r="N63" s="139"/>
    </row>
    <row r="64" spans="2:14" ht="21" x14ac:dyDescent="0.25">
      <c r="B64" s="910" t="s">
        <v>1278</v>
      </c>
      <c r="C64" s="18"/>
      <c r="D64" s="1518"/>
      <c r="E64" s="1518"/>
      <c r="F64" s="1519"/>
      <c r="G64" s="1518"/>
      <c r="H64" s="1518"/>
      <c r="I64" s="1518"/>
    </row>
    <row r="65" spans="2:34" ht="15.75" x14ac:dyDescent="0.25">
      <c r="B65" s="22" t="s">
        <v>1164</v>
      </c>
      <c r="C65" s="17"/>
      <c r="D65" s="1520"/>
      <c r="E65" s="1520"/>
      <c r="F65" s="1520"/>
      <c r="G65" s="1520"/>
      <c r="H65" s="1520"/>
      <c r="I65" s="1520"/>
    </row>
    <row r="66" spans="2:34" ht="15.75" thickBot="1" x14ac:dyDescent="0.3">
      <c r="B66" s="139"/>
      <c r="C66" s="139"/>
      <c r="D66" s="139"/>
      <c r="E66" s="139"/>
      <c r="F66" s="139"/>
      <c r="G66" s="139"/>
      <c r="H66" s="139"/>
      <c r="I66" s="139"/>
      <c r="J66" s="139"/>
      <c r="K66" s="139"/>
      <c r="L66" s="139"/>
      <c r="M66" s="139"/>
      <c r="N66" s="139"/>
    </row>
    <row r="67" spans="2:34" x14ac:dyDescent="0.25">
      <c r="B67" s="2939" t="s">
        <v>479</v>
      </c>
      <c r="C67" s="2942" t="s">
        <v>484</v>
      </c>
      <c r="D67" s="2942"/>
      <c r="E67" s="2942"/>
      <c r="F67" s="2942"/>
      <c r="G67" s="2942"/>
      <c r="H67" s="2942"/>
      <c r="I67" s="2945" t="s">
        <v>1159</v>
      </c>
      <c r="J67" s="2947" t="s">
        <v>486</v>
      </c>
      <c r="K67" s="2948"/>
      <c r="L67" s="938" t="s">
        <v>487</v>
      </c>
      <c r="M67" s="939" t="s">
        <v>485</v>
      </c>
      <c r="N67" s="2949" t="s">
        <v>1296</v>
      </c>
    </row>
    <row r="68" spans="2:34" ht="48" x14ac:dyDescent="0.25">
      <c r="B68" s="2940"/>
      <c r="C68" s="2943"/>
      <c r="D68" s="2943"/>
      <c r="E68" s="2943"/>
      <c r="F68" s="2943"/>
      <c r="G68" s="2943"/>
      <c r="H68" s="2943"/>
      <c r="I68" s="2946"/>
      <c r="J68" s="940" t="s">
        <v>664</v>
      </c>
      <c r="K68" s="941" t="s">
        <v>1165</v>
      </c>
      <c r="L68" s="940" t="s">
        <v>488</v>
      </c>
      <c r="M68" s="942" t="s">
        <v>665</v>
      </c>
      <c r="N68" s="2950"/>
    </row>
    <row r="69" spans="2:34" x14ac:dyDescent="0.25">
      <c r="B69" s="2941"/>
      <c r="C69" s="2952"/>
      <c r="D69" s="2952"/>
      <c r="E69" s="2952"/>
      <c r="F69" s="2952"/>
      <c r="G69" s="2952"/>
      <c r="H69" s="2952"/>
      <c r="I69" s="943" t="s">
        <v>558</v>
      </c>
      <c r="J69" s="944" t="s">
        <v>559</v>
      </c>
      <c r="K69" s="944" t="s">
        <v>560</v>
      </c>
      <c r="L69" s="944" t="s">
        <v>561</v>
      </c>
      <c r="M69" s="945" t="s">
        <v>666</v>
      </c>
      <c r="N69" s="2950"/>
      <c r="U69" s="1026" t="s">
        <v>1901</v>
      </c>
    </row>
    <row r="70" spans="2:34" x14ac:dyDescent="0.25">
      <c r="B70" s="946">
        <v>1</v>
      </c>
      <c r="C70" s="947" t="s">
        <v>667</v>
      </c>
      <c r="D70" s="948"/>
      <c r="E70" s="948"/>
      <c r="F70" s="948"/>
      <c r="G70" s="948"/>
      <c r="H70" s="949"/>
      <c r="I70" s="950">
        <f>SUM(I71:I75)+I78+I79</f>
        <v>75340</v>
      </c>
      <c r="J70" s="951">
        <f>SUM(J71:J75)+J78+J79</f>
        <v>52097</v>
      </c>
      <c r="K70" s="951">
        <f>SUM(K71:K75)+K78+K79</f>
        <v>26694</v>
      </c>
      <c r="L70" s="951">
        <f>SUM(L71:L75)+L78+L79</f>
        <v>43947</v>
      </c>
      <c r="M70" s="950">
        <f>SUM(M71:M75)+M78+M79</f>
        <v>83490</v>
      </c>
      <c r="N70" s="2951"/>
      <c r="U70" t="s">
        <v>1898</v>
      </c>
    </row>
    <row r="71" spans="2:34" x14ac:dyDescent="0.25">
      <c r="B71" s="952">
        <f>B70+1</f>
        <v>2</v>
      </c>
      <c r="C71" s="953" t="s">
        <v>481</v>
      </c>
      <c r="D71" s="954" t="s">
        <v>489</v>
      </c>
      <c r="E71" s="955"/>
      <c r="F71" s="955"/>
      <c r="G71" s="955"/>
      <c r="H71" s="956"/>
      <c r="I71" s="957">
        <v>0</v>
      </c>
      <c r="J71" s="958">
        <v>0</v>
      </c>
      <c r="K71" s="958">
        <v>0</v>
      </c>
      <c r="L71" s="958">
        <v>0</v>
      </c>
      <c r="M71" s="959">
        <f t="shared" ref="M71:M79" si="11">I71+J71-L71</f>
        <v>0</v>
      </c>
      <c r="N71" s="960">
        <v>0</v>
      </c>
      <c r="P71" s="1553">
        <f t="shared" ref="P71:P77" si="12">P70+1</f>
        <v>1</v>
      </c>
      <c r="Q71" s="1546">
        <v>648</v>
      </c>
      <c r="R71" s="1547">
        <v>6481</v>
      </c>
      <c r="S71" s="1547" t="s">
        <v>1656</v>
      </c>
      <c r="T71" s="1548">
        <f t="shared" ref="T71:V78" si="13">U71/1000</f>
        <v>9771.364599999999</v>
      </c>
      <c r="U71" s="1549">
        <f t="shared" ref="U71:U75" si="14">AB71</f>
        <v>9771364.5999999996</v>
      </c>
      <c r="V71" s="1548">
        <f t="shared" si="13"/>
        <v>0</v>
      </c>
      <c r="W71" s="1557"/>
      <c r="X71" s="1551">
        <f t="shared" ref="X71:X77" si="15">T71+V71</f>
        <v>9771.364599999999</v>
      </c>
      <c r="Y71" s="139"/>
      <c r="Z71" s="1226">
        <v>648</v>
      </c>
      <c r="AA71" s="1226">
        <v>6481</v>
      </c>
      <c r="AB71" s="1642">
        <f t="shared" ref="AB71:AB75" si="16">AC71*-1</f>
        <v>9771364.5999999996</v>
      </c>
      <c r="AC71" s="1639">
        <v>-9771364.5999999996</v>
      </c>
      <c r="AD71" s="1226"/>
      <c r="AE71" s="1639"/>
      <c r="AF71" s="1639"/>
      <c r="AG71" s="1922">
        <f t="shared" ref="AG71:AG78" si="17">T71/403379</f>
        <v>2.4223781109081036E-2</v>
      </c>
      <c r="AH71" s="1922">
        <f t="shared" ref="AH71:AH77" si="18">V71/64021</f>
        <v>0</v>
      </c>
    </row>
    <row r="72" spans="2:34" x14ac:dyDescent="0.25">
      <c r="B72" s="961">
        <f>B71+1</f>
        <v>3</v>
      </c>
      <c r="C72" s="962"/>
      <c r="D72" s="963" t="s">
        <v>490</v>
      </c>
      <c r="E72" s="964"/>
      <c r="F72" s="964"/>
      <c r="G72" s="964"/>
      <c r="H72" s="965"/>
      <c r="I72" s="966">
        <v>27227</v>
      </c>
      <c r="J72" s="967">
        <v>22995</v>
      </c>
      <c r="K72" s="968">
        <v>13347</v>
      </c>
      <c r="L72" s="967">
        <v>17177</v>
      </c>
      <c r="M72" s="969">
        <f t="shared" si="11"/>
        <v>33045</v>
      </c>
      <c r="N72" s="970">
        <v>11391</v>
      </c>
      <c r="P72" s="1553">
        <f t="shared" si="12"/>
        <v>2</v>
      </c>
      <c r="Q72" s="1546">
        <v>648</v>
      </c>
      <c r="R72" s="1547">
        <v>6482</v>
      </c>
      <c r="S72" s="1547" t="s">
        <v>1657</v>
      </c>
      <c r="T72" s="1548">
        <f t="shared" si="13"/>
        <v>3369.0859999999998</v>
      </c>
      <c r="U72" s="1549">
        <f t="shared" si="14"/>
        <v>3369086</v>
      </c>
      <c r="V72" s="1548">
        <f t="shared" si="13"/>
        <v>0</v>
      </c>
      <c r="W72" s="1557"/>
      <c r="X72" s="1551">
        <f t="shared" si="15"/>
        <v>3369.0859999999998</v>
      </c>
      <c r="Y72" s="139"/>
      <c r="Z72" s="1226">
        <v>648</v>
      </c>
      <c r="AA72" s="1226">
        <v>6482</v>
      </c>
      <c r="AB72" s="1642">
        <f t="shared" si="16"/>
        <v>3369086</v>
      </c>
      <c r="AC72" s="1639">
        <v>-3369086</v>
      </c>
      <c r="AD72" s="1226"/>
      <c r="AE72" s="1639"/>
      <c r="AF72" s="1639"/>
      <c r="AG72" s="1922">
        <f t="shared" si="17"/>
        <v>8.3521601273244261E-3</v>
      </c>
      <c r="AH72" s="1922">
        <f t="shared" si="18"/>
        <v>0</v>
      </c>
    </row>
    <row r="73" spans="2:34" x14ac:dyDescent="0.25">
      <c r="B73" s="961">
        <f>B72+1</f>
        <v>4</v>
      </c>
      <c r="C73" s="962"/>
      <c r="D73" s="963" t="s">
        <v>491</v>
      </c>
      <c r="E73" s="964"/>
      <c r="F73" s="964"/>
      <c r="G73" s="964"/>
      <c r="H73" s="965"/>
      <c r="I73" s="966">
        <v>4761</v>
      </c>
      <c r="J73" s="2017">
        <v>2439</v>
      </c>
      <c r="K73" s="971">
        <v>0</v>
      </c>
      <c r="L73" s="967">
        <v>3369</v>
      </c>
      <c r="M73" s="969">
        <f t="shared" si="11"/>
        <v>3831</v>
      </c>
      <c r="N73" s="970">
        <v>0</v>
      </c>
      <c r="P73" s="1553">
        <f t="shared" si="12"/>
        <v>3</v>
      </c>
      <c r="Q73" s="1546">
        <v>648</v>
      </c>
      <c r="R73" s="1555">
        <v>648449</v>
      </c>
      <c r="S73" s="1547" t="s">
        <v>1658</v>
      </c>
      <c r="T73" s="1548">
        <f t="shared" si="13"/>
        <v>520.80915000000005</v>
      </c>
      <c r="U73" s="1549">
        <f t="shared" si="14"/>
        <v>520809.15</v>
      </c>
      <c r="V73" s="1548">
        <f t="shared" si="13"/>
        <v>0</v>
      </c>
      <c r="W73" s="1557"/>
      <c r="X73" s="1551">
        <f t="shared" si="15"/>
        <v>520.80915000000005</v>
      </c>
      <c r="Y73" s="139"/>
      <c r="Z73" s="1226">
        <v>648</v>
      </c>
      <c r="AA73" s="1226">
        <v>648449</v>
      </c>
      <c r="AB73" s="1642">
        <f t="shared" si="16"/>
        <v>520809.15</v>
      </c>
      <c r="AC73" s="1639">
        <v>-520809.15</v>
      </c>
      <c r="AD73" s="1226"/>
      <c r="AE73" s="1639"/>
      <c r="AF73" s="1639"/>
      <c r="AG73" s="1922">
        <f t="shared" si="17"/>
        <v>1.2911161711442591E-3</v>
      </c>
      <c r="AH73" s="1922">
        <f t="shared" si="18"/>
        <v>0</v>
      </c>
    </row>
    <row r="74" spans="2:34" x14ac:dyDescent="0.25">
      <c r="B74" s="961">
        <f>B73+1</f>
        <v>5</v>
      </c>
      <c r="C74" s="962"/>
      <c r="D74" s="963" t="s">
        <v>492</v>
      </c>
      <c r="E74" s="964"/>
      <c r="F74" s="964"/>
      <c r="G74" s="964"/>
      <c r="H74" s="965"/>
      <c r="I74" s="966">
        <v>13126</v>
      </c>
      <c r="J74" s="967">
        <v>6673</v>
      </c>
      <c r="K74" s="958">
        <v>6673</v>
      </c>
      <c r="L74" s="991">
        <v>9771</v>
      </c>
      <c r="M74" s="969">
        <f t="shared" si="11"/>
        <v>10028</v>
      </c>
      <c r="N74" s="972">
        <v>5696</v>
      </c>
      <c r="P74" s="1553">
        <f t="shared" si="12"/>
        <v>4</v>
      </c>
      <c r="Q74" s="1546">
        <v>648</v>
      </c>
      <c r="R74" s="1547">
        <v>64892</v>
      </c>
      <c r="S74" s="1547" t="s">
        <v>1659</v>
      </c>
      <c r="T74" s="1548">
        <f t="shared" si="13"/>
        <v>677.93114000000003</v>
      </c>
      <c r="U74" s="1549">
        <f t="shared" si="14"/>
        <v>677931.14</v>
      </c>
      <c r="V74" s="1548">
        <f t="shared" si="13"/>
        <v>0</v>
      </c>
      <c r="W74" s="1557"/>
      <c r="X74" s="1551">
        <f t="shared" si="15"/>
        <v>677.93114000000003</v>
      </c>
      <c r="Y74" s="139"/>
      <c r="Z74" s="1226">
        <v>648</v>
      </c>
      <c r="AA74" s="1226">
        <v>64892</v>
      </c>
      <c r="AB74" s="1642">
        <f t="shared" si="16"/>
        <v>677931.14</v>
      </c>
      <c r="AC74" s="1639">
        <v>-677931.14</v>
      </c>
      <c r="AD74" s="1226"/>
      <c r="AE74" s="1639"/>
      <c r="AF74" s="1639"/>
      <c r="AG74" s="1922">
        <f t="shared" si="17"/>
        <v>1.680630721976107E-3</v>
      </c>
      <c r="AH74" s="1922">
        <f t="shared" si="18"/>
        <v>0</v>
      </c>
    </row>
    <row r="75" spans="2:34" x14ac:dyDescent="0.25">
      <c r="B75" s="961">
        <f>B74+1</f>
        <v>6</v>
      </c>
      <c r="C75" s="962"/>
      <c r="D75" s="963" t="s">
        <v>493</v>
      </c>
      <c r="E75" s="964"/>
      <c r="F75" s="964"/>
      <c r="G75" s="964"/>
      <c r="H75" s="965"/>
      <c r="I75" s="966">
        <v>1164</v>
      </c>
      <c r="J75" s="967">
        <v>1162</v>
      </c>
      <c r="K75" s="971">
        <v>0</v>
      </c>
      <c r="L75" s="967">
        <v>1163</v>
      </c>
      <c r="M75" s="969">
        <f t="shared" si="11"/>
        <v>1163</v>
      </c>
      <c r="N75" s="972">
        <v>0</v>
      </c>
      <c r="P75" s="1553">
        <f t="shared" si="12"/>
        <v>5</v>
      </c>
      <c r="Q75" s="1546">
        <v>648</v>
      </c>
      <c r="R75" s="1547">
        <v>648921</v>
      </c>
      <c r="S75" s="1547" t="s">
        <v>1660</v>
      </c>
      <c r="T75" s="1548">
        <f t="shared" si="13"/>
        <v>485.13984999999997</v>
      </c>
      <c r="U75" s="1549">
        <f t="shared" si="14"/>
        <v>485139.85</v>
      </c>
      <c r="V75" s="1548">
        <f t="shared" si="13"/>
        <v>0</v>
      </c>
      <c r="W75" s="1557"/>
      <c r="X75" s="1551">
        <f t="shared" si="15"/>
        <v>485.13984999999997</v>
      </c>
      <c r="Y75" s="139"/>
      <c r="Z75" s="1226">
        <v>648</v>
      </c>
      <c r="AA75" s="1226">
        <v>648921</v>
      </c>
      <c r="AB75" s="1642">
        <f t="shared" si="16"/>
        <v>485139.85</v>
      </c>
      <c r="AC75" s="1639">
        <v>-485139.85</v>
      </c>
      <c r="AD75" s="1226"/>
      <c r="AE75" s="1639"/>
      <c r="AF75" s="1639"/>
      <c r="AG75" s="1922">
        <f t="shared" si="17"/>
        <v>1.2026899020524122E-3</v>
      </c>
      <c r="AH75" s="1922">
        <f t="shared" si="18"/>
        <v>0</v>
      </c>
    </row>
    <row r="76" spans="2:34" x14ac:dyDescent="0.25">
      <c r="B76" s="961" t="s">
        <v>668</v>
      </c>
      <c r="C76" s="962"/>
      <c r="D76" s="963" t="s">
        <v>496</v>
      </c>
      <c r="E76" s="964" t="s">
        <v>497</v>
      </c>
      <c r="F76" s="964"/>
      <c r="G76" s="964"/>
      <c r="H76" s="965"/>
      <c r="I76" s="966">
        <f>1118</f>
        <v>1118</v>
      </c>
      <c r="J76" s="967">
        <v>857</v>
      </c>
      <c r="K76" s="971">
        <v>0</v>
      </c>
      <c r="L76" s="967">
        <v>1118</v>
      </c>
      <c r="M76" s="969">
        <f t="shared" si="11"/>
        <v>857</v>
      </c>
      <c r="N76" s="972">
        <v>0</v>
      </c>
      <c r="P76" s="1553">
        <f t="shared" si="12"/>
        <v>6</v>
      </c>
      <c r="Q76" s="1546">
        <v>648</v>
      </c>
      <c r="R76" s="1547">
        <v>648922</v>
      </c>
      <c r="S76" s="1547" t="s">
        <v>1661</v>
      </c>
      <c r="T76" s="1548">
        <f t="shared" si="13"/>
        <v>0</v>
      </c>
      <c r="U76" s="1601"/>
      <c r="V76" s="1548">
        <f t="shared" si="13"/>
        <v>0</v>
      </c>
      <c r="W76" s="1557"/>
      <c r="X76" s="1551">
        <f t="shared" si="15"/>
        <v>0</v>
      </c>
      <c r="Y76" s="139"/>
      <c r="Z76" s="1226"/>
      <c r="AA76" s="1226"/>
      <c r="AB76" s="1639"/>
      <c r="AC76" s="1639"/>
      <c r="AD76" s="1226"/>
      <c r="AE76" s="1639"/>
      <c r="AF76" s="1639"/>
      <c r="AG76" s="1922">
        <f t="shared" si="17"/>
        <v>0</v>
      </c>
      <c r="AH76" s="1922">
        <f t="shared" si="18"/>
        <v>0</v>
      </c>
    </row>
    <row r="77" spans="2:34" x14ac:dyDescent="0.25">
      <c r="B77" s="961" t="s">
        <v>669</v>
      </c>
      <c r="C77" s="962"/>
      <c r="D77" s="963"/>
      <c r="E77" s="964" t="s">
        <v>498</v>
      </c>
      <c r="F77" s="964"/>
      <c r="G77" s="964"/>
      <c r="H77" s="965"/>
      <c r="I77" s="966">
        <v>46</v>
      </c>
      <c r="J77" s="967">
        <v>305</v>
      </c>
      <c r="K77" s="971">
        <v>0</v>
      </c>
      <c r="L77" s="967">
        <v>45</v>
      </c>
      <c r="M77" s="969">
        <f t="shared" si="11"/>
        <v>306</v>
      </c>
      <c r="N77" s="972">
        <v>0</v>
      </c>
      <c r="P77" s="1553">
        <f t="shared" si="12"/>
        <v>7</v>
      </c>
      <c r="Q77" s="1546">
        <v>648</v>
      </c>
      <c r="R77" s="1547">
        <v>648924</v>
      </c>
      <c r="S77" s="1547" t="s">
        <v>1662</v>
      </c>
      <c r="T77" s="1548">
        <f t="shared" si="13"/>
        <v>11945.558560000001</v>
      </c>
      <c r="U77" s="1549">
        <f>AB77</f>
        <v>11945558.560000001</v>
      </c>
      <c r="V77" s="1548">
        <f t="shared" si="13"/>
        <v>0</v>
      </c>
      <c r="W77" s="1557"/>
      <c r="X77" s="1551">
        <f t="shared" si="15"/>
        <v>11945.558560000001</v>
      </c>
      <c r="Y77" s="139"/>
      <c r="Z77" s="1226">
        <v>648</v>
      </c>
      <c r="AA77" s="1226">
        <v>648924</v>
      </c>
      <c r="AB77" s="1642">
        <f t="shared" ref="AB77" si="19">AC77*-1</f>
        <v>11945558.560000001</v>
      </c>
      <c r="AC77" s="1639">
        <v>-11945558.560000001</v>
      </c>
      <c r="AD77" s="139"/>
      <c r="AE77" s="1639">
        <f t="shared" ref="AE77" si="20">AF77*-1</f>
        <v>0</v>
      </c>
      <c r="AF77" s="139"/>
      <c r="AG77" s="1922">
        <f t="shared" si="17"/>
        <v>2.9613734378834796E-2</v>
      </c>
      <c r="AH77" s="1922">
        <f t="shared" si="18"/>
        <v>0</v>
      </c>
    </row>
    <row r="78" spans="2:34" x14ac:dyDescent="0.25">
      <c r="B78" s="973">
        <f>B75+1</f>
        <v>7</v>
      </c>
      <c r="C78" s="974"/>
      <c r="D78" s="975" t="s">
        <v>494</v>
      </c>
      <c r="E78" s="976"/>
      <c r="F78" s="976"/>
      <c r="G78" s="976"/>
      <c r="H78" s="977"/>
      <c r="I78" s="978">
        <v>0</v>
      </c>
      <c r="J78" s="968">
        <v>0</v>
      </c>
      <c r="K78" s="979">
        <v>0</v>
      </c>
      <c r="L78" s="968">
        <v>0</v>
      </c>
      <c r="M78" s="980">
        <f t="shared" si="11"/>
        <v>0</v>
      </c>
      <c r="N78" s="972">
        <v>0</v>
      </c>
      <c r="T78" s="2195">
        <f t="shared" si="13"/>
        <v>26769.889300000003</v>
      </c>
      <c r="U78" s="829">
        <f>SUM(U71:U77)</f>
        <v>26769889.300000001</v>
      </c>
      <c r="AG78" s="2196">
        <f t="shared" si="17"/>
        <v>6.636411241041304E-2</v>
      </c>
    </row>
    <row r="79" spans="2:34" ht="15.75" thickBot="1" x14ac:dyDescent="0.3">
      <c r="B79" s="981">
        <f>B78+1</f>
        <v>8</v>
      </c>
      <c r="C79" s="982"/>
      <c r="D79" s="983" t="s">
        <v>495</v>
      </c>
      <c r="E79" s="984"/>
      <c r="F79" s="984"/>
      <c r="G79" s="984"/>
      <c r="H79" s="985"/>
      <c r="I79" s="986">
        <v>29062</v>
      </c>
      <c r="J79" s="2018">
        <v>18828</v>
      </c>
      <c r="K79" s="987">
        <v>6674</v>
      </c>
      <c r="L79" s="2018">
        <v>12467</v>
      </c>
      <c r="M79" s="988">
        <f t="shared" si="11"/>
        <v>35423</v>
      </c>
      <c r="N79" s="989">
        <v>5695</v>
      </c>
      <c r="S79" s="2197" t="s">
        <v>1900</v>
      </c>
      <c r="U79" s="829">
        <v>17176861.370000001</v>
      </c>
    </row>
    <row r="80" spans="2:34" x14ac:dyDescent="0.25">
      <c r="N80" s="905">
        <f>SUM(N72:N79)</f>
        <v>22782</v>
      </c>
      <c r="U80" s="1035">
        <f>SUM(U78:U79)</f>
        <v>43946750.670000002</v>
      </c>
    </row>
    <row r="81" spans="2:21" x14ac:dyDescent="0.25">
      <c r="B81" s="18" t="s">
        <v>638</v>
      </c>
      <c r="C81" s="18"/>
      <c r="D81" s="1518"/>
      <c r="E81" s="1518"/>
      <c r="F81" s="1518"/>
      <c r="G81" s="1518"/>
      <c r="H81" s="1518"/>
      <c r="I81" s="1518"/>
      <c r="J81" s="1518"/>
      <c r="K81" s="1518"/>
      <c r="L81" s="1518"/>
      <c r="M81" s="18"/>
      <c r="U81" s="2198" t="s">
        <v>1899</v>
      </c>
    </row>
    <row r="82" spans="2:21" x14ac:dyDescent="0.25">
      <c r="B82" s="18" t="s">
        <v>1517</v>
      </c>
      <c r="C82" s="18"/>
      <c r="D82" s="1518"/>
      <c r="E82" s="1518"/>
      <c r="F82" s="1518"/>
      <c r="G82" s="1518"/>
      <c r="H82" s="1518"/>
      <c r="I82" s="1518"/>
      <c r="J82" s="1518"/>
      <c r="K82" s="1518"/>
      <c r="L82" s="1518"/>
      <c r="M82" s="18"/>
    </row>
    <row r="83" spans="2:21" x14ac:dyDescent="0.25">
      <c r="B83" s="1521" t="s">
        <v>684</v>
      </c>
      <c r="C83" s="1522"/>
      <c r="D83" s="1522"/>
      <c r="E83" s="1523"/>
      <c r="F83" s="1523"/>
      <c r="G83" s="1524"/>
      <c r="H83" s="1523"/>
      <c r="I83" s="1523"/>
      <c r="J83" s="1523"/>
      <c r="K83" s="1523"/>
      <c r="L83" s="1518"/>
      <c r="M83" s="18"/>
    </row>
    <row r="84" spans="2:21" x14ac:dyDescent="0.25">
      <c r="B84" s="18" t="s">
        <v>1518</v>
      </c>
      <c r="C84" s="1524"/>
      <c r="D84" s="1524"/>
      <c r="E84" s="1523"/>
      <c r="F84" s="1523"/>
      <c r="G84" s="1524"/>
      <c r="H84" s="1523"/>
      <c r="I84" s="1523"/>
      <c r="J84" s="1523"/>
      <c r="K84" s="1523"/>
      <c r="L84" s="1518"/>
      <c r="M84" s="18"/>
    </row>
    <row r="85" spans="2:21" x14ac:dyDescent="0.25">
      <c r="B85" s="18" t="s">
        <v>1519</v>
      </c>
      <c r="C85" s="1524"/>
      <c r="D85" s="1523"/>
      <c r="E85" s="1523"/>
      <c r="F85" s="1523"/>
      <c r="G85" s="1523"/>
      <c r="H85" s="1523"/>
      <c r="I85" s="1523"/>
      <c r="J85" s="1523"/>
      <c r="K85" s="1523"/>
      <c r="L85" s="1518"/>
      <c r="M85" s="18"/>
    </row>
    <row r="86" spans="2:21" x14ac:dyDescent="0.25">
      <c r="B86" s="18"/>
      <c r="C86" s="18"/>
      <c r="D86" s="1518"/>
      <c r="E86" s="1518"/>
      <c r="F86" s="1518"/>
      <c r="G86" s="1518"/>
      <c r="H86" s="1518"/>
      <c r="I86" s="1518"/>
      <c r="J86" s="1518"/>
      <c r="K86" s="1518"/>
      <c r="L86" s="1518"/>
      <c r="M86" s="18"/>
    </row>
    <row r="87" spans="2:21" ht="15.75" x14ac:dyDescent="0.25">
      <c r="B87" s="18"/>
      <c r="C87" s="18"/>
      <c r="D87" s="1518"/>
      <c r="E87" s="1518"/>
      <c r="F87" s="1518"/>
      <c r="G87" s="1518"/>
      <c r="H87" s="1518"/>
      <c r="I87" s="1518"/>
      <c r="J87" s="1128" t="s">
        <v>1325</v>
      </c>
      <c r="K87" s="1129"/>
      <c r="L87" s="1130"/>
      <c r="M87" s="1130"/>
    </row>
    <row r="88" spans="2:21" x14ac:dyDescent="0.25">
      <c r="B88" s="18"/>
      <c r="C88" s="18"/>
      <c r="D88" s="1518"/>
      <c r="E88" s="1518"/>
      <c r="F88" s="1518"/>
      <c r="G88" s="1518"/>
      <c r="H88" s="1518"/>
      <c r="I88" s="1518"/>
      <c r="J88" s="1131" t="s">
        <v>1327</v>
      </c>
      <c r="K88" s="1131"/>
      <c r="L88" s="1132"/>
      <c r="M88" s="1132"/>
    </row>
    <row r="89" spans="2:21" x14ac:dyDescent="0.25">
      <c r="B89" s="18"/>
      <c r="C89" s="18"/>
      <c r="D89" s="1518"/>
      <c r="E89" s="1518"/>
      <c r="F89" s="1518"/>
      <c r="G89" s="1518"/>
      <c r="H89" s="1518"/>
      <c r="I89" s="1518"/>
      <c r="J89" s="1131" t="s">
        <v>1328</v>
      </c>
      <c r="K89" s="1131"/>
      <c r="L89" s="1132"/>
      <c r="M89" s="1132"/>
    </row>
    <row r="90" spans="2:21" hidden="1" x14ac:dyDescent="0.25">
      <c r="B90" s="2939" t="s">
        <v>479</v>
      </c>
      <c r="C90" s="2942" t="s">
        <v>484</v>
      </c>
      <c r="D90" s="2942"/>
      <c r="E90" s="2942"/>
      <c r="F90" s="2942"/>
      <c r="G90" s="2942"/>
      <c r="H90" s="2942"/>
      <c r="I90" s="2945" t="s">
        <v>1159</v>
      </c>
      <c r="J90" s="2947" t="s">
        <v>486</v>
      </c>
      <c r="K90" s="2948"/>
      <c r="L90" s="938" t="s">
        <v>487</v>
      </c>
      <c r="M90" s="939" t="s">
        <v>485</v>
      </c>
    </row>
    <row r="91" spans="2:21" ht="48" hidden="1" x14ac:dyDescent="0.25">
      <c r="B91" s="2940"/>
      <c r="C91" s="2943"/>
      <c r="D91" s="2943"/>
      <c r="E91" s="2943"/>
      <c r="F91" s="2943"/>
      <c r="G91" s="2943"/>
      <c r="H91" s="2943"/>
      <c r="I91" s="2946"/>
      <c r="J91" s="940" t="s">
        <v>664</v>
      </c>
      <c r="K91" s="941" t="s">
        <v>1165</v>
      </c>
      <c r="L91" s="940" t="s">
        <v>488</v>
      </c>
      <c r="M91" s="942" t="s">
        <v>665</v>
      </c>
    </row>
    <row r="92" spans="2:21" hidden="1" x14ac:dyDescent="0.25">
      <c r="B92" s="2941"/>
      <c r="C92" s="2944"/>
      <c r="D92" s="2944"/>
      <c r="E92" s="2944"/>
      <c r="F92" s="2944"/>
      <c r="G92" s="2944"/>
      <c r="H92" s="2944"/>
      <c r="I92" s="1525" t="s">
        <v>558</v>
      </c>
      <c r="J92" s="1526" t="s">
        <v>559</v>
      </c>
      <c r="K92" s="1526" t="s">
        <v>560</v>
      </c>
      <c r="L92" s="1526" t="s">
        <v>561</v>
      </c>
      <c r="M92" s="1527" t="s">
        <v>666</v>
      </c>
    </row>
    <row r="93" spans="2:21" hidden="1" x14ac:dyDescent="0.25">
      <c r="B93" s="946">
        <v>1</v>
      </c>
      <c r="C93" s="947" t="s">
        <v>667</v>
      </c>
      <c r="D93" s="948"/>
      <c r="E93" s="948"/>
      <c r="F93" s="948"/>
      <c r="G93" s="948"/>
      <c r="H93" s="949"/>
      <c r="I93" s="950">
        <f>I39-I65</f>
        <v>0</v>
      </c>
      <c r="J93" s="950">
        <f t="shared" ref="J93:M93" si="21">J39-J65</f>
        <v>0</v>
      </c>
      <c r="K93" s="950">
        <f t="shared" si="21"/>
        <v>0</v>
      </c>
      <c r="L93" s="950">
        <f t="shared" si="21"/>
        <v>0</v>
      </c>
      <c r="M93" s="950">
        <f t="shared" si="21"/>
        <v>0</v>
      </c>
    </row>
    <row r="94" spans="2:21" hidden="1" x14ac:dyDescent="0.25">
      <c r="B94" s="952">
        <f>B93+1</f>
        <v>2</v>
      </c>
      <c r="C94" s="953" t="s">
        <v>481</v>
      </c>
      <c r="D94" s="954" t="s">
        <v>489</v>
      </c>
      <c r="E94" s="955"/>
      <c r="F94" s="955"/>
      <c r="G94" s="955"/>
      <c r="H94" s="956"/>
      <c r="I94" s="950">
        <f t="shared" ref="I94:M102" si="22">I40-I66</f>
        <v>0</v>
      </c>
      <c r="J94" s="950">
        <f t="shared" si="22"/>
        <v>0</v>
      </c>
      <c r="K94" s="950">
        <f t="shared" si="22"/>
        <v>0</v>
      </c>
      <c r="L94" s="950">
        <f t="shared" si="22"/>
        <v>0</v>
      </c>
      <c r="M94" s="950">
        <f t="shared" si="22"/>
        <v>0</v>
      </c>
    </row>
    <row r="95" spans="2:21" hidden="1" x14ac:dyDescent="0.25">
      <c r="B95" s="961">
        <f>B94+1</f>
        <v>3</v>
      </c>
      <c r="C95" s="962"/>
      <c r="D95" s="963" t="s">
        <v>490</v>
      </c>
      <c r="E95" s="964"/>
      <c r="F95" s="964"/>
      <c r="G95" s="964"/>
      <c r="H95" s="965"/>
      <c r="I95" s="950">
        <f t="shared" si="22"/>
        <v>0</v>
      </c>
      <c r="J95" s="950">
        <f t="shared" si="22"/>
        <v>0</v>
      </c>
      <c r="K95" s="950">
        <f t="shared" si="22"/>
        <v>0</v>
      </c>
      <c r="L95" s="950">
        <f t="shared" si="22"/>
        <v>0</v>
      </c>
      <c r="M95" s="950">
        <f t="shared" si="22"/>
        <v>0</v>
      </c>
    </row>
    <row r="96" spans="2:21" hidden="1" x14ac:dyDescent="0.25">
      <c r="B96" s="961">
        <f>B95+1</f>
        <v>4</v>
      </c>
      <c r="C96" s="962"/>
      <c r="D96" s="963" t="s">
        <v>491</v>
      </c>
      <c r="E96" s="964"/>
      <c r="F96" s="964"/>
      <c r="G96" s="964"/>
      <c r="H96" s="965"/>
      <c r="I96" s="950">
        <f t="shared" si="22"/>
        <v>0</v>
      </c>
      <c r="J96" s="950">
        <f t="shared" si="22"/>
        <v>0</v>
      </c>
      <c r="K96" s="950">
        <f t="shared" si="22"/>
        <v>0</v>
      </c>
      <c r="L96" s="950">
        <f t="shared" si="22"/>
        <v>0</v>
      </c>
      <c r="M96" s="950">
        <f t="shared" si="22"/>
        <v>0</v>
      </c>
    </row>
    <row r="97" spans="2:21" hidden="1" x14ac:dyDescent="0.25">
      <c r="B97" s="961">
        <f>B96+1</f>
        <v>5</v>
      </c>
      <c r="C97" s="962"/>
      <c r="D97" s="963" t="s">
        <v>492</v>
      </c>
      <c r="E97" s="964"/>
      <c r="F97" s="964"/>
      <c r="G97" s="964"/>
      <c r="H97" s="965"/>
      <c r="I97" s="950">
        <f t="shared" si="22"/>
        <v>0</v>
      </c>
      <c r="J97" s="950">
        <f t="shared" si="22"/>
        <v>0</v>
      </c>
      <c r="K97" s="950">
        <f t="shared" si="22"/>
        <v>0</v>
      </c>
      <c r="L97" s="950">
        <f t="shared" si="22"/>
        <v>0</v>
      </c>
      <c r="M97" s="950">
        <f t="shared" si="22"/>
        <v>0</v>
      </c>
    </row>
    <row r="98" spans="2:21" hidden="1" x14ac:dyDescent="0.25">
      <c r="B98" s="961">
        <f>B97+1</f>
        <v>6</v>
      </c>
      <c r="C98" s="962"/>
      <c r="D98" s="963" t="s">
        <v>493</v>
      </c>
      <c r="E98" s="964"/>
      <c r="F98" s="964"/>
      <c r="G98" s="964"/>
      <c r="H98" s="965"/>
      <c r="I98" s="950">
        <f t="shared" si="22"/>
        <v>-75340</v>
      </c>
      <c r="J98" s="950">
        <f t="shared" si="22"/>
        <v>-52097</v>
      </c>
      <c r="K98" s="950">
        <f t="shared" si="22"/>
        <v>-26694</v>
      </c>
      <c r="L98" s="950">
        <f t="shared" si="22"/>
        <v>-43947</v>
      </c>
      <c r="M98" s="950">
        <f t="shared" si="22"/>
        <v>-83490</v>
      </c>
    </row>
    <row r="99" spans="2:21" hidden="1" x14ac:dyDescent="0.25">
      <c r="B99" s="961" t="s">
        <v>668</v>
      </c>
      <c r="C99" s="962"/>
      <c r="D99" s="963" t="s">
        <v>496</v>
      </c>
      <c r="E99" s="964" t="s">
        <v>497</v>
      </c>
      <c r="F99" s="964"/>
      <c r="G99" s="964"/>
      <c r="H99" s="965"/>
      <c r="I99" s="950">
        <f t="shared" si="22"/>
        <v>15814</v>
      </c>
      <c r="J99" s="950">
        <f t="shared" si="22"/>
        <v>10902</v>
      </c>
      <c r="K99" s="950">
        <f t="shared" si="22"/>
        <v>1188</v>
      </c>
      <c r="L99" s="950">
        <f t="shared" si="22"/>
        <v>18566</v>
      </c>
      <c r="M99" s="950">
        <f t="shared" si="22"/>
        <v>8150</v>
      </c>
    </row>
    <row r="100" spans="2:21" hidden="1" x14ac:dyDescent="0.25">
      <c r="B100" s="961" t="s">
        <v>669</v>
      </c>
      <c r="C100" s="962"/>
      <c r="D100" s="963"/>
      <c r="E100" s="964" t="s">
        <v>498</v>
      </c>
      <c r="F100" s="964"/>
      <c r="G100" s="964"/>
      <c r="H100" s="965"/>
      <c r="I100" s="950">
        <f t="shared" si="22"/>
        <v>-27227</v>
      </c>
      <c r="J100" s="950">
        <f t="shared" si="22"/>
        <v>-22995</v>
      </c>
      <c r="K100" s="950">
        <f t="shared" si="22"/>
        <v>-13347</v>
      </c>
      <c r="L100" s="950">
        <f t="shared" si="22"/>
        <v>-17177</v>
      </c>
      <c r="M100" s="950">
        <f t="shared" si="22"/>
        <v>-33045</v>
      </c>
    </row>
    <row r="101" spans="2:21" hidden="1" x14ac:dyDescent="0.25">
      <c r="B101" s="973">
        <f>B98+1</f>
        <v>7</v>
      </c>
      <c r="C101" s="974"/>
      <c r="D101" s="975" t="s">
        <v>494</v>
      </c>
      <c r="E101" s="976"/>
      <c r="F101" s="976"/>
      <c r="G101" s="976"/>
      <c r="H101" s="977"/>
      <c r="I101" s="950">
        <f t="shared" si="22"/>
        <v>3957</v>
      </c>
      <c r="J101" s="950">
        <f t="shared" si="22"/>
        <v>-117</v>
      </c>
      <c r="K101" s="950">
        <f t="shared" si="22"/>
        <v>594</v>
      </c>
      <c r="L101" s="950">
        <f t="shared" si="22"/>
        <v>1853</v>
      </c>
      <c r="M101" s="950">
        <f t="shared" si="22"/>
        <v>1987</v>
      </c>
    </row>
    <row r="102" spans="2:21" ht="15.75" hidden="1" thickBot="1" x14ac:dyDescent="0.3">
      <c r="B102" s="981">
        <f>B101+1</f>
        <v>8</v>
      </c>
      <c r="C102" s="982"/>
      <c r="D102" s="983" t="s">
        <v>495</v>
      </c>
      <c r="E102" s="984"/>
      <c r="F102" s="984"/>
      <c r="G102" s="984"/>
      <c r="H102" s="985"/>
      <c r="I102" s="950">
        <f t="shared" si="22"/>
        <v>-10590</v>
      </c>
      <c r="J102" s="950">
        <f t="shared" si="22"/>
        <v>-8888</v>
      </c>
      <c r="K102" s="950">
        <f t="shared" si="22"/>
        <v>-6673</v>
      </c>
      <c r="L102" s="950">
        <f t="shared" si="22"/>
        <v>-8520</v>
      </c>
      <c r="M102" s="950">
        <f t="shared" si="22"/>
        <v>-10958</v>
      </c>
    </row>
    <row r="103" spans="2:21" hidden="1" x14ac:dyDescent="0.25">
      <c r="B103" s="16"/>
      <c r="C103" s="16"/>
      <c r="D103" s="94"/>
      <c r="E103" s="94"/>
      <c r="F103" s="94"/>
      <c r="G103" s="94"/>
      <c r="H103" s="94"/>
      <c r="I103" s="94"/>
      <c r="J103" s="94"/>
      <c r="K103" s="94"/>
      <c r="L103" s="94"/>
      <c r="M103" s="16"/>
    </row>
    <row r="104" spans="2:21" hidden="1" x14ac:dyDescent="0.25">
      <c r="B104" s="16"/>
      <c r="C104" s="16"/>
      <c r="D104" s="94"/>
      <c r="E104" s="94"/>
      <c r="F104" s="94"/>
      <c r="G104" s="94"/>
      <c r="H104" s="94"/>
      <c r="I104" s="94"/>
      <c r="J104" s="94"/>
      <c r="K104" s="94"/>
      <c r="L104" s="94"/>
      <c r="M104" s="16"/>
    </row>
    <row r="105" spans="2:21" hidden="1" x14ac:dyDescent="0.25">
      <c r="B105" s="16"/>
      <c r="C105" s="16"/>
      <c r="D105" s="94"/>
      <c r="E105" s="94"/>
      <c r="F105" s="94"/>
      <c r="G105" s="94"/>
      <c r="H105" s="94"/>
      <c r="I105" s="94"/>
      <c r="J105" s="94"/>
      <c r="K105" s="94"/>
      <c r="L105" s="94"/>
      <c r="M105" s="16"/>
    </row>
    <row r="106" spans="2:21" hidden="1" x14ac:dyDescent="0.25">
      <c r="B106" s="16"/>
      <c r="C106" s="16"/>
      <c r="D106" s="94"/>
      <c r="E106" s="94"/>
      <c r="F106" s="94"/>
      <c r="G106" s="94"/>
      <c r="H106" s="94"/>
      <c r="I106" s="94"/>
      <c r="J106" s="1134" t="s">
        <v>1329</v>
      </c>
      <c r="K106" s="94"/>
      <c r="L106" s="94"/>
      <c r="M106" s="16"/>
    </row>
    <row r="109" spans="2:21" ht="18.75" x14ac:dyDescent="0.3">
      <c r="B109" s="990" t="s">
        <v>1297</v>
      </c>
      <c r="C109" s="16"/>
      <c r="D109" s="94"/>
      <c r="E109" s="94"/>
      <c r="F109" s="94"/>
      <c r="G109" s="94"/>
      <c r="H109" s="94"/>
      <c r="I109" s="94"/>
      <c r="J109" s="94"/>
      <c r="K109" s="94"/>
      <c r="L109" s="94"/>
      <c r="M109" s="16"/>
      <c r="N109" s="16"/>
      <c r="O109" s="16"/>
      <c r="P109" s="16"/>
      <c r="Q109" s="16"/>
      <c r="R109" s="16"/>
      <c r="S109" s="16"/>
      <c r="T109" s="16"/>
      <c r="U109" s="16"/>
    </row>
    <row r="110" spans="2:21" ht="15.75" thickBot="1" x14ac:dyDescent="0.3">
      <c r="B110" s="16"/>
      <c r="C110" s="16"/>
      <c r="D110" s="94"/>
      <c r="E110" s="94"/>
      <c r="F110" s="94"/>
      <c r="G110" s="94"/>
      <c r="H110" s="94"/>
      <c r="I110" s="94"/>
      <c r="J110" s="94"/>
      <c r="K110" s="94"/>
      <c r="L110" s="94"/>
      <c r="M110" s="16"/>
      <c r="N110" s="16"/>
      <c r="O110" s="16"/>
      <c r="P110" s="16"/>
      <c r="Q110" s="16"/>
      <c r="R110" s="16"/>
      <c r="S110" s="16"/>
      <c r="T110" s="16"/>
      <c r="U110" s="16"/>
    </row>
    <row r="111" spans="2:21" x14ac:dyDescent="0.25">
      <c r="B111" s="2939" t="s">
        <v>479</v>
      </c>
      <c r="C111" s="2942" t="s">
        <v>484</v>
      </c>
      <c r="D111" s="2942"/>
      <c r="E111" s="2942"/>
      <c r="F111" s="2942"/>
      <c r="G111" s="2942"/>
      <c r="H111" s="2942"/>
      <c r="I111" s="2945" t="s">
        <v>1159</v>
      </c>
      <c r="J111" s="2947" t="s">
        <v>486</v>
      </c>
      <c r="K111" s="2948"/>
      <c r="L111" s="938" t="s">
        <v>487</v>
      </c>
      <c r="M111" s="939" t="s">
        <v>485</v>
      </c>
      <c r="N111" s="2949" t="s">
        <v>1296</v>
      </c>
      <c r="O111" s="16"/>
      <c r="P111" s="16"/>
      <c r="Q111" s="16"/>
      <c r="R111" s="16"/>
      <c r="S111" s="16"/>
      <c r="T111" s="16"/>
      <c r="U111" s="16"/>
    </row>
    <row r="112" spans="2:21" ht="48" x14ac:dyDescent="0.25">
      <c r="B112" s="2940"/>
      <c r="C112" s="2943"/>
      <c r="D112" s="2943"/>
      <c r="E112" s="2943"/>
      <c r="F112" s="2943"/>
      <c r="G112" s="2943"/>
      <c r="H112" s="2943"/>
      <c r="I112" s="2946"/>
      <c r="J112" s="940" t="s">
        <v>664</v>
      </c>
      <c r="K112" s="941" t="s">
        <v>1165</v>
      </c>
      <c r="L112" s="940" t="s">
        <v>488</v>
      </c>
      <c r="M112" s="942" t="s">
        <v>665</v>
      </c>
      <c r="N112" s="2950"/>
      <c r="O112" s="16"/>
      <c r="P112" s="16"/>
      <c r="Q112" s="16"/>
      <c r="R112" s="16"/>
      <c r="S112" s="16"/>
      <c r="T112" s="16"/>
      <c r="U112" s="16"/>
    </row>
    <row r="113" spans="2:21" x14ac:dyDescent="0.25">
      <c r="B113" s="2941"/>
      <c r="C113" s="2952"/>
      <c r="D113" s="2952"/>
      <c r="E113" s="2952"/>
      <c r="F113" s="2952"/>
      <c r="G113" s="2952"/>
      <c r="H113" s="2952"/>
      <c r="I113" s="943" t="s">
        <v>558</v>
      </c>
      <c r="J113" s="944" t="s">
        <v>559</v>
      </c>
      <c r="K113" s="944" t="s">
        <v>560</v>
      </c>
      <c r="L113" s="944" t="s">
        <v>561</v>
      </c>
      <c r="M113" s="945" t="s">
        <v>666</v>
      </c>
      <c r="N113" s="2950"/>
      <c r="O113" s="16"/>
      <c r="P113" s="16"/>
      <c r="Q113" s="16"/>
      <c r="R113" s="16"/>
      <c r="S113" s="16"/>
      <c r="T113" s="16"/>
      <c r="U113" s="16"/>
    </row>
    <row r="114" spans="2:21" x14ac:dyDescent="0.25">
      <c r="B114" s="946">
        <v>1</v>
      </c>
      <c r="C114" s="947" t="s">
        <v>667</v>
      </c>
      <c r="D114" s="948"/>
      <c r="E114" s="948"/>
      <c r="F114" s="948"/>
      <c r="G114" s="948"/>
      <c r="H114" s="949"/>
      <c r="I114" s="950">
        <f>SUM(I115:I119)+I122+I123</f>
        <v>75340</v>
      </c>
      <c r="J114" s="951">
        <f>SUM(J115:J119)+J122+J123</f>
        <v>52097</v>
      </c>
      <c r="K114" s="951">
        <f>SUM(K115:K119)+K122+K123</f>
        <v>26694</v>
      </c>
      <c r="L114" s="951">
        <f>SUM(L115:L119)+L122+L123</f>
        <v>43947</v>
      </c>
      <c r="M114" s="950">
        <f>SUM(M115:M119)+M122+M123</f>
        <v>83490</v>
      </c>
      <c r="N114" s="2951"/>
      <c r="O114" s="16"/>
      <c r="P114" s="16"/>
      <c r="Q114" s="16"/>
      <c r="R114" s="16"/>
      <c r="S114" s="16"/>
      <c r="T114" s="16"/>
      <c r="U114" s="16"/>
    </row>
    <row r="115" spans="2:21" x14ac:dyDescent="0.25">
      <c r="B115" s="952">
        <f>B114+1</f>
        <v>2</v>
      </c>
      <c r="C115" s="953" t="s">
        <v>481</v>
      </c>
      <c r="D115" s="954" t="s">
        <v>489</v>
      </c>
      <c r="E115" s="955"/>
      <c r="F115" s="955"/>
      <c r="G115" s="955"/>
      <c r="H115" s="956"/>
      <c r="I115" s="957">
        <v>0</v>
      </c>
      <c r="J115" s="958">
        <v>0</v>
      </c>
      <c r="K115" s="958">
        <v>0</v>
      </c>
      <c r="L115" s="958">
        <v>0</v>
      </c>
      <c r="M115" s="959">
        <f t="shared" ref="M115:M123" si="23">I115+J115-L115</f>
        <v>0</v>
      </c>
      <c r="N115" s="960">
        <v>0</v>
      </c>
      <c r="O115" s="16"/>
      <c r="P115" s="16"/>
      <c r="Q115" s="16"/>
      <c r="R115" s="16"/>
      <c r="S115" s="16"/>
      <c r="T115" s="16"/>
      <c r="U115" s="16"/>
    </row>
    <row r="116" spans="2:21" x14ac:dyDescent="0.25">
      <c r="B116" s="961">
        <f>B115+1</f>
        <v>3</v>
      </c>
      <c r="C116" s="962"/>
      <c r="D116" s="963" t="s">
        <v>490</v>
      </c>
      <c r="E116" s="964"/>
      <c r="F116" s="964"/>
      <c r="G116" s="964"/>
      <c r="H116" s="965"/>
      <c r="I116" s="966">
        <v>27227</v>
      </c>
      <c r="J116" s="967">
        <v>22995</v>
      </c>
      <c r="K116" s="968">
        <v>13347</v>
      </c>
      <c r="L116" s="967">
        <v>17177</v>
      </c>
      <c r="M116" s="969">
        <f t="shared" si="23"/>
        <v>33045</v>
      </c>
      <c r="N116" s="970">
        <v>11391</v>
      </c>
      <c r="O116" s="16"/>
      <c r="P116" s="16"/>
      <c r="Q116" s="16"/>
      <c r="R116" s="16"/>
      <c r="S116" s="16"/>
      <c r="T116" s="16"/>
      <c r="U116" s="16"/>
    </row>
    <row r="117" spans="2:21" x14ac:dyDescent="0.25">
      <c r="B117" s="961">
        <f>B116+1</f>
        <v>4</v>
      </c>
      <c r="C117" s="962"/>
      <c r="D117" s="963" t="s">
        <v>491</v>
      </c>
      <c r="E117" s="964"/>
      <c r="F117" s="964"/>
      <c r="G117" s="964"/>
      <c r="H117" s="965"/>
      <c r="I117" s="966">
        <v>4761</v>
      </c>
      <c r="J117" s="2017">
        <v>2439</v>
      </c>
      <c r="K117" s="971">
        <v>0</v>
      </c>
      <c r="L117" s="967">
        <v>3369</v>
      </c>
      <c r="M117" s="969">
        <f t="shared" si="23"/>
        <v>3831</v>
      </c>
      <c r="N117" s="970">
        <v>0</v>
      </c>
      <c r="O117" s="16"/>
      <c r="P117" s="16"/>
      <c r="Q117" s="16"/>
      <c r="R117" s="16"/>
      <c r="S117" s="16"/>
      <c r="T117" s="16"/>
      <c r="U117" s="16"/>
    </row>
    <row r="118" spans="2:21" x14ac:dyDescent="0.25">
      <c r="B118" s="961">
        <f>B117+1</f>
        <v>5</v>
      </c>
      <c r="C118" s="962"/>
      <c r="D118" s="963" t="s">
        <v>492</v>
      </c>
      <c r="E118" s="964"/>
      <c r="F118" s="964"/>
      <c r="G118" s="964"/>
      <c r="H118" s="965"/>
      <c r="I118" s="966">
        <v>13126</v>
      </c>
      <c r="J118" s="967">
        <v>6673</v>
      </c>
      <c r="K118" s="958">
        <v>6673</v>
      </c>
      <c r="L118" s="991">
        <v>9771</v>
      </c>
      <c r="M118" s="969">
        <f t="shared" si="23"/>
        <v>10028</v>
      </c>
      <c r="N118" s="972">
        <v>5696</v>
      </c>
      <c r="O118" s="16"/>
      <c r="P118" s="16"/>
      <c r="Q118" s="16"/>
      <c r="R118" s="16"/>
      <c r="S118" s="16"/>
      <c r="T118" s="16"/>
      <c r="U118" s="16"/>
    </row>
    <row r="119" spans="2:21" x14ac:dyDescent="0.25">
      <c r="B119" s="961">
        <f>B118+1</f>
        <v>6</v>
      </c>
      <c r="C119" s="962"/>
      <c r="D119" s="963" t="s">
        <v>493</v>
      </c>
      <c r="E119" s="964"/>
      <c r="F119" s="964"/>
      <c r="G119" s="964"/>
      <c r="H119" s="965"/>
      <c r="I119" s="966">
        <v>1164</v>
      </c>
      <c r="J119" s="967">
        <v>1162</v>
      </c>
      <c r="K119" s="971">
        <v>0</v>
      </c>
      <c r="L119" s="967">
        <v>1163</v>
      </c>
      <c r="M119" s="969">
        <f t="shared" si="23"/>
        <v>1163</v>
      </c>
      <c r="N119" s="972">
        <v>0</v>
      </c>
      <c r="O119" s="16"/>
      <c r="P119" s="16"/>
      <c r="Q119" s="16"/>
      <c r="R119" s="16"/>
      <c r="S119" s="16"/>
      <c r="T119" s="16"/>
      <c r="U119" s="16"/>
    </row>
    <row r="120" spans="2:21" x14ac:dyDescent="0.25">
      <c r="B120" s="961" t="s">
        <v>668</v>
      </c>
      <c r="C120" s="962"/>
      <c r="D120" s="963" t="s">
        <v>496</v>
      </c>
      <c r="E120" s="964" t="s">
        <v>497</v>
      </c>
      <c r="F120" s="964"/>
      <c r="G120" s="964"/>
      <c r="H120" s="965"/>
      <c r="I120" s="966">
        <f>1118</f>
        <v>1118</v>
      </c>
      <c r="J120" s="967">
        <v>857</v>
      </c>
      <c r="K120" s="971">
        <v>0</v>
      </c>
      <c r="L120" s="967">
        <v>1118</v>
      </c>
      <c r="M120" s="969">
        <f t="shared" si="23"/>
        <v>857</v>
      </c>
      <c r="N120" s="972">
        <v>0</v>
      </c>
      <c r="O120" s="16"/>
      <c r="P120" s="16"/>
      <c r="Q120" s="16"/>
      <c r="R120" s="16"/>
      <c r="S120" s="16"/>
      <c r="T120" s="16"/>
      <c r="U120" s="16"/>
    </row>
    <row r="121" spans="2:21" x14ac:dyDescent="0.25">
      <c r="B121" s="961" t="s">
        <v>669</v>
      </c>
      <c r="C121" s="962"/>
      <c r="D121" s="963"/>
      <c r="E121" s="964" t="s">
        <v>498</v>
      </c>
      <c r="F121" s="964"/>
      <c r="G121" s="964"/>
      <c r="H121" s="965"/>
      <c r="I121" s="966">
        <v>46</v>
      </c>
      <c r="J121" s="967">
        <v>305</v>
      </c>
      <c r="K121" s="971">
        <v>0</v>
      </c>
      <c r="L121" s="967">
        <v>45</v>
      </c>
      <c r="M121" s="969">
        <f t="shared" si="23"/>
        <v>306</v>
      </c>
      <c r="N121" s="972">
        <v>0</v>
      </c>
      <c r="O121" s="16"/>
      <c r="P121" s="16"/>
      <c r="Q121" s="16"/>
      <c r="R121" s="16"/>
      <c r="S121" s="16"/>
      <c r="T121" s="16"/>
      <c r="U121" s="16"/>
    </row>
    <row r="122" spans="2:21" x14ac:dyDescent="0.25">
      <c r="B122" s="973">
        <f>B119+1</f>
        <v>7</v>
      </c>
      <c r="C122" s="974"/>
      <c r="D122" s="975" t="s">
        <v>494</v>
      </c>
      <c r="E122" s="976"/>
      <c r="F122" s="976"/>
      <c r="G122" s="976"/>
      <c r="H122" s="977"/>
      <c r="I122" s="978">
        <v>0</v>
      </c>
      <c r="J122" s="968">
        <v>0</v>
      </c>
      <c r="K122" s="979">
        <v>0</v>
      </c>
      <c r="L122" s="968">
        <v>0</v>
      </c>
      <c r="M122" s="980">
        <f t="shared" si="23"/>
        <v>0</v>
      </c>
      <c r="N122" s="972">
        <v>0</v>
      </c>
      <c r="O122" s="16"/>
      <c r="P122" s="16"/>
      <c r="Q122" s="16"/>
      <c r="R122" s="16"/>
      <c r="S122" s="16"/>
      <c r="T122" s="16"/>
      <c r="U122" s="16"/>
    </row>
    <row r="123" spans="2:21" ht="15.75" thickBot="1" x14ac:dyDescent="0.3">
      <c r="B123" s="981">
        <f>B122+1</f>
        <v>8</v>
      </c>
      <c r="C123" s="982"/>
      <c r="D123" s="983" t="s">
        <v>495</v>
      </c>
      <c r="E123" s="984"/>
      <c r="F123" s="984"/>
      <c r="G123" s="984"/>
      <c r="H123" s="985"/>
      <c r="I123" s="986">
        <v>29062</v>
      </c>
      <c r="J123" s="2018">
        <v>18828</v>
      </c>
      <c r="K123" s="987">
        <v>6674</v>
      </c>
      <c r="L123" s="2018">
        <v>12467</v>
      </c>
      <c r="M123" s="988">
        <f t="shared" si="23"/>
        <v>35423</v>
      </c>
      <c r="N123" s="989">
        <v>5695</v>
      </c>
      <c r="O123" s="16"/>
      <c r="P123" s="16"/>
      <c r="Q123" s="16"/>
      <c r="R123" s="16"/>
      <c r="S123" s="16"/>
      <c r="T123" s="16"/>
      <c r="U123" s="16"/>
    </row>
    <row r="124" spans="2:21" x14ac:dyDescent="0.25">
      <c r="B124" s="2019"/>
      <c r="C124" s="2020"/>
      <c r="D124" s="2021"/>
      <c r="E124" s="812"/>
      <c r="F124" s="812"/>
      <c r="G124" s="812"/>
      <c r="H124" s="812"/>
      <c r="I124" s="2022"/>
      <c r="J124" s="2022"/>
      <c r="K124" s="2022"/>
      <c r="L124" s="2022"/>
      <c r="M124" s="2022"/>
      <c r="N124" s="2023">
        <f>SUM(N115:N123)</f>
        <v>22782</v>
      </c>
      <c r="O124" s="16"/>
      <c r="P124" s="16"/>
      <c r="Q124" s="16"/>
      <c r="R124" s="16"/>
      <c r="S124" s="16"/>
      <c r="T124" s="16"/>
      <c r="U124" s="16"/>
    </row>
    <row r="125" spans="2:21" ht="18.75" x14ac:dyDescent="0.3">
      <c r="B125" s="937" t="s">
        <v>1295</v>
      </c>
      <c r="C125" s="937"/>
      <c r="D125" s="139"/>
      <c r="E125" s="139"/>
      <c r="F125" s="139"/>
      <c r="G125" s="139"/>
      <c r="H125" s="139"/>
      <c r="I125" s="139"/>
      <c r="J125" s="139"/>
      <c r="K125" s="139"/>
      <c r="L125" s="139"/>
      <c r="M125" s="139"/>
      <c r="N125" s="139"/>
      <c r="O125" s="16"/>
      <c r="P125" s="16"/>
      <c r="Q125" s="16"/>
      <c r="R125" s="16"/>
      <c r="S125" s="16"/>
      <c r="T125" s="16"/>
      <c r="U125" s="16"/>
    </row>
    <row r="126" spans="2:21" ht="15.75" thickBot="1" x14ac:dyDescent="0.3">
      <c r="B126" s="139"/>
      <c r="C126" s="139"/>
      <c r="D126" s="139"/>
      <c r="E126" s="139"/>
      <c r="F126" s="139"/>
      <c r="G126" s="139"/>
      <c r="H126" s="139"/>
      <c r="I126" s="139"/>
      <c r="J126" s="139"/>
      <c r="K126" s="139"/>
      <c r="L126" s="139"/>
      <c r="M126" s="139"/>
      <c r="N126" s="139"/>
      <c r="O126" s="16"/>
      <c r="P126" s="16"/>
      <c r="Q126" s="16"/>
      <c r="R126" s="16"/>
      <c r="S126" s="16"/>
      <c r="T126" s="16"/>
      <c r="U126" s="16"/>
    </row>
    <row r="127" spans="2:21" x14ac:dyDescent="0.25">
      <c r="B127" s="2939" t="s">
        <v>479</v>
      </c>
      <c r="C127" s="2942" t="s">
        <v>484</v>
      </c>
      <c r="D127" s="2942"/>
      <c r="E127" s="2942"/>
      <c r="F127" s="2942"/>
      <c r="G127" s="2942"/>
      <c r="H127" s="2942"/>
      <c r="I127" s="2945" t="s">
        <v>1159</v>
      </c>
      <c r="J127" s="2947" t="s">
        <v>486</v>
      </c>
      <c r="K127" s="2948"/>
      <c r="L127" s="938" t="s">
        <v>487</v>
      </c>
      <c r="M127" s="939" t="s">
        <v>485</v>
      </c>
      <c r="N127" s="2949" t="s">
        <v>1296</v>
      </c>
      <c r="O127" s="16"/>
      <c r="P127" s="16"/>
      <c r="Q127" s="16"/>
      <c r="R127" s="16"/>
      <c r="S127" s="16"/>
      <c r="T127" s="16"/>
      <c r="U127" s="16"/>
    </row>
    <row r="128" spans="2:21" ht="48" x14ac:dyDescent="0.25">
      <c r="B128" s="2940"/>
      <c r="C128" s="2943"/>
      <c r="D128" s="2943"/>
      <c r="E128" s="2943"/>
      <c r="F128" s="2943"/>
      <c r="G128" s="2943"/>
      <c r="H128" s="2943"/>
      <c r="I128" s="2946"/>
      <c r="J128" s="940" t="s">
        <v>664</v>
      </c>
      <c r="K128" s="941" t="s">
        <v>1165</v>
      </c>
      <c r="L128" s="940" t="s">
        <v>488</v>
      </c>
      <c r="M128" s="942" t="s">
        <v>665</v>
      </c>
      <c r="N128" s="2950"/>
      <c r="O128" s="16"/>
      <c r="P128" s="16"/>
      <c r="Q128" s="16"/>
      <c r="R128" s="16"/>
      <c r="S128" s="16"/>
      <c r="T128" s="16"/>
      <c r="U128" s="16"/>
    </row>
    <row r="129" spans="2:21" x14ac:dyDescent="0.25">
      <c r="B129" s="2941"/>
      <c r="C129" s="2944"/>
      <c r="D129" s="2944"/>
      <c r="E129" s="2944"/>
      <c r="F129" s="2944"/>
      <c r="G129" s="2944"/>
      <c r="H129" s="2944"/>
      <c r="I129" s="1525" t="s">
        <v>558</v>
      </c>
      <c r="J129" s="1526" t="s">
        <v>559</v>
      </c>
      <c r="K129" s="1526" t="s">
        <v>560</v>
      </c>
      <c r="L129" s="1526" t="s">
        <v>561</v>
      </c>
      <c r="M129" s="1527" t="s">
        <v>666</v>
      </c>
      <c r="N129" s="2950"/>
      <c r="O129" s="16"/>
      <c r="P129" s="16"/>
      <c r="Q129" s="16"/>
      <c r="R129" s="16"/>
      <c r="S129" s="16"/>
      <c r="T129" s="16"/>
      <c r="U129" s="16"/>
    </row>
    <row r="130" spans="2:21" x14ac:dyDescent="0.25">
      <c r="B130" s="946">
        <v>1</v>
      </c>
      <c r="C130" s="947" t="s">
        <v>667</v>
      </c>
      <c r="D130" s="948"/>
      <c r="E130" s="948"/>
      <c r="F130" s="948"/>
      <c r="G130" s="948"/>
      <c r="H130" s="949"/>
      <c r="I130" s="950">
        <f>SUM(I131:I135)+I138+I139</f>
        <v>59526</v>
      </c>
      <c r="J130" s="951">
        <f>SUM(J131:J135)+J138+J139</f>
        <v>41194</v>
      </c>
      <c r="K130" s="951">
        <f>SUM(K131:K135)+K138+K139</f>
        <v>25506</v>
      </c>
      <c r="L130" s="951">
        <f>SUM(L131:L135)+L138+L139</f>
        <v>25380</v>
      </c>
      <c r="M130" s="950">
        <f>SUM(M131:M135)+M138+M139</f>
        <v>75340</v>
      </c>
      <c r="N130" s="2951"/>
      <c r="O130" s="16"/>
      <c r="P130" s="16"/>
      <c r="Q130" s="16"/>
      <c r="R130" s="16"/>
      <c r="S130" s="16"/>
      <c r="T130" s="16"/>
      <c r="U130" s="16"/>
    </row>
    <row r="131" spans="2:21" x14ac:dyDescent="0.25">
      <c r="B131" s="952">
        <f>B130+1</f>
        <v>2</v>
      </c>
      <c r="C131" s="953" t="s">
        <v>481</v>
      </c>
      <c r="D131" s="954" t="s">
        <v>489</v>
      </c>
      <c r="E131" s="955"/>
      <c r="F131" s="955"/>
      <c r="G131" s="955"/>
      <c r="H131" s="956"/>
      <c r="I131" s="957">
        <v>0</v>
      </c>
      <c r="J131" s="958">
        <v>0</v>
      </c>
      <c r="K131" s="958">
        <v>0</v>
      </c>
      <c r="L131" s="958">
        <v>0</v>
      </c>
      <c r="M131" s="959">
        <f t="shared" ref="M131:M139" si="24">I131+J131-L131</f>
        <v>0</v>
      </c>
      <c r="N131" s="960">
        <v>0</v>
      </c>
      <c r="O131" s="16"/>
      <c r="P131" s="16"/>
      <c r="Q131" s="16"/>
      <c r="R131" s="16"/>
      <c r="S131" s="16"/>
      <c r="T131" s="16"/>
      <c r="U131" s="16"/>
    </row>
    <row r="132" spans="2:21" x14ac:dyDescent="0.25">
      <c r="B132" s="961">
        <f>B131+1</f>
        <v>3</v>
      </c>
      <c r="C132" s="962"/>
      <c r="D132" s="963" t="s">
        <v>490</v>
      </c>
      <c r="E132" s="964"/>
      <c r="F132" s="964"/>
      <c r="G132" s="964"/>
      <c r="H132" s="965"/>
      <c r="I132" s="966">
        <v>18509</v>
      </c>
      <c r="J132" s="967">
        <f>12753+7921-1</f>
        <v>20673</v>
      </c>
      <c r="K132" s="968">
        <v>12753</v>
      </c>
      <c r="L132" s="967">
        <v>11955</v>
      </c>
      <c r="M132" s="969">
        <f t="shared" si="24"/>
        <v>27227</v>
      </c>
      <c r="N132" s="970">
        <v>13347</v>
      </c>
      <c r="O132" s="16"/>
      <c r="P132" s="16"/>
      <c r="Q132" s="16"/>
      <c r="R132" s="16"/>
      <c r="S132" s="16"/>
      <c r="T132" s="16"/>
      <c r="U132" s="16"/>
    </row>
    <row r="133" spans="2:21" x14ac:dyDescent="0.25">
      <c r="B133" s="961">
        <f>B132+1</f>
        <v>4</v>
      </c>
      <c r="C133" s="962"/>
      <c r="D133" s="963" t="s">
        <v>491</v>
      </c>
      <c r="E133" s="964"/>
      <c r="F133" s="964"/>
      <c r="G133" s="964"/>
      <c r="H133" s="965"/>
      <c r="I133" s="966">
        <v>2225</v>
      </c>
      <c r="J133" s="967">
        <f>3057+1597</f>
        <v>4654</v>
      </c>
      <c r="K133" s="971">
        <v>0</v>
      </c>
      <c r="L133" s="967">
        <v>2118</v>
      </c>
      <c r="M133" s="969">
        <f t="shared" si="24"/>
        <v>4761</v>
      </c>
      <c r="N133" s="970">
        <v>0</v>
      </c>
      <c r="O133" s="16"/>
      <c r="P133" s="16"/>
      <c r="Q133" s="16"/>
      <c r="R133" s="16"/>
      <c r="S133" s="16"/>
      <c r="T133" s="16"/>
      <c r="U133" s="16"/>
    </row>
    <row r="134" spans="2:21" x14ac:dyDescent="0.25">
      <c r="B134" s="961">
        <f>B133+1</f>
        <v>5</v>
      </c>
      <c r="C134" s="962"/>
      <c r="D134" s="963" t="s">
        <v>492</v>
      </c>
      <c r="E134" s="964"/>
      <c r="F134" s="964"/>
      <c r="G134" s="964"/>
      <c r="H134" s="965"/>
      <c r="I134" s="966">
        <v>9606</v>
      </c>
      <c r="J134" s="967">
        <v>6376</v>
      </c>
      <c r="K134" s="958">
        <v>6376</v>
      </c>
      <c r="L134" s="2017">
        <v>2856</v>
      </c>
      <c r="M134" s="969">
        <f t="shared" si="24"/>
        <v>13126</v>
      </c>
      <c r="N134" s="972">
        <v>6673</v>
      </c>
      <c r="O134" s="16"/>
      <c r="P134" s="16"/>
      <c r="Q134" s="16"/>
      <c r="R134" s="16"/>
      <c r="S134" s="16"/>
      <c r="T134" s="16"/>
      <c r="U134" s="16"/>
    </row>
    <row r="135" spans="2:21" x14ac:dyDescent="0.25">
      <c r="B135" s="961">
        <f>B134+1</f>
        <v>6</v>
      </c>
      <c r="C135" s="962"/>
      <c r="D135" s="963" t="s">
        <v>493</v>
      </c>
      <c r="E135" s="964"/>
      <c r="F135" s="964"/>
      <c r="G135" s="964"/>
      <c r="H135" s="965"/>
      <c r="I135" s="966">
        <v>1053</v>
      </c>
      <c r="J135" s="967">
        <v>1164</v>
      </c>
      <c r="K135" s="971">
        <v>0</v>
      </c>
      <c r="L135" s="967">
        <v>1053</v>
      </c>
      <c r="M135" s="969">
        <f t="shared" si="24"/>
        <v>1164</v>
      </c>
      <c r="N135" s="972">
        <v>0</v>
      </c>
      <c r="O135" s="16"/>
      <c r="P135" s="16"/>
      <c r="Q135" s="16"/>
      <c r="R135" s="16"/>
      <c r="S135" s="16"/>
      <c r="T135" s="16"/>
      <c r="U135" s="16"/>
    </row>
    <row r="136" spans="2:21" x14ac:dyDescent="0.25">
      <c r="B136" s="961" t="s">
        <v>668</v>
      </c>
      <c r="C136" s="962"/>
      <c r="D136" s="963" t="s">
        <v>496</v>
      </c>
      <c r="E136" s="964" t="s">
        <v>497</v>
      </c>
      <c r="F136" s="964"/>
      <c r="G136" s="964"/>
      <c r="H136" s="965"/>
      <c r="I136" s="966">
        <v>1043</v>
      </c>
      <c r="J136" s="967">
        <v>1118</v>
      </c>
      <c r="K136" s="971">
        <v>0</v>
      </c>
      <c r="L136" s="967">
        <v>1043</v>
      </c>
      <c r="M136" s="969">
        <f t="shared" si="24"/>
        <v>1118</v>
      </c>
      <c r="N136" s="972">
        <v>0</v>
      </c>
      <c r="O136" s="16"/>
      <c r="P136" s="16"/>
      <c r="Q136" s="16"/>
      <c r="R136" s="16"/>
      <c r="S136" s="16"/>
      <c r="T136" s="16"/>
      <c r="U136" s="16"/>
    </row>
    <row r="137" spans="2:21" x14ac:dyDescent="0.25">
      <c r="B137" s="961" t="s">
        <v>669</v>
      </c>
      <c r="C137" s="962"/>
      <c r="D137" s="963"/>
      <c r="E137" s="964" t="s">
        <v>498</v>
      </c>
      <c r="F137" s="964"/>
      <c r="G137" s="964"/>
      <c r="H137" s="965"/>
      <c r="I137" s="966">
        <v>10</v>
      </c>
      <c r="J137" s="967">
        <v>46</v>
      </c>
      <c r="K137" s="971">
        <v>0</v>
      </c>
      <c r="L137" s="967">
        <v>10</v>
      </c>
      <c r="M137" s="969">
        <f t="shared" si="24"/>
        <v>46</v>
      </c>
      <c r="N137" s="972">
        <v>0</v>
      </c>
      <c r="O137" s="16"/>
      <c r="P137" s="16"/>
      <c r="Q137" s="16"/>
      <c r="R137" s="16"/>
      <c r="S137" s="16"/>
      <c r="T137" s="16"/>
      <c r="U137" s="16"/>
    </row>
    <row r="138" spans="2:21" x14ac:dyDescent="0.25">
      <c r="B138" s="973">
        <f>B135+1</f>
        <v>7</v>
      </c>
      <c r="C138" s="974"/>
      <c r="D138" s="975" t="s">
        <v>494</v>
      </c>
      <c r="E138" s="976"/>
      <c r="F138" s="976"/>
      <c r="G138" s="976"/>
      <c r="H138" s="977"/>
      <c r="I138" s="978">
        <f>'[1]11.f'!D128</f>
        <v>0</v>
      </c>
      <c r="J138" s="968">
        <f>'[1]11.f'!D129</f>
        <v>0</v>
      </c>
      <c r="K138" s="979">
        <v>0</v>
      </c>
      <c r="L138" s="968">
        <f>'[1]11.f'!D135</f>
        <v>0</v>
      </c>
      <c r="M138" s="980">
        <f t="shared" si="24"/>
        <v>0</v>
      </c>
      <c r="N138" s="972">
        <v>0</v>
      </c>
      <c r="O138" s="16"/>
      <c r="P138" s="16"/>
      <c r="Q138" s="16"/>
      <c r="R138" s="16"/>
      <c r="S138" s="16"/>
      <c r="T138" s="16"/>
      <c r="U138" s="16"/>
    </row>
    <row r="139" spans="2:21" ht="15.75" thickBot="1" x14ac:dyDescent="0.3">
      <c r="B139" s="981">
        <f>B138+1</f>
        <v>8</v>
      </c>
      <c r="C139" s="982"/>
      <c r="D139" s="983" t="s">
        <v>495</v>
      </c>
      <c r="E139" s="984"/>
      <c r="F139" s="984"/>
      <c r="G139" s="984"/>
      <c r="H139" s="985"/>
      <c r="I139" s="986">
        <v>28133</v>
      </c>
      <c r="J139" s="987">
        <f>8326+1</f>
        <v>8327</v>
      </c>
      <c r="K139" s="987">
        <v>6377</v>
      </c>
      <c r="L139" s="987">
        <f>5801+1597</f>
        <v>7398</v>
      </c>
      <c r="M139" s="988">
        <f t="shared" si="24"/>
        <v>29062</v>
      </c>
      <c r="N139" s="989">
        <v>6674</v>
      </c>
      <c r="O139" s="16"/>
      <c r="P139" s="16"/>
      <c r="Q139" s="16"/>
      <c r="R139" s="16"/>
      <c r="S139" s="16"/>
      <c r="T139" s="16"/>
      <c r="U139" s="16"/>
    </row>
    <row r="140" spans="2:21" x14ac:dyDescent="0.25">
      <c r="B140" s="16"/>
      <c r="C140" s="16"/>
      <c r="D140" s="94"/>
      <c r="E140" s="94"/>
      <c r="F140" s="94"/>
      <c r="G140" s="94"/>
      <c r="H140" s="94"/>
      <c r="I140" s="94"/>
      <c r="J140" s="94"/>
      <c r="K140" s="94"/>
      <c r="L140" s="94"/>
      <c r="M140" s="16"/>
      <c r="N140" s="16"/>
      <c r="O140" s="16"/>
      <c r="P140" s="16"/>
      <c r="Q140" s="16"/>
      <c r="R140" s="16"/>
      <c r="S140" s="16"/>
      <c r="T140" s="16"/>
      <c r="U140" s="16"/>
    </row>
    <row r="141" spans="2:21" ht="18.75" x14ac:dyDescent="0.3">
      <c r="B141" s="2291"/>
      <c r="C141" s="994" t="s">
        <v>1302</v>
      </c>
      <c r="D141" s="139"/>
      <c r="E141" s="139"/>
      <c r="F141" s="139"/>
      <c r="G141" s="139"/>
      <c r="H141" s="139"/>
      <c r="I141" s="139"/>
      <c r="J141" s="139"/>
      <c r="K141" s="139"/>
      <c r="L141" s="139"/>
      <c r="M141" s="139"/>
      <c r="N141" s="139"/>
      <c r="O141" s="16"/>
      <c r="P141" s="16"/>
      <c r="Q141" s="16"/>
      <c r="R141" s="16"/>
      <c r="S141" s="16"/>
      <c r="T141" s="16"/>
      <c r="U141" s="16"/>
    </row>
    <row r="142" spans="2:21" ht="15.75" thickBot="1" x14ac:dyDescent="0.3">
      <c r="B142" s="139"/>
      <c r="C142" s="139"/>
      <c r="D142" s="139"/>
      <c r="E142" s="139"/>
      <c r="F142" s="139"/>
      <c r="G142" s="139"/>
      <c r="H142" s="139"/>
      <c r="I142" s="139"/>
      <c r="J142" s="139"/>
      <c r="K142" s="139"/>
      <c r="L142" s="139"/>
      <c r="M142" s="139"/>
      <c r="N142" s="139"/>
      <c r="O142" s="16"/>
      <c r="P142" s="16"/>
      <c r="Q142" s="16"/>
      <c r="R142" s="16"/>
      <c r="S142" s="16"/>
      <c r="T142" s="16"/>
      <c r="U142" s="16"/>
    </row>
    <row r="143" spans="2:21" x14ac:dyDescent="0.25">
      <c r="B143" s="2926" t="s">
        <v>479</v>
      </c>
      <c r="C143" s="2929" t="s">
        <v>484</v>
      </c>
      <c r="D143" s="2929"/>
      <c r="E143" s="2929"/>
      <c r="F143" s="2929"/>
      <c r="G143" s="2929"/>
      <c r="H143" s="2930"/>
      <c r="I143" s="1023" t="s">
        <v>1300</v>
      </c>
      <c r="J143" s="2935" t="s">
        <v>486</v>
      </c>
      <c r="K143" s="2935"/>
      <c r="L143" s="1024" t="s">
        <v>487</v>
      </c>
      <c r="M143" s="1025" t="s">
        <v>485</v>
      </c>
      <c r="N143" s="139"/>
      <c r="O143" s="16"/>
      <c r="P143" s="16"/>
      <c r="Q143" s="16"/>
      <c r="R143" s="16"/>
      <c r="S143" s="16"/>
      <c r="T143" s="16"/>
      <c r="U143" s="16"/>
    </row>
    <row r="144" spans="2:21" ht="45" x14ac:dyDescent="0.25">
      <c r="B144" s="2927"/>
      <c r="C144" s="2931"/>
      <c r="D144" s="2931"/>
      <c r="E144" s="2931"/>
      <c r="F144" s="2931"/>
      <c r="G144" s="2931"/>
      <c r="H144" s="2932"/>
      <c r="I144" s="2295" t="s">
        <v>1301</v>
      </c>
      <c r="J144" s="2296" t="s">
        <v>664</v>
      </c>
      <c r="K144" s="2297" t="s">
        <v>1908</v>
      </c>
      <c r="L144" s="2298" t="s">
        <v>488</v>
      </c>
      <c r="M144" s="2299" t="s">
        <v>665</v>
      </c>
      <c r="N144" s="139"/>
      <c r="O144" s="16"/>
      <c r="P144" s="16"/>
      <c r="Q144" s="16"/>
      <c r="R144" s="16"/>
      <c r="S144" s="16"/>
      <c r="T144" s="16"/>
      <c r="U144" s="16"/>
    </row>
    <row r="145" spans="2:21" ht="15.75" thickBot="1" x14ac:dyDescent="0.3">
      <c r="B145" s="2928"/>
      <c r="C145" s="2933"/>
      <c r="D145" s="2933"/>
      <c r="E145" s="2933"/>
      <c r="F145" s="2933"/>
      <c r="G145" s="2933"/>
      <c r="H145" s="2934"/>
      <c r="I145" s="2300" t="s">
        <v>558</v>
      </c>
      <c r="J145" s="2301" t="s">
        <v>559</v>
      </c>
      <c r="K145" s="2301" t="s">
        <v>560</v>
      </c>
      <c r="L145" s="2302" t="s">
        <v>561</v>
      </c>
      <c r="M145" s="2303" t="s">
        <v>666</v>
      </c>
      <c r="N145" s="139"/>
      <c r="O145" s="16"/>
      <c r="P145" s="16"/>
      <c r="Q145" s="16"/>
      <c r="R145" s="16"/>
      <c r="S145" s="16"/>
      <c r="T145" s="16"/>
      <c r="U145" s="16"/>
    </row>
    <row r="146" spans="2:21" x14ac:dyDescent="0.25">
      <c r="B146" s="2304">
        <v>1</v>
      </c>
      <c r="C146" s="2305" t="s">
        <v>667</v>
      </c>
      <c r="D146" s="2306"/>
      <c r="E146" s="2306"/>
      <c r="F146" s="2306"/>
      <c r="G146" s="2306"/>
      <c r="H146" s="2306"/>
      <c r="I146" s="2307">
        <f>SUM(I147:I151)+I154+I155</f>
        <v>15814</v>
      </c>
      <c r="J146" s="2308">
        <f>SUM(J147:J151)+J154+J155</f>
        <v>10903</v>
      </c>
      <c r="K146" s="2308">
        <f>SUM(K147:K151)+K154+K155</f>
        <v>1188</v>
      </c>
      <c r="L146" s="2309">
        <f>SUM(L147:L151)+L154+L155</f>
        <v>18567</v>
      </c>
      <c r="M146" s="2310">
        <f>SUM(M147:M151)+M154+M155</f>
        <v>8150</v>
      </c>
      <c r="N146" s="139"/>
      <c r="O146" s="16"/>
      <c r="P146" s="16"/>
      <c r="Q146" s="16"/>
      <c r="R146" s="16"/>
      <c r="S146" s="16"/>
      <c r="T146" s="16"/>
      <c r="U146" s="16"/>
    </row>
    <row r="147" spans="2:21" x14ac:dyDescent="0.25">
      <c r="B147" s="2311">
        <f>B146+1</f>
        <v>2</v>
      </c>
      <c r="C147" s="2312" t="s">
        <v>481</v>
      </c>
      <c r="D147" s="2313" t="s">
        <v>489</v>
      </c>
      <c r="E147" s="2314"/>
      <c r="F147" s="2314"/>
      <c r="G147" s="2314"/>
      <c r="H147" s="2314"/>
      <c r="I147" s="2315">
        <f t="shared" ref="I147:L155" si="25">I115-I131</f>
        <v>0</v>
      </c>
      <c r="J147" s="2316">
        <f t="shared" si="25"/>
        <v>0</v>
      </c>
      <c r="K147" s="2316">
        <f t="shared" si="25"/>
        <v>0</v>
      </c>
      <c r="L147" s="2317">
        <f t="shared" si="25"/>
        <v>0</v>
      </c>
      <c r="M147" s="2318">
        <f>I147+J147-L147</f>
        <v>0</v>
      </c>
      <c r="N147" s="139"/>
      <c r="O147" s="16"/>
      <c r="P147" s="16"/>
      <c r="Q147" s="16"/>
      <c r="R147" s="16"/>
      <c r="S147" s="16"/>
      <c r="T147" s="16"/>
      <c r="U147" s="16"/>
    </row>
    <row r="148" spans="2:21" x14ac:dyDescent="0.25">
      <c r="B148" s="2311">
        <f>B147+1</f>
        <v>3</v>
      </c>
      <c r="C148" s="2312"/>
      <c r="D148" s="2313" t="s">
        <v>490</v>
      </c>
      <c r="E148" s="2314"/>
      <c r="F148" s="2314"/>
      <c r="G148" s="2314"/>
      <c r="H148" s="2314"/>
      <c r="I148" s="2315">
        <f t="shared" si="25"/>
        <v>8718</v>
      </c>
      <c r="J148" s="2316">
        <f t="shared" si="25"/>
        <v>2322</v>
      </c>
      <c r="K148" s="2316">
        <f t="shared" si="25"/>
        <v>594</v>
      </c>
      <c r="L148" s="2319">
        <f t="shared" si="25"/>
        <v>5222</v>
      </c>
      <c r="M148" s="2318">
        <f t="shared" ref="M148:M155" si="26">I148+J148-L148</f>
        <v>5818</v>
      </c>
      <c r="N148" s="139"/>
      <c r="O148" s="16"/>
      <c r="P148" s="16"/>
      <c r="Q148" s="16"/>
      <c r="R148" s="16"/>
      <c r="S148" s="16"/>
      <c r="T148" s="16"/>
      <c r="U148" s="16"/>
    </row>
    <row r="149" spans="2:21" x14ac:dyDescent="0.25">
      <c r="B149" s="2311">
        <f>B148+1</f>
        <v>4</v>
      </c>
      <c r="C149" s="2312"/>
      <c r="D149" s="2313" t="s">
        <v>491</v>
      </c>
      <c r="E149" s="2314"/>
      <c r="F149" s="2314"/>
      <c r="G149" s="2314"/>
      <c r="H149" s="2314"/>
      <c r="I149" s="2315">
        <f t="shared" si="25"/>
        <v>2536</v>
      </c>
      <c r="J149" s="2320">
        <f t="shared" si="25"/>
        <v>-2215</v>
      </c>
      <c r="K149" s="2316">
        <f t="shared" si="25"/>
        <v>0</v>
      </c>
      <c r="L149" s="2317">
        <f t="shared" si="25"/>
        <v>1251</v>
      </c>
      <c r="M149" s="2321">
        <f t="shared" si="26"/>
        <v>-930</v>
      </c>
      <c r="N149" s="139"/>
      <c r="O149" s="16"/>
      <c r="P149" s="16"/>
      <c r="Q149" s="16"/>
      <c r="R149" s="16"/>
      <c r="S149" s="16"/>
      <c r="T149" s="16"/>
      <c r="U149" s="16"/>
    </row>
    <row r="150" spans="2:21" x14ac:dyDescent="0.25">
      <c r="B150" s="2311">
        <f>B149+1</f>
        <v>5</v>
      </c>
      <c r="C150" s="2312"/>
      <c r="D150" s="2313" t="s">
        <v>492</v>
      </c>
      <c r="E150" s="2314"/>
      <c r="F150" s="2314"/>
      <c r="G150" s="2314"/>
      <c r="H150" s="2314"/>
      <c r="I150" s="2315">
        <f t="shared" si="25"/>
        <v>3520</v>
      </c>
      <c r="J150" s="2316">
        <f t="shared" si="25"/>
        <v>297</v>
      </c>
      <c r="K150" s="2316">
        <f t="shared" si="25"/>
        <v>297</v>
      </c>
      <c r="L150" s="2319">
        <f t="shared" si="25"/>
        <v>6915</v>
      </c>
      <c r="M150" s="2321">
        <f t="shared" si="26"/>
        <v>-3098</v>
      </c>
      <c r="N150" s="139"/>
      <c r="O150" s="16"/>
      <c r="P150" s="16"/>
      <c r="Q150" s="16"/>
      <c r="R150" s="16"/>
      <c r="S150" s="16"/>
      <c r="T150" s="16"/>
      <c r="U150" s="16"/>
    </row>
    <row r="151" spans="2:21" x14ac:dyDescent="0.25">
      <c r="B151" s="2311">
        <f>B150+1</f>
        <v>6</v>
      </c>
      <c r="C151" s="2312"/>
      <c r="D151" s="2313" t="s">
        <v>493</v>
      </c>
      <c r="E151" s="2314"/>
      <c r="F151" s="2314"/>
      <c r="G151" s="2314"/>
      <c r="H151" s="2314"/>
      <c r="I151" s="2315">
        <f t="shared" si="25"/>
        <v>111</v>
      </c>
      <c r="J151" s="2320">
        <f t="shared" si="25"/>
        <v>-2</v>
      </c>
      <c r="K151" s="2316">
        <f t="shared" si="25"/>
        <v>0</v>
      </c>
      <c r="L151" s="2317">
        <f t="shared" si="25"/>
        <v>110</v>
      </c>
      <c r="M151" s="2321">
        <f t="shared" si="26"/>
        <v>-1</v>
      </c>
      <c r="N151" s="139"/>
      <c r="O151" s="16"/>
      <c r="P151" s="16"/>
      <c r="Q151" s="16"/>
      <c r="R151" s="16"/>
      <c r="S151" s="16"/>
      <c r="T151" s="16"/>
      <c r="U151" s="16"/>
    </row>
    <row r="152" spans="2:21" x14ac:dyDescent="0.25">
      <c r="B152" s="2311" t="s">
        <v>668</v>
      </c>
      <c r="C152" s="2312"/>
      <c r="D152" s="2313" t="s">
        <v>496</v>
      </c>
      <c r="E152" s="2314" t="s">
        <v>497</v>
      </c>
      <c r="F152" s="2314"/>
      <c r="G152" s="2314"/>
      <c r="H152" s="2314"/>
      <c r="I152" s="2315">
        <f t="shared" si="25"/>
        <v>75</v>
      </c>
      <c r="J152" s="2320">
        <f t="shared" si="25"/>
        <v>-261</v>
      </c>
      <c r="K152" s="2316">
        <f t="shared" si="25"/>
        <v>0</v>
      </c>
      <c r="L152" s="2317">
        <f t="shared" si="25"/>
        <v>75</v>
      </c>
      <c r="M152" s="2321">
        <f t="shared" si="26"/>
        <v>-261</v>
      </c>
      <c r="N152" s="139"/>
      <c r="O152" s="16"/>
      <c r="P152" s="16"/>
      <c r="Q152" s="16"/>
      <c r="R152" s="16"/>
      <c r="S152" s="16"/>
      <c r="T152" s="16"/>
      <c r="U152" s="16"/>
    </row>
    <row r="153" spans="2:21" x14ac:dyDescent="0.25">
      <c r="B153" s="2311" t="s">
        <v>669</v>
      </c>
      <c r="C153" s="2312"/>
      <c r="D153" s="2313"/>
      <c r="E153" s="2314" t="s">
        <v>498</v>
      </c>
      <c r="F153" s="2314"/>
      <c r="G153" s="2314"/>
      <c r="H153" s="2314"/>
      <c r="I153" s="2315">
        <f t="shared" si="25"/>
        <v>36</v>
      </c>
      <c r="J153" s="2322">
        <f t="shared" si="25"/>
        <v>259</v>
      </c>
      <c r="K153" s="2316">
        <f t="shared" si="25"/>
        <v>0</v>
      </c>
      <c r="L153" s="2319">
        <f t="shared" si="25"/>
        <v>35</v>
      </c>
      <c r="M153" s="2318">
        <f t="shared" si="26"/>
        <v>260</v>
      </c>
      <c r="N153" s="139"/>
      <c r="O153" s="16"/>
      <c r="P153" s="16"/>
      <c r="Q153" s="16"/>
      <c r="R153" s="16"/>
      <c r="S153" s="16"/>
      <c r="T153" s="16"/>
      <c r="U153" s="16"/>
    </row>
    <row r="154" spans="2:21" x14ac:dyDescent="0.25">
      <c r="B154" s="2311">
        <f>B151+1</f>
        <v>7</v>
      </c>
      <c r="C154" s="2312"/>
      <c r="D154" s="2313" t="s">
        <v>494</v>
      </c>
      <c r="E154" s="2314"/>
      <c r="F154" s="2314"/>
      <c r="G154" s="2314"/>
      <c r="H154" s="2314"/>
      <c r="I154" s="2315">
        <f t="shared" si="25"/>
        <v>0</v>
      </c>
      <c r="J154" s="2316">
        <f t="shared" si="25"/>
        <v>0</v>
      </c>
      <c r="K154" s="2316">
        <f t="shared" si="25"/>
        <v>0</v>
      </c>
      <c r="L154" s="2317">
        <f t="shared" si="25"/>
        <v>0</v>
      </c>
      <c r="M154" s="2318">
        <f t="shared" si="26"/>
        <v>0</v>
      </c>
      <c r="N154" s="139"/>
      <c r="O154" s="16"/>
      <c r="P154" s="16"/>
      <c r="Q154" s="16"/>
      <c r="R154" s="16"/>
      <c r="S154" s="16"/>
      <c r="T154" s="16"/>
      <c r="U154" s="16"/>
    </row>
    <row r="155" spans="2:21" ht="15.75" thickBot="1" x14ac:dyDescent="0.3">
      <c r="B155" s="2323">
        <f>B154+1</f>
        <v>8</v>
      </c>
      <c r="C155" s="2324"/>
      <c r="D155" s="2325" t="s">
        <v>495</v>
      </c>
      <c r="E155" s="2326"/>
      <c r="F155" s="2326"/>
      <c r="G155" s="2326"/>
      <c r="H155" s="2326"/>
      <c r="I155" s="2327">
        <f t="shared" si="25"/>
        <v>929</v>
      </c>
      <c r="J155" s="2328">
        <f t="shared" si="25"/>
        <v>10501</v>
      </c>
      <c r="K155" s="2328">
        <f t="shared" si="25"/>
        <v>297</v>
      </c>
      <c r="L155" s="2329">
        <f t="shared" si="25"/>
        <v>5069</v>
      </c>
      <c r="M155" s="2330">
        <f t="shared" si="26"/>
        <v>6361</v>
      </c>
      <c r="N155" s="139"/>
      <c r="O155" s="16"/>
      <c r="P155" s="16"/>
      <c r="Q155" s="16"/>
      <c r="R155" s="16"/>
      <c r="S155" s="16"/>
      <c r="T155" s="16"/>
      <c r="U155" s="16"/>
    </row>
    <row r="156" spans="2:21" x14ac:dyDescent="0.25">
      <c r="B156" s="139"/>
      <c r="C156" s="139"/>
      <c r="D156" s="139"/>
      <c r="E156" s="139"/>
      <c r="F156" s="139"/>
      <c r="G156" s="139"/>
      <c r="H156" s="139"/>
      <c r="I156" s="139"/>
      <c r="J156" s="139"/>
      <c r="K156" s="139"/>
      <c r="L156" s="139"/>
      <c r="M156" s="139"/>
      <c r="N156" s="139"/>
      <c r="O156" s="16"/>
      <c r="P156" s="16"/>
      <c r="Q156" s="16"/>
      <c r="R156" s="16"/>
      <c r="S156" s="16"/>
      <c r="T156" s="16"/>
      <c r="U156" s="16"/>
    </row>
    <row r="157" spans="2:21" x14ac:dyDescent="0.25">
      <c r="B157" s="2936" t="s">
        <v>1906</v>
      </c>
      <c r="C157" s="2937"/>
      <c r="D157" s="2937"/>
      <c r="E157" s="2937"/>
      <c r="F157" s="2937"/>
      <c r="G157" s="2937"/>
      <c r="H157" s="2937"/>
      <c r="I157" s="2937"/>
      <c r="J157" s="2937"/>
      <c r="K157" s="2937"/>
      <c r="L157" s="2937"/>
      <c r="M157" s="2937"/>
      <c r="N157" s="2938"/>
      <c r="O157" s="16"/>
      <c r="P157" s="16"/>
      <c r="Q157" s="16"/>
      <c r="R157" s="16"/>
      <c r="S157" s="16"/>
      <c r="T157" s="16"/>
      <c r="U157" s="16"/>
    </row>
    <row r="158" spans="2:21" x14ac:dyDescent="0.25">
      <c r="B158" s="2937"/>
      <c r="C158" s="2937"/>
      <c r="D158" s="2937"/>
      <c r="E158" s="2937"/>
      <c r="F158" s="2937"/>
      <c r="G158" s="2937"/>
      <c r="H158" s="2937"/>
      <c r="I158" s="2937"/>
      <c r="J158" s="2937"/>
      <c r="K158" s="2937"/>
      <c r="L158" s="2937"/>
      <c r="M158" s="2937"/>
      <c r="N158" s="2938"/>
      <c r="O158" s="16"/>
      <c r="P158" s="16"/>
      <c r="Q158" s="16"/>
      <c r="R158" s="16"/>
      <c r="S158" s="16"/>
      <c r="T158" s="16"/>
      <c r="U158" s="16"/>
    </row>
    <row r="159" spans="2:21" x14ac:dyDescent="0.25">
      <c r="B159" s="2937"/>
      <c r="C159" s="2937"/>
      <c r="D159" s="2937"/>
      <c r="E159" s="2937"/>
      <c r="F159" s="2937"/>
      <c r="G159" s="2937"/>
      <c r="H159" s="2937"/>
      <c r="I159" s="2937"/>
      <c r="J159" s="2937"/>
      <c r="K159" s="2937"/>
      <c r="L159" s="2937"/>
      <c r="M159" s="2937"/>
      <c r="N159" s="2938"/>
      <c r="O159" s="16"/>
      <c r="P159" s="16"/>
      <c r="Q159" s="16"/>
      <c r="R159" s="16"/>
      <c r="S159" s="16"/>
      <c r="T159" s="16"/>
      <c r="U159" s="16"/>
    </row>
    <row r="160" spans="2:21" x14ac:dyDescent="0.25">
      <c r="B160" s="2937"/>
      <c r="C160" s="2937"/>
      <c r="D160" s="2937"/>
      <c r="E160" s="2937"/>
      <c r="F160" s="2937"/>
      <c r="G160" s="2937"/>
      <c r="H160" s="2937"/>
      <c r="I160" s="2937"/>
      <c r="J160" s="2937"/>
      <c r="K160" s="2937"/>
      <c r="L160" s="2937"/>
      <c r="M160" s="2937"/>
      <c r="N160" s="2938"/>
      <c r="O160" s="16"/>
      <c r="P160" s="16"/>
      <c r="Q160" s="16"/>
      <c r="R160" s="16"/>
      <c r="S160" s="16"/>
      <c r="T160" s="16"/>
      <c r="U160" s="16"/>
    </row>
    <row r="161" spans="2:21" x14ac:dyDescent="0.25">
      <c r="B161" s="2937"/>
      <c r="C161" s="2937"/>
      <c r="D161" s="2937"/>
      <c r="E161" s="2937"/>
      <c r="F161" s="2937"/>
      <c r="G161" s="2937"/>
      <c r="H161" s="2937"/>
      <c r="I161" s="2937"/>
      <c r="J161" s="2937"/>
      <c r="K161" s="2937"/>
      <c r="L161" s="2937"/>
      <c r="M161" s="2937"/>
      <c r="N161" s="2938"/>
      <c r="O161" s="16"/>
      <c r="P161" s="16"/>
      <c r="Q161" s="16"/>
      <c r="R161" s="16"/>
      <c r="S161" s="16"/>
      <c r="T161" s="16"/>
      <c r="U161" s="16"/>
    </row>
    <row r="162" spans="2:21" x14ac:dyDescent="0.25">
      <c r="B162" s="139"/>
      <c r="C162" s="139"/>
      <c r="D162" s="139"/>
      <c r="E162" s="139"/>
      <c r="F162" s="139"/>
      <c r="G162" s="139"/>
      <c r="H162" s="139"/>
      <c r="I162" s="139"/>
      <c r="J162" s="139"/>
      <c r="K162" s="139"/>
      <c r="L162" s="139"/>
      <c r="M162" s="139"/>
      <c r="N162" s="139"/>
      <c r="O162" s="16"/>
      <c r="P162" s="16"/>
      <c r="Q162" s="16"/>
      <c r="R162" s="16"/>
      <c r="S162" s="16"/>
      <c r="T162" s="16"/>
      <c r="U162" s="16"/>
    </row>
    <row r="163" spans="2:21" ht="18.75" x14ac:dyDescent="0.3">
      <c r="B163" s="993"/>
      <c r="C163" s="139"/>
      <c r="D163" s="139"/>
      <c r="E163" s="139"/>
      <c r="F163" s="139"/>
      <c r="G163" s="139"/>
      <c r="H163" s="139"/>
      <c r="I163" s="139"/>
      <c r="J163" s="139"/>
      <c r="K163" s="139"/>
      <c r="L163" s="139"/>
      <c r="M163" s="139"/>
      <c r="N163" s="139"/>
      <c r="O163" s="16"/>
      <c r="P163" s="16"/>
      <c r="Q163" s="16"/>
      <c r="R163" s="16"/>
      <c r="S163" s="16"/>
      <c r="T163" s="16"/>
      <c r="U163" s="16"/>
    </row>
    <row r="164" spans="2:21" x14ac:dyDescent="0.25">
      <c r="B164" s="16"/>
      <c r="C164" s="16"/>
      <c r="D164" s="94"/>
      <c r="E164" s="94"/>
      <c r="F164" s="94"/>
      <c r="G164" s="94"/>
      <c r="H164" s="94"/>
      <c r="I164" s="94"/>
      <c r="J164" s="94"/>
      <c r="K164" s="94"/>
      <c r="L164" s="94"/>
      <c r="M164" s="16"/>
      <c r="N164" s="16"/>
      <c r="O164" s="16"/>
      <c r="P164" s="16"/>
      <c r="Q164" s="16"/>
      <c r="R164" s="16"/>
      <c r="S164" s="16"/>
      <c r="T164" s="16"/>
      <c r="U164" s="16"/>
    </row>
    <row r="165" spans="2:21" x14ac:dyDescent="0.25">
      <c r="B165" s="16"/>
      <c r="C165" s="16"/>
      <c r="D165" s="94"/>
      <c r="E165" s="94"/>
      <c r="F165" s="94"/>
      <c r="G165" s="94"/>
      <c r="H165" s="94"/>
      <c r="I165" s="94"/>
      <c r="J165" s="94"/>
      <c r="K165" s="94"/>
      <c r="L165" s="94"/>
      <c r="M165" s="16"/>
      <c r="N165" s="16"/>
      <c r="O165" s="16"/>
      <c r="P165" s="16"/>
      <c r="Q165" s="16"/>
      <c r="R165" s="16"/>
      <c r="S165" s="16"/>
      <c r="T165" s="16"/>
      <c r="U165" s="16"/>
    </row>
    <row r="166" spans="2:21" x14ac:dyDescent="0.25">
      <c r="B166" s="16"/>
      <c r="C166" s="16"/>
      <c r="D166" s="94"/>
      <c r="E166" s="94"/>
      <c r="F166" s="94"/>
      <c r="G166" s="94"/>
      <c r="H166" s="94"/>
      <c r="I166" s="94"/>
      <c r="J166" s="94"/>
      <c r="K166" s="94"/>
      <c r="L166" s="94"/>
      <c r="M166" s="16"/>
      <c r="N166" s="16"/>
      <c r="O166" s="16"/>
      <c r="P166" s="16"/>
      <c r="Q166" s="16"/>
      <c r="R166" s="16"/>
      <c r="S166" s="16"/>
      <c r="T166" s="16"/>
      <c r="U166" s="16"/>
    </row>
    <row r="167" spans="2:21" x14ac:dyDescent="0.25">
      <c r="B167" s="16"/>
      <c r="C167" s="16"/>
      <c r="D167" s="94"/>
      <c r="E167" s="94"/>
      <c r="F167" s="94"/>
      <c r="G167" s="94"/>
      <c r="H167" s="94"/>
      <c r="I167" s="94"/>
      <c r="J167" s="94"/>
      <c r="K167" s="94"/>
      <c r="L167" s="94"/>
      <c r="M167" s="16"/>
      <c r="N167" s="16"/>
      <c r="O167" s="16"/>
      <c r="P167" s="16"/>
      <c r="Q167" s="16"/>
      <c r="R167" s="16"/>
      <c r="S167" s="16"/>
      <c r="T167" s="16"/>
      <c r="U167" s="16"/>
    </row>
    <row r="168" spans="2:21" x14ac:dyDescent="0.25">
      <c r="B168" s="16"/>
      <c r="C168" s="16"/>
      <c r="D168" s="94"/>
      <c r="E168" s="94"/>
      <c r="F168" s="94"/>
      <c r="G168" s="94"/>
      <c r="H168" s="94"/>
      <c r="I168" s="94"/>
      <c r="J168" s="94"/>
      <c r="K168" s="94"/>
      <c r="L168" s="94"/>
      <c r="M168" s="16"/>
      <c r="N168" s="16"/>
      <c r="O168" s="16"/>
      <c r="P168" s="16"/>
      <c r="Q168" s="16"/>
      <c r="R168" s="16"/>
      <c r="S168" s="16"/>
      <c r="T168" s="16"/>
      <c r="U168" s="16"/>
    </row>
    <row r="169" spans="2:21" x14ac:dyDescent="0.25">
      <c r="B169" s="16"/>
      <c r="C169" s="16"/>
      <c r="D169" s="94"/>
      <c r="E169" s="94"/>
      <c r="F169" s="94"/>
      <c r="G169" s="94"/>
      <c r="H169" s="94"/>
      <c r="I169" s="94"/>
      <c r="J169" s="94"/>
      <c r="K169" s="94"/>
      <c r="L169" s="94"/>
      <c r="M169" s="16"/>
      <c r="N169" s="16"/>
      <c r="O169" s="16"/>
      <c r="P169" s="16"/>
      <c r="Q169" s="16"/>
      <c r="R169" s="16"/>
      <c r="S169" s="16"/>
      <c r="T169" s="16"/>
      <c r="U169" s="16"/>
    </row>
    <row r="170" spans="2:21" x14ac:dyDescent="0.25">
      <c r="B170" s="16"/>
      <c r="C170" s="16"/>
      <c r="D170" s="94"/>
      <c r="E170" s="94"/>
      <c r="F170" s="94"/>
      <c r="G170" s="94"/>
      <c r="H170" s="94"/>
      <c r="I170" s="94"/>
      <c r="J170" s="94"/>
      <c r="K170" s="94"/>
      <c r="L170" s="94"/>
      <c r="M170" s="16"/>
      <c r="N170" s="16"/>
      <c r="O170" s="16"/>
      <c r="P170" s="16"/>
      <c r="Q170" s="16"/>
      <c r="R170" s="16"/>
      <c r="S170" s="16"/>
      <c r="T170" s="16"/>
      <c r="U170" s="16"/>
    </row>
    <row r="171" spans="2:21" x14ac:dyDescent="0.25">
      <c r="B171" s="16"/>
      <c r="C171" s="16"/>
      <c r="D171" s="94"/>
      <c r="E171" s="94"/>
      <c r="F171" s="94"/>
      <c r="G171" s="94"/>
      <c r="H171" s="94"/>
      <c r="I171" s="94"/>
      <c r="J171" s="94"/>
      <c r="K171" s="94"/>
      <c r="L171" s="94"/>
      <c r="M171" s="16"/>
      <c r="N171" s="16"/>
      <c r="O171" s="16"/>
      <c r="P171" s="16"/>
      <c r="Q171" s="16"/>
      <c r="R171" s="16"/>
      <c r="S171" s="16"/>
      <c r="T171" s="16"/>
      <c r="U171" s="16"/>
    </row>
    <row r="172" spans="2:21" x14ac:dyDescent="0.25">
      <c r="B172" s="16"/>
      <c r="C172" s="16"/>
      <c r="D172" s="94"/>
      <c r="E172" s="94"/>
      <c r="F172" s="94"/>
      <c r="G172" s="94"/>
      <c r="H172" s="94"/>
      <c r="I172" s="94"/>
      <c r="J172" s="94"/>
      <c r="K172" s="94"/>
      <c r="L172" s="94"/>
      <c r="M172" s="16"/>
      <c r="N172" s="16"/>
      <c r="O172" s="16"/>
      <c r="P172" s="16"/>
      <c r="Q172" s="16"/>
      <c r="R172" s="16"/>
      <c r="S172" s="16"/>
      <c r="T172" s="16"/>
      <c r="U172" s="16"/>
    </row>
    <row r="173" spans="2:21" x14ac:dyDescent="0.25">
      <c r="B173" s="16"/>
      <c r="C173" s="16"/>
      <c r="D173" s="94"/>
      <c r="E173" s="94"/>
      <c r="F173" s="94"/>
      <c r="G173" s="94"/>
      <c r="H173" s="94"/>
      <c r="I173" s="94"/>
      <c r="J173" s="94"/>
      <c r="K173" s="94"/>
      <c r="L173" s="94"/>
      <c r="M173" s="16"/>
      <c r="N173" s="16"/>
      <c r="O173" s="16"/>
      <c r="P173" s="16"/>
      <c r="Q173" s="16"/>
      <c r="R173" s="16"/>
      <c r="S173" s="16"/>
      <c r="T173" s="16"/>
      <c r="U173" s="16"/>
    </row>
    <row r="174" spans="2:21" x14ac:dyDescent="0.25">
      <c r="B174" s="16"/>
      <c r="C174" s="16"/>
      <c r="D174" s="94"/>
      <c r="E174" s="94"/>
      <c r="F174" s="94"/>
      <c r="G174" s="94"/>
      <c r="H174" s="94"/>
      <c r="I174" s="94"/>
      <c r="J174" s="94"/>
      <c r="K174" s="94"/>
      <c r="L174" s="94"/>
      <c r="M174" s="16"/>
      <c r="N174" s="16"/>
      <c r="O174" s="16"/>
      <c r="P174" s="16"/>
      <c r="Q174" s="16"/>
      <c r="R174" s="16"/>
      <c r="S174" s="16"/>
      <c r="T174" s="16"/>
      <c r="U174" s="16"/>
    </row>
    <row r="175" spans="2:21" x14ac:dyDescent="0.25">
      <c r="B175" s="16"/>
      <c r="C175" s="16"/>
      <c r="D175" s="94"/>
      <c r="E175" s="94"/>
      <c r="F175" s="94"/>
      <c r="G175" s="94"/>
      <c r="H175" s="94"/>
      <c r="I175" s="94"/>
      <c r="J175" s="94"/>
      <c r="K175" s="94"/>
      <c r="L175" s="94"/>
      <c r="M175" s="16"/>
      <c r="N175" s="16"/>
      <c r="O175" s="16"/>
      <c r="P175" s="16"/>
      <c r="Q175" s="16"/>
      <c r="R175" s="16"/>
      <c r="S175" s="16"/>
      <c r="T175" s="16"/>
      <c r="U175" s="16"/>
    </row>
  </sheetData>
  <mergeCells count="36">
    <mergeCell ref="B90:B92"/>
    <mergeCell ref="C90:H92"/>
    <mergeCell ref="I90:I91"/>
    <mergeCell ref="J90:K90"/>
    <mergeCell ref="B67:B69"/>
    <mergeCell ref="C67:H69"/>
    <mergeCell ref="I67:I68"/>
    <mergeCell ref="J67:K67"/>
    <mergeCell ref="N67:N70"/>
    <mergeCell ref="B42:B44"/>
    <mergeCell ref="C42:H44"/>
    <mergeCell ref="J42:K42"/>
    <mergeCell ref="B10:B12"/>
    <mergeCell ref="C10:H12"/>
    <mergeCell ref="I10:I11"/>
    <mergeCell ref="J10:K10"/>
    <mergeCell ref="N10:N13"/>
    <mergeCell ref="B26:B28"/>
    <mergeCell ref="C26:H28"/>
    <mergeCell ref="I26:I27"/>
    <mergeCell ref="J26:K26"/>
    <mergeCell ref="N26:N29"/>
    <mergeCell ref="B111:B113"/>
    <mergeCell ref="C111:H113"/>
    <mergeCell ref="I111:I112"/>
    <mergeCell ref="J111:K111"/>
    <mergeCell ref="N111:N114"/>
    <mergeCell ref="B143:B145"/>
    <mergeCell ref="C143:H145"/>
    <mergeCell ref="J143:K143"/>
    <mergeCell ref="B157:N161"/>
    <mergeCell ref="B127:B129"/>
    <mergeCell ref="C127:H129"/>
    <mergeCell ref="I127:I128"/>
    <mergeCell ref="J127:K127"/>
    <mergeCell ref="N127:N130"/>
  </mergeCells>
  <printOptions horizontalCentered="1" verticalCentered="1"/>
  <pageMargins left="0" right="0" top="0" bottom="0" header="0" footer="0"/>
  <pageSetup paperSize="9" scale="3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pageSetUpPr fitToPage="1"/>
  </sheetPr>
  <dimension ref="A2:M123"/>
  <sheetViews>
    <sheetView workbookViewId="0">
      <selection activeCell="L35" sqref="L35"/>
    </sheetView>
  </sheetViews>
  <sheetFormatPr defaultRowHeight="12.75" x14ac:dyDescent="0.25"/>
  <cols>
    <col min="1" max="1" width="3.5703125" style="16" customWidth="1"/>
    <col min="2" max="2" width="6.28515625" style="16" customWidth="1"/>
    <col min="3" max="3" width="10.5703125" style="94" customWidth="1"/>
    <col min="4" max="4" width="20.7109375" style="94" customWidth="1"/>
    <col min="5" max="5" width="12.28515625" style="94" customWidth="1"/>
    <col min="6" max="6" width="6.140625" style="94" customWidth="1"/>
    <col min="7" max="7" width="8.42578125" style="94" customWidth="1"/>
    <col min="8" max="9" width="12.5703125" style="94" customWidth="1"/>
    <col min="10" max="10" width="11.140625" style="94" customWidth="1"/>
    <col min="11" max="11" width="12.5703125" style="94" customWidth="1"/>
    <col min="12" max="12" width="12" style="16" customWidth="1"/>
    <col min="13" max="16384" width="9.140625" style="16"/>
  </cols>
  <sheetData>
    <row r="2" spans="1:13" ht="15.75" hidden="1" x14ac:dyDescent="0.25">
      <c r="A2" s="11" t="s">
        <v>1164</v>
      </c>
      <c r="B2" s="12"/>
      <c r="C2" s="93"/>
      <c r="D2" s="93"/>
      <c r="E2" s="93"/>
      <c r="F2" s="93"/>
      <c r="G2" s="93"/>
      <c r="H2" s="93"/>
      <c r="I2" s="93"/>
      <c r="J2" s="93"/>
      <c r="K2" s="93"/>
      <c r="L2" s="12"/>
      <c r="M2" s="12"/>
    </row>
    <row r="3" spans="1:13" ht="13.5" hidden="1" thickBot="1" x14ac:dyDescent="0.3">
      <c r="A3" s="12"/>
      <c r="B3" s="12"/>
      <c r="C3" s="93"/>
      <c r="D3" s="93"/>
      <c r="E3" s="93"/>
      <c r="F3" s="93"/>
      <c r="G3" s="93"/>
      <c r="H3" s="93"/>
      <c r="I3" s="93"/>
      <c r="J3" s="93"/>
      <c r="K3" s="93"/>
      <c r="M3" s="184" t="s">
        <v>499</v>
      </c>
    </row>
    <row r="4" spans="1:13" ht="15" hidden="1" customHeight="1" x14ac:dyDescent="0.25">
      <c r="A4" s="2966" t="s">
        <v>479</v>
      </c>
      <c r="B4" s="2963" t="s">
        <v>484</v>
      </c>
      <c r="C4" s="2963"/>
      <c r="D4" s="2963"/>
      <c r="E4" s="2963"/>
      <c r="F4" s="2963"/>
      <c r="G4" s="2963"/>
      <c r="H4" s="2970" t="s">
        <v>1159</v>
      </c>
      <c r="I4" s="2968" t="s">
        <v>486</v>
      </c>
      <c r="J4" s="2969"/>
      <c r="K4" s="362" t="s">
        <v>487</v>
      </c>
      <c r="L4" s="796" t="s">
        <v>485</v>
      </c>
      <c r="M4" s="2781" t="s">
        <v>1166</v>
      </c>
    </row>
    <row r="5" spans="1:13" ht="48.75" hidden="1" customHeight="1" x14ac:dyDescent="0.25">
      <c r="A5" s="2967"/>
      <c r="B5" s="2964"/>
      <c r="C5" s="2964"/>
      <c r="D5" s="2964"/>
      <c r="E5" s="2964"/>
      <c r="F5" s="2964"/>
      <c r="G5" s="2964"/>
      <c r="H5" s="2971"/>
      <c r="I5" s="238" t="s">
        <v>664</v>
      </c>
      <c r="J5" s="803" t="s">
        <v>1165</v>
      </c>
      <c r="K5" s="363" t="s">
        <v>488</v>
      </c>
      <c r="L5" s="797" t="s">
        <v>665</v>
      </c>
      <c r="M5" s="2782"/>
    </row>
    <row r="6" spans="1:13" ht="15.75" hidden="1" customHeight="1" x14ac:dyDescent="0.25">
      <c r="A6" s="720"/>
      <c r="B6" s="2965"/>
      <c r="C6" s="2965"/>
      <c r="D6" s="2965"/>
      <c r="E6" s="2965"/>
      <c r="F6" s="2965"/>
      <c r="G6" s="2965"/>
      <c r="H6" s="397" t="s">
        <v>558</v>
      </c>
      <c r="I6" s="239" t="s">
        <v>559</v>
      </c>
      <c r="J6" s="239" t="s">
        <v>560</v>
      </c>
      <c r="K6" s="239" t="s">
        <v>561</v>
      </c>
      <c r="L6" s="798" t="s">
        <v>666</v>
      </c>
      <c r="M6" s="2782"/>
    </row>
    <row r="7" spans="1:13" hidden="1" x14ac:dyDescent="0.25">
      <c r="A7" s="721">
        <v>1</v>
      </c>
      <c r="B7" s="398" t="s">
        <v>667</v>
      </c>
      <c r="C7" s="240"/>
      <c r="D7" s="240"/>
      <c r="E7" s="240"/>
      <c r="F7" s="240"/>
      <c r="G7" s="401"/>
      <c r="H7" s="269">
        <f>SUM(H8:H12)+H15+H16</f>
        <v>75340</v>
      </c>
      <c r="I7" s="270">
        <f>SUM(I8:I12)+I15+I16</f>
        <v>52097</v>
      </c>
      <c r="J7" s="270">
        <f>SUM(J8:J12)+J15+J16</f>
        <v>26694</v>
      </c>
      <c r="K7" s="270">
        <f>SUM(K8:K12)+K15+K16</f>
        <v>43947</v>
      </c>
      <c r="L7" s="799">
        <f>SUM(L8:L12)+L15+L16</f>
        <v>83490</v>
      </c>
      <c r="M7" s="2972"/>
    </row>
    <row r="8" spans="1:13" hidden="1" x14ac:dyDescent="0.25">
      <c r="A8" s="722">
        <f t="shared" ref="A8:A16" si="0">A7+1</f>
        <v>2</v>
      </c>
      <c r="B8" s="405" t="s">
        <v>481</v>
      </c>
      <c r="C8" s="241" t="s">
        <v>489</v>
      </c>
      <c r="D8" s="242"/>
      <c r="E8" s="242"/>
      <c r="F8" s="242"/>
      <c r="G8" s="402"/>
      <c r="H8" s="339">
        <f>'11.a'!C3</f>
        <v>0</v>
      </c>
      <c r="I8" s="340">
        <f>'11.a'!C8</f>
        <v>0</v>
      </c>
      <c r="J8" s="340">
        <f>'11.a'!C4</f>
        <v>0</v>
      </c>
      <c r="K8" s="340">
        <f>'11.a'!C14</f>
        <v>0</v>
      </c>
      <c r="L8" s="800">
        <f t="shared" ref="L8:L16" si="1">H8+I8-K8</f>
        <v>0</v>
      </c>
      <c r="M8" s="2012"/>
    </row>
    <row r="9" spans="1:13" hidden="1" x14ac:dyDescent="0.25">
      <c r="A9" s="723">
        <f t="shared" si="0"/>
        <v>3</v>
      </c>
      <c r="B9" s="399"/>
      <c r="C9" s="243" t="s">
        <v>490</v>
      </c>
      <c r="D9" s="244"/>
      <c r="E9" s="244"/>
      <c r="F9" s="244"/>
      <c r="G9" s="403"/>
      <c r="H9" s="341">
        <f>'11.b'!C3</f>
        <v>27227</v>
      </c>
      <c r="I9" s="342">
        <f>'11.b'!C14</f>
        <v>22995</v>
      </c>
      <c r="J9" s="349">
        <f>'11.b'!C5</f>
        <v>13347</v>
      </c>
      <c r="K9" s="342">
        <f>'11.b'!C25</f>
        <v>17177</v>
      </c>
      <c r="L9" s="801">
        <f t="shared" si="1"/>
        <v>33045</v>
      </c>
      <c r="M9" s="2012">
        <v>11391</v>
      </c>
    </row>
    <row r="10" spans="1:13" hidden="1" x14ac:dyDescent="0.25">
      <c r="A10" s="723">
        <f t="shared" si="0"/>
        <v>4</v>
      </c>
      <c r="B10" s="399"/>
      <c r="C10" s="243" t="s">
        <v>491</v>
      </c>
      <c r="D10" s="244"/>
      <c r="E10" s="244"/>
      <c r="F10" s="244"/>
      <c r="G10" s="403"/>
      <c r="H10" s="341">
        <f>'11.c'!C3</f>
        <v>4761</v>
      </c>
      <c r="I10" s="342">
        <f>'11.c'!C7</f>
        <v>2439</v>
      </c>
      <c r="J10" s="350">
        <v>0</v>
      </c>
      <c r="K10" s="342">
        <f>'11.c'!C8</f>
        <v>3369</v>
      </c>
      <c r="L10" s="801">
        <f t="shared" si="1"/>
        <v>3831</v>
      </c>
      <c r="M10" s="2012">
        <v>0</v>
      </c>
    </row>
    <row r="11" spans="1:13" hidden="1" x14ac:dyDescent="0.25">
      <c r="A11" s="723">
        <f t="shared" si="0"/>
        <v>5</v>
      </c>
      <c r="B11" s="399"/>
      <c r="C11" s="243" t="s">
        <v>492</v>
      </c>
      <c r="D11" s="244"/>
      <c r="E11" s="244"/>
      <c r="F11" s="244"/>
      <c r="G11" s="403"/>
      <c r="H11" s="341">
        <f>'11.d'!C3</f>
        <v>13126</v>
      </c>
      <c r="I11" s="342">
        <f>'11.d'!C9</f>
        <v>6673</v>
      </c>
      <c r="J11" s="340">
        <f>'11.d'!C4</f>
        <v>6673</v>
      </c>
      <c r="K11" s="342">
        <f>'11.d'!C15</f>
        <v>9771</v>
      </c>
      <c r="L11" s="801">
        <f t="shared" si="1"/>
        <v>10028</v>
      </c>
      <c r="M11" s="2013">
        <v>5696</v>
      </c>
    </row>
    <row r="12" spans="1:13" hidden="1" x14ac:dyDescent="0.25">
      <c r="A12" s="723">
        <f t="shared" si="0"/>
        <v>6</v>
      </c>
      <c r="B12" s="399"/>
      <c r="C12" s="243" t="s">
        <v>493</v>
      </c>
      <c r="D12" s="244"/>
      <c r="E12" s="244"/>
      <c r="F12" s="244"/>
      <c r="G12" s="403"/>
      <c r="H12" s="341">
        <f>'11.e'!F8</f>
        <v>1164</v>
      </c>
      <c r="I12" s="342">
        <f>'11.e'!F13</f>
        <v>1162</v>
      </c>
      <c r="J12" s="350">
        <v>0</v>
      </c>
      <c r="K12" s="342">
        <f>'11.e'!F18</f>
        <v>1163</v>
      </c>
      <c r="L12" s="801">
        <f t="shared" si="1"/>
        <v>1163</v>
      </c>
      <c r="M12" s="2013">
        <v>0</v>
      </c>
    </row>
    <row r="13" spans="1:13" hidden="1" x14ac:dyDescent="0.25">
      <c r="A13" s="723" t="s">
        <v>668</v>
      </c>
      <c r="B13" s="399"/>
      <c r="C13" s="243" t="s">
        <v>496</v>
      </c>
      <c r="D13" s="244" t="s">
        <v>497</v>
      </c>
      <c r="E13" s="244"/>
      <c r="F13" s="244"/>
      <c r="G13" s="403"/>
      <c r="H13" s="341">
        <f>'11.e'!F6</f>
        <v>1118</v>
      </c>
      <c r="I13" s="342">
        <f>'11.e'!F11</f>
        <v>857</v>
      </c>
      <c r="J13" s="350">
        <v>0</v>
      </c>
      <c r="K13" s="342">
        <f>'11.e'!F16</f>
        <v>1118</v>
      </c>
      <c r="L13" s="801">
        <f t="shared" si="1"/>
        <v>857</v>
      </c>
      <c r="M13" s="2013">
        <v>0</v>
      </c>
    </row>
    <row r="14" spans="1:13" hidden="1" x14ac:dyDescent="0.25">
      <c r="A14" s="723" t="s">
        <v>669</v>
      </c>
      <c r="B14" s="399"/>
      <c r="C14" s="243"/>
      <c r="D14" s="244" t="s">
        <v>498</v>
      </c>
      <c r="E14" s="244"/>
      <c r="F14" s="244"/>
      <c r="G14" s="403"/>
      <c r="H14" s="341">
        <f>'11.e'!F7</f>
        <v>46</v>
      </c>
      <c r="I14" s="342">
        <f>'11.e'!F12</f>
        <v>305</v>
      </c>
      <c r="J14" s="350">
        <v>0</v>
      </c>
      <c r="K14" s="342">
        <f>'11.e'!F17</f>
        <v>45</v>
      </c>
      <c r="L14" s="801">
        <f t="shared" si="1"/>
        <v>306</v>
      </c>
      <c r="M14" s="2013">
        <v>0</v>
      </c>
    </row>
    <row r="15" spans="1:13" hidden="1" x14ac:dyDescent="0.25">
      <c r="A15" s="723">
        <f>A12+1</f>
        <v>7</v>
      </c>
      <c r="B15" s="399"/>
      <c r="C15" s="243" t="s">
        <v>494</v>
      </c>
      <c r="D15" s="244"/>
      <c r="E15" s="244"/>
      <c r="F15" s="244"/>
      <c r="G15" s="403"/>
      <c r="H15" s="341">
        <f>'11.f'!C3</f>
        <v>0</v>
      </c>
      <c r="I15" s="342">
        <f>'11.f'!C4</f>
        <v>0</v>
      </c>
      <c r="J15" s="350">
        <v>0</v>
      </c>
      <c r="K15" s="342">
        <f>'11.f'!C10</f>
        <v>0</v>
      </c>
      <c r="L15" s="801">
        <f t="shared" si="1"/>
        <v>0</v>
      </c>
      <c r="M15" s="2013">
        <v>0</v>
      </c>
    </row>
    <row r="16" spans="1:13" ht="13.5" hidden="1" thickBot="1" x14ac:dyDescent="0.3">
      <c r="A16" s="724">
        <f t="shared" si="0"/>
        <v>8</v>
      </c>
      <c r="B16" s="400"/>
      <c r="C16" s="245" t="s">
        <v>495</v>
      </c>
      <c r="D16" s="246"/>
      <c r="E16" s="246"/>
      <c r="F16" s="246"/>
      <c r="G16" s="404"/>
      <c r="H16" s="343">
        <f>'11.g'!C3</f>
        <v>29062</v>
      </c>
      <c r="I16" s="344">
        <f>'11.g'!C10</f>
        <v>18828</v>
      </c>
      <c r="J16" s="344">
        <f>'11.g'!C5</f>
        <v>6674</v>
      </c>
      <c r="K16" s="344">
        <f>'11.g'!C16</f>
        <v>12467</v>
      </c>
      <c r="L16" s="802">
        <f t="shared" si="1"/>
        <v>35423</v>
      </c>
      <c r="M16" s="2014">
        <v>5695</v>
      </c>
    </row>
    <row r="17" spans="1:13" hidden="1" x14ac:dyDescent="0.25">
      <c r="M17" s="2015">
        <f>SUM(M9:M16)</f>
        <v>22782</v>
      </c>
    </row>
    <row r="18" spans="1:13" hidden="1" x14ac:dyDescent="0.25">
      <c r="A18" s="16" t="s">
        <v>638</v>
      </c>
    </row>
    <row r="19" spans="1:13" hidden="1" x14ac:dyDescent="0.25">
      <c r="A19" s="18" t="s">
        <v>1176</v>
      </c>
    </row>
    <row r="20" spans="1:13" hidden="1" x14ac:dyDescent="0.25">
      <c r="A20" s="347" t="s">
        <v>1177</v>
      </c>
      <c r="B20" s="338"/>
      <c r="C20" s="345"/>
      <c r="D20" s="345"/>
      <c r="E20" s="345"/>
      <c r="F20" s="346"/>
      <c r="G20" s="345"/>
      <c r="H20" s="345"/>
      <c r="I20" s="247"/>
      <c r="J20" s="247"/>
    </row>
    <row r="21" spans="1:13" hidden="1" x14ac:dyDescent="0.25">
      <c r="A21" s="26"/>
      <c r="B21" s="247"/>
      <c r="C21" s="247"/>
      <c r="D21" s="247"/>
      <c r="E21" s="247"/>
      <c r="F21" s="247"/>
      <c r="G21" s="247"/>
      <c r="H21" s="247"/>
      <c r="I21" s="247"/>
      <c r="J21" s="247"/>
    </row>
    <row r="22" spans="1:13" hidden="1" x14ac:dyDescent="0.25">
      <c r="A22" s="74" t="s">
        <v>684</v>
      </c>
      <c r="B22" s="749"/>
      <c r="C22" s="749"/>
      <c r="D22" s="247"/>
      <c r="E22" s="247"/>
      <c r="F22" s="26"/>
      <c r="G22" s="247"/>
      <c r="H22" s="247"/>
      <c r="I22" s="247"/>
      <c r="J22" s="247"/>
    </row>
    <row r="23" spans="1:13" hidden="1" x14ac:dyDescent="0.25">
      <c r="A23" s="16" t="s">
        <v>1178</v>
      </c>
      <c r="B23" s="26"/>
      <c r="C23" s="26"/>
      <c r="D23" s="247"/>
      <c r="E23" s="247"/>
      <c r="F23" s="26"/>
      <c r="G23" s="247"/>
      <c r="H23" s="247"/>
      <c r="I23" s="247"/>
      <c r="J23" s="247"/>
    </row>
    <row r="24" spans="1:13" hidden="1" x14ac:dyDescent="0.25">
      <c r="A24" s="16" t="s">
        <v>1179</v>
      </c>
      <c r="B24" s="26"/>
      <c r="C24" s="247"/>
      <c r="D24" s="247"/>
      <c r="E24" s="247"/>
      <c r="F24" s="247"/>
      <c r="G24" s="247"/>
      <c r="H24" s="247"/>
      <c r="I24" s="247"/>
      <c r="J24" s="247"/>
    </row>
    <row r="25" spans="1:13" hidden="1" x14ac:dyDescent="0.25"/>
    <row r="26" spans="1:13" hidden="1" x14ac:dyDescent="0.25"/>
    <row r="27" spans="1:13" hidden="1" x14ac:dyDescent="0.25">
      <c r="A27" s="172"/>
      <c r="B27" s="172"/>
      <c r="C27" s="186"/>
      <c r="D27" s="186"/>
      <c r="E27" s="186"/>
      <c r="F27" s="186"/>
      <c r="G27" s="186"/>
      <c r="H27" s="186"/>
      <c r="I27" s="186"/>
      <c r="J27" s="186"/>
      <c r="K27" s="186"/>
      <c r="L27" s="172"/>
    </row>
    <row r="28" spans="1:13" x14ac:dyDescent="0.25">
      <c r="A28" s="172"/>
      <c r="B28" s="172"/>
      <c r="C28" s="186"/>
      <c r="D28" s="186"/>
      <c r="E28" s="186"/>
      <c r="F28" s="186"/>
      <c r="G28" s="186"/>
      <c r="H28" s="186"/>
      <c r="I28" s="186"/>
      <c r="J28" s="186"/>
      <c r="K28" s="186"/>
      <c r="L28" s="172"/>
    </row>
    <row r="29" spans="1:13" ht="21" x14ac:dyDescent="0.25">
      <c r="A29" s="910" t="s">
        <v>1278</v>
      </c>
      <c r="B29" s="18"/>
      <c r="C29" s="1518"/>
      <c r="D29" s="1518"/>
      <c r="E29" s="1519"/>
      <c r="F29" s="1518"/>
      <c r="G29" s="1518"/>
      <c r="H29" s="1518"/>
      <c r="I29" s="139"/>
      <c r="J29" s="139"/>
      <c r="K29" s="139"/>
      <c r="L29" s="139"/>
      <c r="M29" s="139"/>
    </row>
    <row r="30" spans="1:13" ht="15.75" x14ac:dyDescent="0.25">
      <c r="A30" s="22" t="s">
        <v>1164</v>
      </c>
      <c r="B30" s="17"/>
      <c r="C30" s="1520"/>
      <c r="D30" s="1520"/>
      <c r="E30" s="1520"/>
      <c r="F30" s="1520"/>
      <c r="G30" s="1520"/>
      <c r="H30" s="1520"/>
      <c r="I30" s="139"/>
      <c r="J30" s="139"/>
      <c r="K30" s="139"/>
      <c r="L30" s="139"/>
      <c r="M30" s="139"/>
    </row>
    <row r="31" spans="1:13" ht="15.75" thickBot="1" x14ac:dyDescent="0.3">
      <c r="A31" s="139"/>
      <c r="B31" s="139"/>
      <c r="C31" s="139"/>
      <c r="D31" s="139"/>
      <c r="E31" s="139"/>
      <c r="F31" s="139"/>
      <c r="G31" s="139"/>
      <c r="H31" s="139"/>
      <c r="I31" s="139"/>
      <c r="J31" s="139"/>
      <c r="K31" s="139"/>
      <c r="L31" s="139"/>
      <c r="M31" s="139"/>
    </row>
    <row r="32" spans="1:13" x14ac:dyDescent="0.25">
      <c r="A32" s="2939" t="s">
        <v>479</v>
      </c>
      <c r="B32" s="2942" t="s">
        <v>484</v>
      </c>
      <c r="C32" s="2942"/>
      <c r="D32" s="2942"/>
      <c r="E32" s="2942"/>
      <c r="F32" s="2942"/>
      <c r="G32" s="2942"/>
      <c r="H32" s="2945" t="s">
        <v>1159</v>
      </c>
      <c r="I32" s="2947" t="s">
        <v>486</v>
      </c>
      <c r="J32" s="2948"/>
      <c r="K32" s="938" t="s">
        <v>487</v>
      </c>
      <c r="L32" s="939" t="s">
        <v>485</v>
      </c>
      <c r="M32" s="2949" t="s">
        <v>1296</v>
      </c>
    </row>
    <row r="33" spans="1:13" ht="36" x14ac:dyDescent="0.25">
      <c r="A33" s="2940"/>
      <c r="B33" s="2943"/>
      <c r="C33" s="2943"/>
      <c r="D33" s="2943"/>
      <c r="E33" s="2943"/>
      <c r="F33" s="2943"/>
      <c r="G33" s="2943"/>
      <c r="H33" s="2946"/>
      <c r="I33" s="940" t="s">
        <v>664</v>
      </c>
      <c r="J33" s="941" t="s">
        <v>1165</v>
      </c>
      <c r="K33" s="940" t="s">
        <v>488</v>
      </c>
      <c r="L33" s="942" t="s">
        <v>665</v>
      </c>
      <c r="M33" s="2950"/>
    </row>
    <row r="34" spans="1:13" x14ac:dyDescent="0.25">
      <c r="A34" s="2941"/>
      <c r="B34" s="2952"/>
      <c r="C34" s="2952"/>
      <c r="D34" s="2952"/>
      <c r="E34" s="2952"/>
      <c r="F34" s="2952"/>
      <c r="G34" s="2952"/>
      <c r="H34" s="943" t="s">
        <v>558</v>
      </c>
      <c r="I34" s="944" t="s">
        <v>559</v>
      </c>
      <c r="J34" s="944" t="s">
        <v>560</v>
      </c>
      <c r="K34" s="944" t="s">
        <v>561</v>
      </c>
      <c r="L34" s="945" t="s">
        <v>666</v>
      </c>
      <c r="M34" s="2950"/>
    </row>
    <row r="35" spans="1:13" x14ac:dyDescent="0.25">
      <c r="A35" s="946">
        <v>1</v>
      </c>
      <c r="B35" s="947" t="s">
        <v>667</v>
      </c>
      <c r="C35" s="948"/>
      <c r="D35" s="948"/>
      <c r="E35" s="948"/>
      <c r="F35" s="948"/>
      <c r="G35" s="949"/>
      <c r="H35" s="950">
        <f>SUM(H36:H40)+H43+H44</f>
        <v>75340</v>
      </c>
      <c r="I35" s="951">
        <f>SUM(I36:I40)+I43+I44</f>
        <v>52097</v>
      </c>
      <c r="J35" s="951">
        <f>SUM(J36:J40)+J43+J44</f>
        <v>26694</v>
      </c>
      <c r="K35" s="951">
        <f>SUM(K36:K40)+K43+K44</f>
        <v>43947</v>
      </c>
      <c r="L35" s="950">
        <f>SUM(L36:L40)+L43+L44</f>
        <v>83490</v>
      </c>
      <c r="M35" s="2951"/>
    </row>
    <row r="36" spans="1:13" x14ac:dyDescent="0.25">
      <c r="A36" s="952">
        <f>A35+1</f>
        <v>2</v>
      </c>
      <c r="B36" s="953" t="s">
        <v>481</v>
      </c>
      <c r="C36" s="954" t="s">
        <v>489</v>
      </c>
      <c r="D36" s="955"/>
      <c r="E36" s="955"/>
      <c r="F36" s="955"/>
      <c r="G36" s="956"/>
      <c r="H36" s="957">
        <v>0</v>
      </c>
      <c r="I36" s="958">
        <v>0</v>
      </c>
      <c r="J36" s="958">
        <v>0</v>
      </c>
      <c r="K36" s="958">
        <v>0</v>
      </c>
      <c r="L36" s="959">
        <f t="shared" ref="L36:L44" si="2">H36+I36-K36</f>
        <v>0</v>
      </c>
      <c r="M36" s="960">
        <v>0</v>
      </c>
    </row>
    <row r="37" spans="1:13" x14ac:dyDescent="0.25">
      <c r="A37" s="961">
        <f>A36+1</f>
        <v>3</v>
      </c>
      <c r="B37" s="962"/>
      <c r="C37" s="963" t="s">
        <v>490</v>
      </c>
      <c r="D37" s="964"/>
      <c r="E37" s="964"/>
      <c r="F37" s="964"/>
      <c r="G37" s="965"/>
      <c r="H37" s="966">
        <v>27227</v>
      </c>
      <c r="I37" s="967">
        <v>22995</v>
      </c>
      <c r="J37" s="968">
        <v>13347</v>
      </c>
      <c r="K37" s="967">
        <v>17177</v>
      </c>
      <c r="L37" s="969">
        <f t="shared" si="2"/>
        <v>33045</v>
      </c>
      <c r="M37" s="970">
        <v>11391</v>
      </c>
    </row>
    <row r="38" spans="1:13" x14ac:dyDescent="0.25">
      <c r="A38" s="961">
        <f>A37+1</f>
        <v>4</v>
      </c>
      <c r="B38" s="962"/>
      <c r="C38" s="963" t="s">
        <v>491</v>
      </c>
      <c r="D38" s="964"/>
      <c r="E38" s="964"/>
      <c r="F38" s="964"/>
      <c r="G38" s="965"/>
      <c r="H38" s="966">
        <v>4761</v>
      </c>
      <c r="I38" s="991">
        <v>2439</v>
      </c>
      <c r="J38" s="2440">
        <v>0</v>
      </c>
      <c r="K38" s="991">
        <v>3369</v>
      </c>
      <c r="L38" s="969">
        <f t="shared" si="2"/>
        <v>3831</v>
      </c>
      <c r="M38" s="970">
        <v>0</v>
      </c>
    </row>
    <row r="39" spans="1:13" x14ac:dyDescent="0.25">
      <c r="A39" s="961">
        <f>A38+1</f>
        <v>5</v>
      </c>
      <c r="B39" s="962"/>
      <c r="C39" s="963" t="s">
        <v>492</v>
      </c>
      <c r="D39" s="964"/>
      <c r="E39" s="964"/>
      <c r="F39" s="964"/>
      <c r="G39" s="965"/>
      <c r="H39" s="966">
        <v>13126</v>
      </c>
      <c r="I39" s="991">
        <v>6673</v>
      </c>
      <c r="J39" s="2441">
        <v>6673</v>
      </c>
      <c r="K39" s="991">
        <v>9771</v>
      </c>
      <c r="L39" s="969">
        <f t="shared" si="2"/>
        <v>10028</v>
      </c>
      <c r="M39" s="972">
        <v>5696</v>
      </c>
    </row>
    <row r="40" spans="1:13" x14ac:dyDescent="0.25">
      <c r="A40" s="961">
        <f>A39+1</f>
        <v>6</v>
      </c>
      <c r="B40" s="962"/>
      <c r="C40" s="963" t="s">
        <v>493</v>
      </c>
      <c r="D40" s="964"/>
      <c r="E40" s="964"/>
      <c r="F40" s="964"/>
      <c r="G40" s="965"/>
      <c r="H40" s="966">
        <v>1164</v>
      </c>
      <c r="I40" s="991">
        <v>1162</v>
      </c>
      <c r="J40" s="2440">
        <v>0</v>
      </c>
      <c r="K40" s="991">
        <v>1163</v>
      </c>
      <c r="L40" s="969">
        <f t="shared" si="2"/>
        <v>1163</v>
      </c>
      <c r="M40" s="972">
        <v>0</v>
      </c>
    </row>
    <row r="41" spans="1:13" x14ac:dyDescent="0.25">
      <c r="A41" s="961" t="s">
        <v>668</v>
      </c>
      <c r="B41" s="962"/>
      <c r="C41" s="963" t="s">
        <v>496</v>
      </c>
      <c r="D41" s="964" t="s">
        <v>497</v>
      </c>
      <c r="E41" s="964"/>
      <c r="F41" s="964"/>
      <c r="G41" s="965"/>
      <c r="H41" s="966">
        <f>1118</f>
        <v>1118</v>
      </c>
      <c r="I41" s="991">
        <v>857</v>
      </c>
      <c r="J41" s="2440">
        <v>0</v>
      </c>
      <c r="K41" s="991">
        <v>1118</v>
      </c>
      <c r="L41" s="969">
        <f t="shared" si="2"/>
        <v>857</v>
      </c>
      <c r="M41" s="972">
        <v>0</v>
      </c>
    </row>
    <row r="42" spans="1:13" x14ac:dyDescent="0.25">
      <c r="A42" s="961" t="s">
        <v>669</v>
      </c>
      <c r="B42" s="962"/>
      <c r="C42" s="963"/>
      <c r="D42" s="964" t="s">
        <v>498</v>
      </c>
      <c r="E42" s="964"/>
      <c r="F42" s="964"/>
      <c r="G42" s="965"/>
      <c r="H42" s="966">
        <v>46</v>
      </c>
      <c r="I42" s="991">
        <v>305</v>
      </c>
      <c r="J42" s="2440">
        <v>0</v>
      </c>
      <c r="K42" s="991">
        <v>45</v>
      </c>
      <c r="L42" s="969">
        <f t="shared" si="2"/>
        <v>306</v>
      </c>
      <c r="M42" s="972">
        <v>0</v>
      </c>
    </row>
    <row r="43" spans="1:13" x14ac:dyDescent="0.25">
      <c r="A43" s="973">
        <f>A40+1</f>
        <v>7</v>
      </c>
      <c r="B43" s="974"/>
      <c r="C43" s="975" t="s">
        <v>494</v>
      </c>
      <c r="D43" s="976"/>
      <c r="E43" s="976"/>
      <c r="F43" s="976"/>
      <c r="G43" s="977"/>
      <c r="H43" s="978">
        <v>0</v>
      </c>
      <c r="I43" s="2442">
        <v>0</v>
      </c>
      <c r="J43" s="2443">
        <v>0</v>
      </c>
      <c r="K43" s="2442">
        <v>0</v>
      </c>
      <c r="L43" s="980">
        <f t="shared" si="2"/>
        <v>0</v>
      </c>
      <c r="M43" s="972">
        <v>0</v>
      </c>
    </row>
    <row r="44" spans="1:13" ht="13.5" thickBot="1" x14ac:dyDescent="0.3">
      <c r="A44" s="981">
        <f>A43+1</f>
        <v>8</v>
      </c>
      <c r="B44" s="982"/>
      <c r="C44" s="983" t="s">
        <v>495</v>
      </c>
      <c r="D44" s="984"/>
      <c r="E44" s="984"/>
      <c r="F44" s="984"/>
      <c r="G44" s="985"/>
      <c r="H44" s="986">
        <v>29062</v>
      </c>
      <c r="I44" s="2444">
        <v>18828</v>
      </c>
      <c r="J44" s="2444">
        <v>6674</v>
      </c>
      <c r="K44" s="2444">
        <v>12467</v>
      </c>
      <c r="L44" s="988">
        <f t="shared" si="2"/>
        <v>35423</v>
      </c>
      <c r="M44" s="989">
        <v>5695</v>
      </c>
    </row>
    <row r="45" spans="1:13" x14ac:dyDescent="0.25">
      <c r="A45" s="2019"/>
      <c r="B45" s="2020"/>
      <c r="C45" s="2021"/>
      <c r="D45" s="812"/>
      <c r="E45" s="812"/>
      <c r="F45" s="812"/>
      <c r="G45" s="812"/>
      <c r="H45" s="2022"/>
      <c r="I45" s="2022"/>
      <c r="J45" s="2022"/>
      <c r="K45" s="2022"/>
      <c r="L45" s="2022"/>
      <c r="M45" s="2023"/>
    </row>
    <row r="46" spans="1:13" ht="15" x14ac:dyDescent="0.25">
      <c r="A46" s="2331" t="s">
        <v>1907</v>
      </c>
      <c r="B46" s="2332"/>
      <c r="C46" s="2333"/>
      <c r="D46" s="2334"/>
      <c r="E46" s="2334"/>
      <c r="F46" s="2046"/>
      <c r="G46" s="2334"/>
      <c r="H46" s="2335"/>
      <c r="I46" s="2335"/>
      <c r="J46" s="2335"/>
      <c r="K46" s="2335"/>
      <c r="L46" s="2335"/>
      <c r="M46" s="2336"/>
    </row>
    <row r="47" spans="1:13" ht="12.75" customHeight="1" x14ac:dyDescent="0.25">
      <c r="A47" s="2973" t="s">
        <v>1906</v>
      </c>
      <c r="B47" s="2639"/>
      <c r="C47" s="2639"/>
      <c r="D47" s="2639"/>
      <c r="E47" s="2639"/>
      <c r="F47" s="2639"/>
      <c r="G47" s="2639"/>
      <c r="H47" s="2639"/>
      <c r="I47" s="2639"/>
      <c r="J47" s="2639"/>
      <c r="K47" s="2639"/>
      <c r="L47" s="2639"/>
      <c r="M47" s="2974"/>
    </row>
    <row r="48" spans="1:13" ht="12.75" customHeight="1" x14ac:dyDescent="0.25">
      <c r="A48" s="2639"/>
      <c r="B48" s="2639"/>
      <c r="C48" s="2639"/>
      <c r="D48" s="2639"/>
      <c r="E48" s="2639"/>
      <c r="F48" s="2639"/>
      <c r="G48" s="2639"/>
      <c r="H48" s="2639"/>
      <c r="I48" s="2639"/>
      <c r="J48" s="2639"/>
      <c r="K48" s="2639"/>
      <c r="L48" s="2639"/>
      <c r="M48" s="2974"/>
    </row>
    <row r="49" spans="1:13" ht="12.75" customHeight="1" x14ac:dyDescent="0.25">
      <c r="A49" s="2639"/>
      <c r="B49" s="2639"/>
      <c r="C49" s="2639"/>
      <c r="D49" s="2639"/>
      <c r="E49" s="2639"/>
      <c r="F49" s="2639"/>
      <c r="G49" s="2639"/>
      <c r="H49" s="2639"/>
      <c r="I49" s="2639"/>
      <c r="J49" s="2639"/>
      <c r="K49" s="2639"/>
      <c r="L49" s="2639"/>
      <c r="M49" s="2974"/>
    </row>
    <row r="50" spans="1:13" ht="12.75" customHeight="1" x14ac:dyDescent="0.25">
      <c r="A50" s="2639"/>
      <c r="B50" s="2639"/>
      <c r="C50" s="2639"/>
      <c r="D50" s="2639"/>
      <c r="E50" s="2639"/>
      <c r="F50" s="2639"/>
      <c r="G50" s="2639"/>
      <c r="H50" s="2639"/>
      <c r="I50" s="2639"/>
      <c r="J50" s="2639"/>
      <c r="K50" s="2639"/>
      <c r="L50" s="2639"/>
      <c r="M50" s="2974"/>
    </row>
    <row r="51" spans="1:13" ht="12.75" customHeight="1" x14ac:dyDescent="0.25">
      <c r="A51" s="2639"/>
      <c r="B51" s="2639"/>
      <c r="C51" s="2639"/>
      <c r="D51" s="2639"/>
      <c r="E51" s="2639"/>
      <c r="F51" s="2639"/>
      <c r="G51" s="2639"/>
      <c r="H51" s="2639"/>
      <c r="I51" s="2639"/>
      <c r="J51" s="2639"/>
      <c r="K51" s="2639"/>
      <c r="L51" s="2639"/>
      <c r="M51" s="2974"/>
    </row>
    <row r="52" spans="1:13" x14ac:dyDescent="0.25">
      <c r="A52" s="2019"/>
      <c r="B52" s="2020"/>
      <c r="C52" s="2021"/>
      <c r="D52" s="812"/>
      <c r="E52" s="812"/>
      <c r="F52" s="812"/>
      <c r="G52" s="812"/>
      <c r="H52" s="2022"/>
      <c r="I52" s="2022"/>
      <c r="J52" s="2022"/>
      <c r="K52" s="2022"/>
      <c r="L52" s="2022"/>
      <c r="M52" s="2023"/>
    </row>
    <row r="53" spans="1:13" ht="15" x14ac:dyDescent="0.25">
      <c r="A53" s="139"/>
      <c r="B53" s="139"/>
      <c r="C53" s="139"/>
      <c r="D53" s="139"/>
      <c r="E53" s="139"/>
      <c r="F53" s="139"/>
      <c r="G53" s="139"/>
      <c r="H53" s="139"/>
      <c r="I53" s="139"/>
      <c r="J53" s="139"/>
      <c r="K53" s="139"/>
      <c r="L53" s="139"/>
      <c r="M53" s="905"/>
    </row>
    <row r="54" spans="1:13" ht="15" x14ac:dyDescent="0.25">
      <c r="A54" s="18" t="s">
        <v>638</v>
      </c>
      <c r="B54" s="18"/>
      <c r="C54" s="1518"/>
      <c r="D54" s="1518"/>
      <c r="E54" s="1518"/>
      <c r="F54" s="1518"/>
      <c r="G54" s="1518"/>
      <c r="H54" s="1518"/>
      <c r="I54" s="1518"/>
      <c r="J54" s="1518"/>
      <c r="K54" s="1518"/>
      <c r="L54" s="18"/>
      <c r="M54" s="139"/>
    </row>
    <row r="55" spans="1:13" ht="15" x14ac:dyDescent="0.25">
      <c r="A55" s="18" t="s">
        <v>1517</v>
      </c>
      <c r="B55" s="18"/>
      <c r="C55" s="1518"/>
      <c r="D55" s="1518"/>
      <c r="E55" s="1518"/>
      <c r="F55" s="1518"/>
      <c r="G55" s="1518"/>
      <c r="H55" s="1518"/>
      <c r="I55" s="1518"/>
      <c r="J55" s="1518"/>
      <c r="K55" s="1518"/>
      <c r="L55" s="18"/>
      <c r="M55" s="139"/>
    </row>
    <row r="56" spans="1:13" ht="15" x14ac:dyDescent="0.25">
      <c r="A56" s="1521" t="s">
        <v>684</v>
      </c>
      <c r="B56" s="1522"/>
      <c r="C56" s="1522"/>
      <c r="D56" s="1523"/>
      <c r="E56" s="1523"/>
      <c r="F56" s="1524"/>
      <c r="G56" s="1523"/>
      <c r="H56" s="1523"/>
      <c r="I56" s="1523"/>
      <c r="J56" s="1523"/>
      <c r="K56" s="1518"/>
      <c r="L56" s="18"/>
      <c r="M56" s="139"/>
    </row>
    <row r="57" spans="1:13" ht="15" x14ac:dyDescent="0.25">
      <c r="A57" s="18" t="s">
        <v>1518</v>
      </c>
      <c r="B57" s="1524"/>
      <c r="C57" s="1524"/>
      <c r="D57" s="1523"/>
      <c r="E57" s="1523"/>
      <c r="F57" s="1524"/>
      <c r="G57" s="1523"/>
      <c r="H57" s="1523"/>
      <c r="I57" s="1523"/>
      <c r="J57" s="1523"/>
      <c r="K57" s="1518"/>
      <c r="L57" s="18"/>
      <c r="M57" s="139"/>
    </row>
    <row r="58" spans="1:13" ht="15" x14ac:dyDescent="0.25">
      <c r="A58" s="18" t="s">
        <v>1519</v>
      </c>
      <c r="B58" s="1524"/>
      <c r="C58" s="1523"/>
      <c r="D58" s="1523"/>
      <c r="E58" s="1523"/>
      <c r="F58" s="1523"/>
      <c r="G58" s="1523"/>
      <c r="H58" s="1523"/>
      <c r="I58" s="1523"/>
      <c r="J58" s="1523"/>
      <c r="K58" s="1518"/>
      <c r="L58" s="18"/>
      <c r="M58" s="139"/>
    </row>
    <row r="59" spans="1:13" ht="15" x14ac:dyDescent="0.25">
      <c r="A59" s="18"/>
      <c r="B59" s="18"/>
      <c r="C59" s="1518"/>
      <c r="D59" s="1518"/>
      <c r="E59" s="1518"/>
      <c r="F59" s="1518"/>
      <c r="G59" s="1518"/>
      <c r="H59" s="1518"/>
      <c r="I59" s="1518"/>
      <c r="J59" s="1518"/>
      <c r="K59" s="1518"/>
      <c r="L59" s="18"/>
      <c r="M59" s="139"/>
    </row>
    <row r="60" spans="1:13" ht="15.75" x14ac:dyDescent="0.25">
      <c r="A60" s="18"/>
      <c r="B60" s="18"/>
      <c r="C60" s="1518"/>
      <c r="D60" s="1518"/>
      <c r="E60" s="1518"/>
      <c r="F60" s="1518"/>
      <c r="G60" s="1518"/>
      <c r="H60" s="1518"/>
      <c r="I60" s="1128" t="s">
        <v>1325</v>
      </c>
      <c r="J60" s="1129"/>
      <c r="K60" s="1130"/>
      <c r="L60" s="1130"/>
      <c r="M60" s="139"/>
    </row>
    <row r="61" spans="1:13" ht="15" x14ac:dyDescent="0.25">
      <c r="A61" s="18"/>
      <c r="B61" s="18"/>
      <c r="C61" s="1518"/>
      <c r="D61" s="1518"/>
      <c r="E61" s="1518"/>
      <c r="F61" s="1518"/>
      <c r="G61" s="1518"/>
      <c r="H61" s="1518"/>
      <c r="I61" s="1131" t="s">
        <v>1327</v>
      </c>
      <c r="J61" s="1131"/>
      <c r="K61" s="1132"/>
      <c r="L61" s="1132"/>
      <c r="M61" s="139"/>
    </row>
    <row r="62" spans="1:13" ht="15" x14ac:dyDescent="0.25">
      <c r="A62" s="18"/>
      <c r="B62" s="18"/>
      <c r="C62" s="1518"/>
      <c r="D62" s="1518"/>
      <c r="E62" s="1518"/>
      <c r="F62" s="1518"/>
      <c r="G62" s="1518"/>
      <c r="H62" s="1518"/>
      <c r="I62" s="1131" t="s">
        <v>1328</v>
      </c>
      <c r="J62" s="1131"/>
      <c r="K62" s="1132"/>
      <c r="L62" s="1132"/>
      <c r="M62" s="139"/>
    </row>
    <row r="69" spans="1:13" ht="18.75" hidden="1" x14ac:dyDescent="0.3">
      <c r="A69" s="990" t="s">
        <v>1297</v>
      </c>
    </row>
    <row r="70" spans="1:13" ht="13.5" hidden="1" thickBot="1" x14ac:dyDescent="0.3"/>
    <row r="71" spans="1:13" hidden="1" x14ac:dyDescent="0.25">
      <c r="A71" s="2939" t="s">
        <v>479</v>
      </c>
      <c r="B71" s="2942" t="s">
        <v>484</v>
      </c>
      <c r="C71" s="2942"/>
      <c r="D71" s="2942"/>
      <c r="E71" s="2942"/>
      <c r="F71" s="2942"/>
      <c r="G71" s="2942"/>
      <c r="H71" s="2945" t="s">
        <v>1159</v>
      </c>
      <c r="I71" s="2947" t="s">
        <v>486</v>
      </c>
      <c r="J71" s="2948"/>
      <c r="K71" s="938" t="s">
        <v>487</v>
      </c>
      <c r="L71" s="939" t="s">
        <v>485</v>
      </c>
      <c r="M71" s="2949" t="s">
        <v>1296</v>
      </c>
    </row>
    <row r="72" spans="1:13" ht="36" hidden="1" x14ac:dyDescent="0.25">
      <c r="A72" s="2940"/>
      <c r="B72" s="2943"/>
      <c r="C72" s="2943"/>
      <c r="D72" s="2943"/>
      <c r="E72" s="2943"/>
      <c r="F72" s="2943"/>
      <c r="G72" s="2943"/>
      <c r="H72" s="2946"/>
      <c r="I72" s="940" t="s">
        <v>664</v>
      </c>
      <c r="J72" s="941" t="s">
        <v>1165</v>
      </c>
      <c r="K72" s="940" t="s">
        <v>488</v>
      </c>
      <c r="L72" s="942" t="s">
        <v>665</v>
      </c>
      <c r="M72" s="2950"/>
    </row>
    <row r="73" spans="1:13" hidden="1" x14ac:dyDescent="0.25">
      <c r="A73" s="2941"/>
      <c r="B73" s="2952"/>
      <c r="C73" s="2952"/>
      <c r="D73" s="2952"/>
      <c r="E73" s="2952"/>
      <c r="F73" s="2952"/>
      <c r="G73" s="2952"/>
      <c r="H73" s="943" t="s">
        <v>558</v>
      </c>
      <c r="I73" s="944" t="s">
        <v>559</v>
      </c>
      <c r="J73" s="944" t="s">
        <v>560</v>
      </c>
      <c r="K73" s="944" t="s">
        <v>561</v>
      </c>
      <c r="L73" s="945" t="s">
        <v>666</v>
      </c>
      <c r="M73" s="2950"/>
    </row>
    <row r="74" spans="1:13" hidden="1" x14ac:dyDescent="0.25">
      <c r="A74" s="946">
        <v>1</v>
      </c>
      <c r="B74" s="947" t="s">
        <v>667</v>
      </c>
      <c r="C74" s="948"/>
      <c r="D74" s="948"/>
      <c r="E74" s="948"/>
      <c r="F74" s="948"/>
      <c r="G74" s="949"/>
      <c r="H74" s="950">
        <f>SUM(H75:H79)+H82+H83</f>
        <v>75340</v>
      </c>
      <c r="I74" s="951">
        <f>SUM(I75:I79)+I82+I83</f>
        <v>52097</v>
      </c>
      <c r="J74" s="951">
        <f>SUM(J75:J79)+J82+J83</f>
        <v>26694</v>
      </c>
      <c r="K74" s="951">
        <f>SUM(K75:K79)+K82+K83</f>
        <v>43947</v>
      </c>
      <c r="L74" s="950">
        <f>SUM(L75:L79)+L82+L83</f>
        <v>83490</v>
      </c>
      <c r="M74" s="2951"/>
    </row>
    <row r="75" spans="1:13" hidden="1" x14ac:dyDescent="0.25">
      <c r="A75" s="952">
        <f>A74+1</f>
        <v>2</v>
      </c>
      <c r="B75" s="953" t="s">
        <v>481</v>
      </c>
      <c r="C75" s="954" t="s">
        <v>489</v>
      </c>
      <c r="D75" s="955"/>
      <c r="E75" s="955"/>
      <c r="F75" s="955"/>
      <c r="G75" s="956"/>
      <c r="H75" s="957">
        <v>0</v>
      </c>
      <c r="I75" s="958">
        <v>0</v>
      </c>
      <c r="J75" s="958">
        <v>0</v>
      </c>
      <c r="K75" s="958">
        <v>0</v>
      </c>
      <c r="L75" s="959">
        <f t="shared" ref="L75:L83" si="3">H75+I75-K75</f>
        <v>0</v>
      </c>
      <c r="M75" s="960">
        <v>0</v>
      </c>
    </row>
    <row r="76" spans="1:13" hidden="1" x14ac:dyDescent="0.25">
      <c r="A76" s="961">
        <f>A75+1</f>
        <v>3</v>
      </c>
      <c r="B76" s="962"/>
      <c r="C76" s="963" t="s">
        <v>490</v>
      </c>
      <c r="D76" s="964"/>
      <c r="E76" s="964"/>
      <c r="F76" s="964"/>
      <c r="G76" s="965"/>
      <c r="H76" s="966">
        <v>27227</v>
      </c>
      <c r="I76" s="967">
        <v>22995</v>
      </c>
      <c r="J76" s="968">
        <v>13347</v>
      </c>
      <c r="K76" s="967">
        <v>17177</v>
      </c>
      <c r="L76" s="969">
        <f t="shared" si="3"/>
        <v>33045</v>
      </c>
      <c r="M76" s="970">
        <v>11391</v>
      </c>
    </row>
    <row r="77" spans="1:13" hidden="1" x14ac:dyDescent="0.25">
      <c r="A77" s="961">
        <f>A76+1</f>
        <v>4</v>
      </c>
      <c r="B77" s="962"/>
      <c r="C77" s="963" t="s">
        <v>491</v>
      </c>
      <c r="D77" s="964"/>
      <c r="E77" s="964"/>
      <c r="F77" s="964"/>
      <c r="G77" s="965"/>
      <c r="H77" s="966">
        <v>4761</v>
      </c>
      <c r="I77" s="2017">
        <v>2439</v>
      </c>
      <c r="J77" s="971">
        <v>0</v>
      </c>
      <c r="K77" s="967">
        <v>3369</v>
      </c>
      <c r="L77" s="969">
        <f t="shared" si="3"/>
        <v>3831</v>
      </c>
      <c r="M77" s="970">
        <v>0</v>
      </c>
    </row>
    <row r="78" spans="1:13" hidden="1" x14ac:dyDescent="0.25">
      <c r="A78" s="961">
        <f>A77+1</f>
        <v>5</v>
      </c>
      <c r="B78" s="962"/>
      <c r="C78" s="963" t="s">
        <v>492</v>
      </c>
      <c r="D78" s="964"/>
      <c r="E78" s="964"/>
      <c r="F78" s="964"/>
      <c r="G78" s="965"/>
      <c r="H78" s="966">
        <v>13126</v>
      </c>
      <c r="I78" s="967">
        <v>6673</v>
      </c>
      <c r="J78" s="958">
        <v>6673</v>
      </c>
      <c r="K78" s="991">
        <v>9771</v>
      </c>
      <c r="L78" s="969">
        <f t="shared" si="3"/>
        <v>10028</v>
      </c>
      <c r="M78" s="972">
        <v>5696</v>
      </c>
    </row>
    <row r="79" spans="1:13" hidden="1" x14ac:dyDescent="0.25">
      <c r="A79" s="961">
        <f>A78+1</f>
        <v>6</v>
      </c>
      <c r="B79" s="962"/>
      <c r="C79" s="963" t="s">
        <v>493</v>
      </c>
      <c r="D79" s="964"/>
      <c r="E79" s="964"/>
      <c r="F79" s="964"/>
      <c r="G79" s="965"/>
      <c r="H79" s="966">
        <v>1164</v>
      </c>
      <c r="I79" s="967">
        <v>1162</v>
      </c>
      <c r="J79" s="971">
        <v>0</v>
      </c>
      <c r="K79" s="967">
        <v>1163</v>
      </c>
      <c r="L79" s="969">
        <f t="shared" si="3"/>
        <v>1163</v>
      </c>
      <c r="M79" s="972">
        <v>0</v>
      </c>
    </row>
    <row r="80" spans="1:13" hidden="1" x14ac:dyDescent="0.25">
      <c r="A80" s="961" t="s">
        <v>668</v>
      </c>
      <c r="B80" s="962"/>
      <c r="C80" s="963" t="s">
        <v>496</v>
      </c>
      <c r="D80" s="964" t="s">
        <v>497</v>
      </c>
      <c r="E80" s="964"/>
      <c r="F80" s="964"/>
      <c r="G80" s="965"/>
      <c r="H80" s="966">
        <f>1118</f>
        <v>1118</v>
      </c>
      <c r="I80" s="967">
        <v>857</v>
      </c>
      <c r="J80" s="971">
        <v>0</v>
      </c>
      <c r="K80" s="967">
        <v>1118</v>
      </c>
      <c r="L80" s="969">
        <f t="shared" si="3"/>
        <v>857</v>
      </c>
      <c r="M80" s="972">
        <v>0</v>
      </c>
    </row>
    <row r="81" spans="1:13" hidden="1" x14ac:dyDescent="0.25">
      <c r="A81" s="961" t="s">
        <v>669</v>
      </c>
      <c r="B81" s="962"/>
      <c r="C81" s="963"/>
      <c r="D81" s="964" t="s">
        <v>498</v>
      </c>
      <c r="E81" s="964"/>
      <c r="F81" s="964"/>
      <c r="G81" s="965"/>
      <c r="H81" s="966">
        <v>46</v>
      </c>
      <c r="I81" s="967">
        <v>305</v>
      </c>
      <c r="J81" s="971">
        <v>0</v>
      </c>
      <c r="K81" s="967">
        <v>45</v>
      </c>
      <c r="L81" s="969">
        <f t="shared" si="3"/>
        <v>306</v>
      </c>
      <c r="M81" s="972">
        <v>0</v>
      </c>
    </row>
    <row r="82" spans="1:13" hidden="1" x14ac:dyDescent="0.25">
      <c r="A82" s="973">
        <f>A79+1</f>
        <v>7</v>
      </c>
      <c r="B82" s="974"/>
      <c r="C82" s="975" t="s">
        <v>494</v>
      </c>
      <c r="D82" s="976"/>
      <c r="E82" s="976"/>
      <c r="F82" s="976"/>
      <c r="G82" s="977"/>
      <c r="H82" s="978">
        <v>0</v>
      </c>
      <c r="I82" s="968">
        <v>0</v>
      </c>
      <c r="J82" s="979">
        <v>0</v>
      </c>
      <c r="K82" s="968">
        <v>0</v>
      </c>
      <c r="L82" s="980">
        <f t="shared" si="3"/>
        <v>0</v>
      </c>
      <c r="M82" s="972">
        <v>0</v>
      </c>
    </row>
    <row r="83" spans="1:13" ht="13.5" hidden="1" thickBot="1" x14ac:dyDescent="0.3">
      <c r="A83" s="981">
        <f>A82+1</f>
        <v>8</v>
      </c>
      <c r="B83" s="982"/>
      <c r="C83" s="983" t="s">
        <v>495</v>
      </c>
      <c r="D83" s="984"/>
      <c r="E83" s="984"/>
      <c r="F83" s="984"/>
      <c r="G83" s="985"/>
      <c r="H83" s="986">
        <v>29062</v>
      </c>
      <c r="I83" s="2018">
        <v>18828</v>
      </c>
      <c r="J83" s="987">
        <v>6674</v>
      </c>
      <c r="K83" s="2018">
        <v>12467</v>
      </c>
      <c r="L83" s="988">
        <f t="shared" si="3"/>
        <v>35423</v>
      </c>
      <c r="M83" s="989">
        <v>5695</v>
      </c>
    </row>
    <row r="84" spans="1:13" hidden="1" x14ac:dyDescent="0.25">
      <c r="A84" s="2019"/>
      <c r="B84" s="2020"/>
      <c r="C84" s="2021"/>
      <c r="D84" s="812"/>
      <c r="E84" s="812"/>
      <c r="F84" s="812"/>
      <c r="G84" s="812"/>
      <c r="H84" s="2022"/>
      <c r="I84" s="2022"/>
      <c r="J84" s="2022"/>
      <c r="K84" s="2022"/>
      <c r="L84" s="2022"/>
      <c r="M84" s="2023">
        <f>SUM(M75:M83)</f>
        <v>22782</v>
      </c>
    </row>
    <row r="85" spans="1:13" ht="18.75" hidden="1" x14ac:dyDescent="0.3">
      <c r="A85" s="937" t="s">
        <v>1295</v>
      </c>
      <c r="B85" s="937"/>
      <c r="C85" s="139"/>
      <c r="D85" s="139"/>
      <c r="E85" s="139"/>
      <c r="F85" s="139"/>
      <c r="G85" s="139"/>
      <c r="H85" s="139"/>
      <c r="I85" s="139"/>
      <c r="J85" s="139"/>
      <c r="K85" s="139"/>
      <c r="L85" s="139"/>
      <c r="M85" s="139"/>
    </row>
    <row r="86" spans="1:13" ht="15.75" hidden="1" thickBot="1" x14ac:dyDescent="0.3">
      <c r="A86" s="139"/>
      <c r="B86" s="139"/>
      <c r="C86" s="139"/>
      <c r="D86" s="139"/>
      <c r="E86" s="139"/>
      <c r="F86" s="139"/>
      <c r="G86" s="139"/>
      <c r="H86" s="139"/>
      <c r="I86" s="139"/>
      <c r="J86" s="139"/>
      <c r="K86" s="139"/>
      <c r="L86" s="139"/>
      <c r="M86" s="139"/>
    </row>
    <row r="87" spans="1:13" hidden="1" x14ac:dyDescent="0.25">
      <c r="A87" s="2939" t="s">
        <v>479</v>
      </c>
      <c r="B87" s="2942" t="s">
        <v>484</v>
      </c>
      <c r="C87" s="2942"/>
      <c r="D87" s="2942"/>
      <c r="E87" s="2942"/>
      <c r="F87" s="2942"/>
      <c r="G87" s="2942"/>
      <c r="H87" s="2945" t="s">
        <v>1159</v>
      </c>
      <c r="I87" s="2947" t="s">
        <v>486</v>
      </c>
      <c r="J87" s="2948"/>
      <c r="K87" s="938" t="s">
        <v>487</v>
      </c>
      <c r="L87" s="939" t="s">
        <v>485</v>
      </c>
      <c r="M87" s="2949" t="s">
        <v>1296</v>
      </c>
    </row>
    <row r="88" spans="1:13" ht="36" hidden="1" x14ac:dyDescent="0.25">
      <c r="A88" s="2940"/>
      <c r="B88" s="2943"/>
      <c r="C88" s="2943"/>
      <c r="D88" s="2943"/>
      <c r="E88" s="2943"/>
      <c r="F88" s="2943"/>
      <c r="G88" s="2943"/>
      <c r="H88" s="2946"/>
      <c r="I88" s="940" t="s">
        <v>664</v>
      </c>
      <c r="J88" s="941" t="s">
        <v>1165</v>
      </c>
      <c r="K88" s="940" t="s">
        <v>488</v>
      </c>
      <c r="L88" s="942" t="s">
        <v>665</v>
      </c>
      <c r="M88" s="2950"/>
    </row>
    <row r="89" spans="1:13" hidden="1" x14ac:dyDescent="0.25">
      <c r="A89" s="2941"/>
      <c r="B89" s="2944"/>
      <c r="C89" s="2944"/>
      <c r="D89" s="2944"/>
      <c r="E89" s="2944"/>
      <c r="F89" s="2944"/>
      <c r="G89" s="2944"/>
      <c r="H89" s="1525" t="s">
        <v>558</v>
      </c>
      <c r="I89" s="1526" t="s">
        <v>559</v>
      </c>
      <c r="J89" s="1526" t="s">
        <v>560</v>
      </c>
      <c r="K89" s="1526" t="s">
        <v>561</v>
      </c>
      <c r="L89" s="1527" t="s">
        <v>666</v>
      </c>
      <c r="M89" s="2950"/>
    </row>
    <row r="90" spans="1:13" hidden="1" x14ac:dyDescent="0.25">
      <c r="A90" s="946">
        <v>1</v>
      </c>
      <c r="B90" s="947" t="s">
        <v>667</v>
      </c>
      <c r="C90" s="948"/>
      <c r="D90" s="948"/>
      <c r="E90" s="948"/>
      <c r="F90" s="948"/>
      <c r="G90" s="949"/>
      <c r="H90" s="950">
        <f>SUM(H91:H95)+H98+H99</f>
        <v>59526</v>
      </c>
      <c r="I90" s="951">
        <f>SUM(I91:I95)+I98+I99</f>
        <v>41194</v>
      </c>
      <c r="J90" s="951">
        <f>SUM(J91:J95)+J98+J99</f>
        <v>25506</v>
      </c>
      <c r="K90" s="951">
        <f>SUM(K91:K95)+K98+K99</f>
        <v>25380</v>
      </c>
      <c r="L90" s="950">
        <f>SUM(L91:L95)+L98+L99</f>
        <v>75340</v>
      </c>
      <c r="M90" s="2951"/>
    </row>
    <row r="91" spans="1:13" hidden="1" x14ac:dyDescent="0.25">
      <c r="A91" s="952">
        <f>A90+1</f>
        <v>2</v>
      </c>
      <c r="B91" s="953" t="s">
        <v>481</v>
      </c>
      <c r="C91" s="954" t="s">
        <v>489</v>
      </c>
      <c r="D91" s="955"/>
      <c r="E91" s="955"/>
      <c r="F91" s="955"/>
      <c r="G91" s="956"/>
      <c r="H91" s="957">
        <v>0</v>
      </c>
      <c r="I91" s="958">
        <v>0</v>
      </c>
      <c r="J91" s="958">
        <v>0</v>
      </c>
      <c r="K91" s="958">
        <v>0</v>
      </c>
      <c r="L91" s="959">
        <f t="shared" ref="L91:L99" si="4">H91+I91-K91</f>
        <v>0</v>
      </c>
      <c r="M91" s="960">
        <v>0</v>
      </c>
    </row>
    <row r="92" spans="1:13" hidden="1" x14ac:dyDescent="0.25">
      <c r="A92" s="961">
        <f>A91+1</f>
        <v>3</v>
      </c>
      <c r="B92" s="962"/>
      <c r="C92" s="963" t="s">
        <v>490</v>
      </c>
      <c r="D92" s="964"/>
      <c r="E92" s="964"/>
      <c r="F92" s="964"/>
      <c r="G92" s="965"/>
      <c r="H92" s="966">
        <v>18509</v>
      </c>
      <c r="I92" s="967">
        <f>12753+7921-1</f>
        <v>20673</v>
      </c>
      <c r="J92" s="968">
        <v>12753</v>
      </c>
      <c r="K92" s="967">
        <v>11955</v>
      </c>
      <c r="L92" s="969">
        <f t="shared" si="4"/>
        <v>27227</v>
      </c>
      <c r="M92" s="970">
        <v>13347</v>
      </c>
    </row>
    <row r="93" spans="1:13" hidden="1" x14ac:dyDescent="0.25">
      <c r="A93" s="961">
        <f>A92+1</f>
        <v>4</v>
      </c>
      <c r="B93" s="962"/>
      <c r="C93" s="963" t="s">
        <v>491</v>
      </c>
      <c r="D93" s="964"/>
      <c r="E93" s="964"/>
      <c r="F93" s="964"/>
      <c r="G93" s="965"/>
      <c r="H93" s="966">
        <v>2225</v>
      </c>
      <c r="I93" s="967">
        <f>3057+1597</f>
        <v>4654</v>
      </c>
      <c r="J93" s="971">
        <v>0</v>
      </c>
      <c r="K93" s="967">
        <v>2118</v>
      </c>
      <c r="L93" s="969">
        <f t="shared" si="4"/>
        <v>4761</v>
      </c>
      <c r="M93" s="970">
        <v>0</v>
      </c>
    </row>
    <row r="94" spans="1:13" hidden="1" x14ac:dyDescent="0.25">
      <c r="A94" s="961">
        <f>A93+1</f>
        <v>5</v>
      </c>
      <c r="B94" s="962"/>
      <c r="C94" s="963" t="s">
        <v>492</v>
      </c>
      <c r="D94" s="964"/>
      <c r="E94" s="964"/>
      <c r="F94" s="964"/>
      <c r="G94" s="965"/>
      <c r="H94" s="966">
        <v>9606</v>
      </c>
      <c r="I94" s="967">
        <v>6376</v>
      </c>
      <c r="J94" s="958">
        <v>6376</v>
      </c>
      <c r="K94" s="2017">
        <v>2856</v>
      </c>
      <c r="L94" s="969">
        <f t="shared" si="4"/>
        <v>13126</v>
      </c>
      <c r="M94" s="972">
        <v>6673</v>
      </c>
    </row>
    <row r="95" spans="1:13" hidden="1" x14ac:dyDescent="0.25">
      <c r="A95" s="961">
        <f>A94+1</f>
        <v>6</v>
      </c>
      <c r="B95" s="962"/>
      <c r="C95" s="963" t="s">
        <v>493</v>
      </c>
      <c r="D95" s="964"/>
      <c r="E95" s="964"/>
      <c r="F95" s="964"/>
      <c r="G95" s="965"/>
      <c r="H95" s="966">
        <v>1053</v>
      </c>
      <c r="I95" s="967">
        <v>1164</v>
      </c>
      <c r="J95" s="971">
        <v>0</v>
      </c>
      <c r="K95" s="967">
        <v>1053</v>
      </c>
      <c r="L95" s="969">
        <f t="shared" si="4"/>
        <v>1164</v>
      </c>
      <c r="M95" s="972">
        <v>0</v>
      </c>
    </row>
    <row r="96" spans="1:13" hidden="1" x14ac:dyDescent="0.25">
      <c r="A96" s="961" t="s">
        <v>668</v>
      </c>
      <c r="B96" s="962"/>
      <c r="C96" s="963" t="s">
        <v>496</v>
      </c>
      <c r="D96" s="964" t="s">
        <v>497</v>
      </c>
      <c r="E96" s="964"/>
      <c r="F96" s="964"/>
      <c r="G96" s="965"/>
      <c r="H96" s="966">
        <v>1043</v>
      </c>
      <c r="I96" s="967">
        <v>1118</v>
      </c>
      <c r="J96" s="971">
        <v>0</v>
      </c>
      <c r="K96" s="967">
        <v>1043</v>
      </c>
      <c r="L96" s="969">
        <f t="shared" si="4"/>
        <v>1118</v>
      </c>
      <c r="M96" s="972">
        <v>0</v>
      </c>
    </row>
    <row r="97" spans="1:13" hidden="1" x14ac:dyDescent="0.25">
      <c r="A97" s="961" t="s">
        <v>669</v>
      </c>
      <c r="B97" s="962"/>
      <c r="C97" s="963"/>
      <c r="D97" s="964" t="s">
        <v>498</v>
      </c>
      <c r="E97" s="964"/>
      <c r="F97" s="964"/>
      <c r="G97" s="965"/>
      <c r="H97" s="966">
        <v>10</v>
      </c>
      <c r="I97" s="967">
        <v>46</v>
      </c>
      <c r="J97" s="971">
        <v>0</v>
      </c>
      <c r="K97" s="967">
        <v>10</v>
      </c>
      <c r="L97" s="969">
        <f t="shared" si="4"/>
        <v>46</v>
      </c>
      <c r="M97" s="972">
        <v>0</v>
      </c>
    </row>
    <row r="98" spans="1:13" hidden="1" x14ac:dyDescent="0.25">
      <c r="A98" s="973">
        <f>A95+1</f>
        <v>7</v>
      </c>
      <c r="B98" s="974"/>
      <c r="C98" s="975" t="s">
        <v>494</v>
      </c>
      <c r="D98" s="976"/>
      <c r="E98" s="976"/>
      <c r="F98" s="976"/>
      <c r="G98" s="977"/>
      <c r="H98" s="978">
        <f>'[1]11.f'!C87</f>
        <v>0</v>
      </c>
      <c r="I98" s="968">
        <f>'[1]11.f'!C88</f>
        <v>0</v>
      </c>
      <c r="J98" s="979">
        <v>0</v>
      </c>
      <c r="K98" s="968">
        <f>'[1]11.f'!C94</f>
        <v>0</v>
      </c>
      <c r="L98" s="980">
        <f t="shared" si="4"/>
        <v>0</v>
      </c>
      <c r="M98" s="972">
        <v>0</v>
      </c>
    </row>
    <row r="99" spans="1:13" ht="13.5" hidden="1" thickBot="1" x14ac:dyDescent="0.3">
      <c r="A99" s="981">
        <f>A98+1</f>
        <v>8</v>
      </c>
      <c r="B99" s="982"/>
      <c r="C99" s="983" t="s">
        <v>495</v>
      </c>
      <c r="D99" s="984"/>
      <c r="E99" s="984"/>
      <c r="F99" s="984"/>
      <c r="G99" s="985"/>
      <c r="H99" s="986">
        <v>28133</v>
      </c>
      <c r="I99" s="987">
        <f>8326+1</f>
        <v>8327</v>
      </c>
      <c r="J99" s="987">
        <v>6377</v>
      </c>
      <c r="K99" s="987">
        <f>5801+1597</f>
        <v>7398</v>
      </c>
      <c r="L99" s="988">
        <f t="shared" si="4"/>
        <v>29062</v>
      </c>
      <c r="M99" s="989">
        <v>6674</v>
      </c>
    </row>
    <row r="100" spans="1:13" hidden="1" x14ac:dyDescent="0.25"/>
    <row r="101" spans="1:13" ht="18.75" hidden="1" x14ac:dyDescent="0.3">
      <c r="A101" s="2291"/>
      <c r="B101" s="994" t="s">
        <v>1302</v>
      </c>
      <c r="C101" s="139"/>
      <c r="D101" s="139"/>
      <c r="E101" s="139"/>
      <c r="F101" s="139"/>
      <c r="G101" s="139"/>
      <c r="H101" s="139"/>
      <c r="I101" s="139"/>
      <c r="J101" s="139"/>
      <c r="K101" s="139"/>
      <c r="L101" s="139"/>
      <c r="M101" s="139"/>
    </row>
    <row r="102" spans="1:13" ht="15.75" hidden="1" thickBot="1" x14ac:dyDescent="0.3">
      <c r="A102" s="139"/>
      <c r="B102" s="139"/>
      <c r="C102" s="139"/>
      <c r="D102" s="139"/>
      <c r="E102" s="139"/>
      <c r="F102" s="139"/>
      <c r="G102" s="139"/>
      <c r="H102" s="139"/>
      <c r="I102" s="139"/>
      <c r="J102" s="139"/>
      <c r="K102" s="139"/>
      <c r="L102" s="139"/>
      <c r="M102" s="139"/>
    </row>
    <row r="103" spans="1:13" ht="18.75" hidden="1" x14ac:dyDescent="0.25">
      <c r="A103" s="2953" t="s">
        <v>479</v>
      </c>
      <c r="B103" s="2956" t="s">
        <v>484</v>
      </c>
      <c r="C103" s="2956"/>
      <c r="D103" s="2956"/>
      <c r="E103" s="2956"/>
      <c r="F103" s="2956"/>
      <c r="G103" s="2957"/>
      <c r="H103" s="2255" t="s">
        <v>1300</v>
      </c>
      <c r="I103" s="2962" t="s">
        <v>486</v>
      </c>
      <c r="J103" s="2962"/>
      <c r="K103" s="2256" t="s">
        <v>487</v>
      </c>
      <c r="L103" s="2257" t="s">
        <v>485</v>
      </c>
      <c r="M103" s="139"/>
    </row>
    <row r="104" spans="1:13" ht="93.75" hidden="1" x14ac:dyDescent="0.25">
      <c r="A104" s="2954"/>
      <c r="B104" s="2958"/>
      <c r="C104" s="2958"/>
      <c r="D104" s="2958"/>
      <c r="E104" s="2958"/>
      <c r="F104" s="2958"/>
      <c r="G104" s="2959"/>
      <c r="H104" s="2258" t="s">
        <v>1301</v>
      </c>
      <c r="I104" s="2259" t="s">
        <v>664</v>
      </c>
      <c r="J104" s="2260" t="s">
        <v>1905</v>
      </c>
      <c r="K104" s="2261" t="s">
        <v>488</v>
      </c>
      <c r="L104" s="2262" t="s">
        <v>665</v>
      </c>
      <c r="M104" s="139"/>
    </row>
    <row r="105" spans="1:13" ht="38.25" hidden="1" thickBot="1" x14ac:dyDescent="0.3">
      <c r="A105" s="2955"/>
      <c r="B105" s="2960"/>
      <c r="C105" s="2960"/>
      <c r="D105" s="2960"/>
      <c r="E105" s="2960"/>
      <c r="F105" s="2960"/>
      <c r="G105" s="2961"/>
      <c r="H105" s="2263" t="s">
        <v>558</v>
      </c>
      <c r="I105" s="2264" t="s">
        <v>559</v>
      </c>
      <c r="J105" s="2264" t="s">
        <v>560</v>
      </c>
      <c r="K105" s="2265" t="s">
        <v>561</v>
      </c>
      <c r="L105" s="2266" t="s">
        <v>666</v>
      </c>
      <c r="M105" s="139"/>
    </row>
    <row r="106" spans="1:13" ht="18.75" hidden="1" x14ac:dyDescent="0.25">
      <c r="A106" s="2267">
        <v>1</v>
      </c>
      <c r="B106" s="2268" t="s">
        <v>667</v>
      </c>
      <c r="C106" s="2269"/>
      <c r="D106" s="2269"/>
      <c r="E106" s="2269"/>
      <c r="F106" s="2269"/>
      <c r="G106" s="2269"/>
      <c r="H106" s="2270">
        <f>SUM(H107:H111)+H114+H115</f>
        <v>15814</v>
      </c>
      <c r="I106" s="2271">
        <f>SUM(I107:I111)+I114+I115</f>
        <v>10903</v>
      </c>
      <c r="J106" s="2271">
        <f>SUM(J107:J111)+J114+J115</f>
        <v>1188</v>
      </c>
      <c r="K106" s="2272">
        <f>SUM(K107:K111)+K114+K115</f>
        <v>18567</v>
      </c>
      <c r="L106" s="2273">
        <f>SUM(L107:L111)+L114+L115</f>
        <v>8150</v>
      </c>
      <c r="M106" s="139"/>
    </row>
    <row r="107" spans="1:13" ht="18.75" hidden="1" x14ac:dyDescent="0.25">
      <c r="A107" s="2274">
        <f>A106+1</f>
        <v>2</v>
      </c>
      <c r="B107" s="2275" t="s">
        <v>481</v>
      </c>
      <c r="C107" s="2276" t="s">
        <v>489</v>
      </c>
      <c r="D107" s="2277"/>
      <c r="E107" s="2277"/>
      <c r="F107" s="2277"/>
      <c r="G107" s="2277"/>
      <c r="H107" s="2278">
        <f t="shared" ref="H107:K115" si="5">H75-H91</f>
        <v>0</v>
      </c>
      <c r="I107" s="2279">
        <f t="shared" si="5"/>
        <v>0</v>
      </c>
      <c r="J107" s="2279">
        <f t="shared" si="5"/>
        <v>0</v>
      </c>
      <c r="K107" s="2280">
        <f t="shared" si="5"/>
        <v>0</v>
      </c>
      <c r="L107" s="2281">
        <f>H107+I107-K107</f>
        <v>0</v>
      </c>
      <c r="M107" s="139"/>
    </row>
    <row r="108" spans="1:13" ht="18.75" hidden="1" x14ac:dyDescent="0.25">
      <c r="A108" s="2274">
        <f>A107+1</f>
        <v>3</v>
      </c>
      <c r="B108" s="2275"/>
      <c r="C108" s="2276" t="s">
        <v>490</v>
      </c>
      <c r="D108" s="2277"/>
      <c r="E108" s="2277"/>
      <c r="F108" s="2277"/>
      <c r="G108" s="2277"/>
      <c r="H108" s="2278">
        <f t="shared" si="5"/>
        <v>8718</v>
      </c>
      <c r="I108" s="2279">
        <f t="shared" si="5"/>
        <v>2322</v>
      </c>
      <c r="J108" s="2279">
        <f t="shared" si="5"/>
        <v>594</v>
      </c>
      <c r="K108" s="2282">
        <f t="shared" si="5"/>
        <v>5222</v>
      </c>
      <c r="L108" s="2281">
        <f t="shared" ref="L108:L115" si="6">H108+I108-K108</f>
        <v>5818</v>
      </c>
      <c r="M108" s="139"/>
    </row>
    <row r="109" spans="1:13" ht="18.75" hidden="1" x14ac:dyDescent="0.25">
      <c r="A109" s="2274">
        <f>A108+1</f>
        <v>4</v>
      </c>
      <c r="B109" s="2275"/>
      <c r="C109" s="2276" t="s">
        <v>491</v>
      </c>
      <c r="D109" s="2277"/>
      <c r="E109" s="2277"/>
      <c r="F109" s="2277"/>
      <c r="G109" s="2277"/>
      <c r="H109" s="2278">
        <f t="shared" si="5"/>
        <v>2536</v>
      </c>
      <c r="I109" s="2293">
        <f t="shared" si="5"/>
        <v>-2215</v>
      </c>
      <c r="J109" s="2279">
        <f t="shared" si="5"/>
        <v>0</v>
      </c>
      <c r="K109" s="2280">
        <f t="shared" si="5"/>
        <v>1251</v>
      </c>
      <c r="L109" s="2292">
        <f t="shared" si="6"/>
        <v>-930</v>
      </c>
      <c r="M109" s="139"/>
    </row>
    <row r="110" spans="1:13" ht="18.75" hidden="1" x14ac:dyDescent="0.25">
      <c r="A110" s="2274">
        <f>A109+1</f>
        <v>5</v>
      </c>
      <c r="B110" s="2275"/>
      <c r="C110" s="2276" t="s">
        <v>492</v>
      </c>
      <c r="D110" s="2277"/>
      <c r="E110" s="2277"/>
      <c r="F110" s="2277"/>
      <c r="G110" s="2277"/>
      <c r="H110" s="2278">
        <f t="shared" si="5"/>
        <v>3520</v>
      </c>
      <c r="I110" s="2279">
        <f t="shared" si="5"/>
        <v>297</v>
      </c>
      <c r="J110" s="2279">
        <f t="shared" si="5"/>
        <v>297</v>
      </c>
      <c r="K110" s="2282">
        <f t="shared" si="5"/>
        <v>6915</v>
      </c>
      <c r="L110" s="2292">
        <f t="shared" si="6"/>
        <v>-3098</v>
      </c>
      <c r="M110" s="139"/>
    </row>
    <row r="111" spans="1:13" ht="18.75" hidden="1" x14ac:dyDescent="0.25">
      <c r="A111" s="2274">
        <f>A110+1</f>
        <v>6</v>
      </c>
      <c r="B111" s="2275"/>
      <c r="C111" s="2276" t="s">
        <v>493</v>
      </c>
      <c r="D111" s="2277"/>
      <c r="E111" s="2277"/>
      <c r="F111" s="2277"/>
      <c r="G111" s="2277"/>
      <c r="H111" s="2278">
        <f t="shared" si="5"/>
        <v>111</v>
      </c>
      <c r="I111" s="2293">
        <f t="shared" si="5"/>
        <v>-2</v>
      </c>
      <c r="J111" s="2279">
        <f t="shared" si="5"/>
        <v>0</v>
      </c>
      <c r="K111" s="2280">
        <f t="shared" si="5"/>
        <v>110</v>
      </c>
      <c r="L111" s="2292">
        <f t="shared" si="6"/>
        <v>-1</v>
      </c>
      <c r="M111" s="139"/>
    </row>
    <row r="112" spans="1:13" ht="18.75" hidden="1" x14ac:dyDescent="0.25">
      <c r="A112" s="2274" t="s">
        <v>668</v>
      </c>
      <c r="B112" s="2275"/>
      <c r="C112" s="2276" t="s">
        <v>496</v>
      </c>
      <c r="D112" s="2277" t="s">
        <v>497</v>
      </c>
      <c r="E112" s="2277"/>
      <c r="F112" s="2277"/>
      <c r="G112" s="2277"/>
      <c r="H112" s="2278">
        <f t="shared" si="5"/>
        <v>75</v>
      </c>
      <c r="I112" s="2293">
        <f t="shared" si="5"/>
        <v>-261</v>
      </c>
      <c r="J112" s="2279">
        <f t="shared" si="5"/>
        <v>0</v>
      </c>
      <c r="K112" s="2280">
        <f t="shared" si="5"/>
        <v>75</v>
      </c>
      <c r="L112" s="2292">
        <f t="shared" si="6"/>
        <v>-261</v>
      </c>
      <c r="M112" s="139"/>
    </row>
    <row r="113" spans="1:13" ht="18.75" hidden="1" x14ac:dyDescent="0.25">
      <c r="A113" s="2274" t="s">
        <v>669</v>
      </c>
      <c r="B113" s="2275"/>
      <c r="C113" s="2276"/>
      <c r="D113" s="2277" t="s">
        <v>498</v>
      </c>
      <c r="E113" s="2277"/>
      <c r="F113" s="2277"/>
      <c r="G113" s="2277"/>
      <c r="H113" s="2278">
        <f t="shared" si="5"/>
        <v>36</v>
      </c>
      <c r="I113" s="2294">
        <f t="shared" si="5"/>
        <v>259</v>
      </c>
      <c r="J113" s="2279">
        <f t="shared" si="5"/>
        <v>0</v>
      </c>
      <c r="K113" s="2282">
        <f t="shared" si="5"/>
        <v>35</v>
      </c>
      <c r="L113" s="2281">
        <f t="shared" si="6"/>
        <v>260</v>
      </c>
      <c r="M113" s="139"/>
    </row>
    <row r="114" spans="1:13" ht="18.75" hidden="1" x14ac:dyDescent="0.25">
      <c r="A114" s="2274">
        <f>A111+1</f>
        <v>7</v>
      </c>
      <c r="B114" s="2275"/>
      <c r="C114" s="2276" t="s">
        <v>494</v>
      </c>
      <c r="D114" s="2277"/>
      <c r="E114" s="2277"/>
      <c r="F114" s="2277"/>
      <c r="G114" s="2277"/>
      <c r="H114" s="2278">
        <f t="shared" si="5"/>
        <v>0</v>
      </c>
      <c r="I114" s="2279">
        <f t="shared" si="5"/>
        <v>0</v>
      </c>
      <c r="J114" s="2279">
        <f t="shared" si="5"/>
        <v>0</v>
      </c>
      <c r="K114" s="2280">
        <f t="shared" si="5"/>
        <v>0</v>
      </c>
      <c r="L114" s="2281">
        <f t="shared" si="6"/>
        <v>0</v>
      </c>
      <c r="M114" s="139"/>
    </row>
    <row r="115" spans="1:13" ht="19.5" hidden="1" thickBot="1" x14ac:dyDescent="0.3">
      <c r="A115" s="2283">
        <f>A114+1</f>
        <v>8</v>
      </c>
      <c r="B115" s="2284"/>
      <c r="C115" s="2285" t="s">
        <v>495</v>
      </c>
      <c r="D115" s="2286"/>
      <c r="E115" s="2286"/>
      <c r="F115" s="2286"/>
      <c r="G115" s="2286"/>
      <c r="H115" s="2287">
        <f t="shared" si="5"/>
        <v>929</v>
      </c>
      <c r="I115" s="2288">
        <f t="shared" si="5"/>
        <v>10501</v>
      </c>
      <c r="J115" s="2288">
        <f t="shared" si="5"/>
        <v>297</v>
      </c>
      <c r="K115" s="2289">
        <f t="shared" si="5"/>
        <v>5069</v>
      </c>
      <c r="L115" s="2290">
        <f t="shared" si="6"/>
        <v>6361</v>
      </c>
      <c r="M115" s="139"/>
    </row>
    <row r="116" spans="1:13" ht="15" hidden="1" x14ac:dyDescent="0.25">
      <c r="A116" s="139"/>
      <c r="B116" s="139"/>
      <c r="C116" s="139"/>
      <c r="D116" s="139"/>
      <c r="E116" s="139"/>
      <c r="F116" s="139"/>
      <c r="G116" s="139"/>
      <c r="H116" s="139"/>
      <c r="I116" s="139"/>
      <c r="J116" s="139"/>
      <c r="K116" s="139"/>
      <c r="L116" s="139"/>
      <c r="M116" s="139"/>
    </row>
    <row r="117" spans="1:13" ht="15.95" hidden="1" customHeight="1" x14ac:dyDescent="0.25">
      <c r="A117" s="2936" t="s">
        <v>1906</v>
      </c>
      <c r="B117" s="2937"/>
      <c r="C117" s="2937"/>
      <c r="D117" s="2937"/>
      <c r="E117" s="2937"/>
      <c r="F117" s="2937"/>
      <c r="G117" s="2937"/>
      <c r="H117" s="2937"/>
      <c r="I117" s="2937"/>
      <c r="J117" s="2937"/>
      <c r="K117" s="2937"/>
      <c r="L117" s="2937"/>
      <c r="M117" s="2938"/>
    </row>
    <row r="118" spans="1:13" ht="15.95" hidden="1" customHeight="1" x14ac:dyDescent="0.25">
      <c r="A118" s="2937"/>
      <c r="B118" s="2937"/>
      <c r="C118" s="2937"/>
      <c r="D118" s="2937"/>
      <c r="E118" s="2937"/>
      <c r="F118" s="2937"/>
      <c r="G118" s="2937"/>
      <c r="H118" s="2937"/>
      <c r="I118" s="2937"/>
      <c r="J118" s="2937"/>
      <c r="K118" s="2937"/>
      <c r="L118" s="2937"/>
      <c r="M118" s="2938"/>
    </row>
    <row r="119" spans="1:13" ht="15.95" hidden="1" customHeight="1" x14ac:dyDescent="0.25">
      <c r="A119" s="2937"/>
      <c r="B119" s="2937"/>
      <c r="C119" s="2937"/>
      <c r="D119" s="2937"/>
      <c r="E119" s="2937"/>
      <c r="F119" s="2937"/>
      <c r="G119" s="2937"/>
      <c r="H119" s="2937"/>
      <c r="I119" s="2937"/>
      <c r="J119" s="2937"/>
      <c r="K119" s="2937"/>
      <c r="L119" s="2937"/>
      <c r="M119" s="2938"/>
    </row>
    <row r="120" spans="1:13" ht="15.95" hidden="1" customHeight="1" x14ac:dyDescent="0.25">
      <c r="A120" s="2937"/>
      <c r="B120" s="2937"/>
      <c r="C120" s="2937"/>
      <c r="D120" s="2937"/>
      <c r="E120" s="2937"/>
      <c r="F120" s="2937"/>
      <c r="G120" s="2937"/>
      <c r="H120" s="2937"/>
      <c r="I120" s="2937"/>
      <c r="J120" s="2937"/>
      <c r="K120" s="2937"/>
      <c r="L120" s="2937"/>
      <c r="M120" s="2938"/>
    </row>
    <row r="121" spans="1:13" ht="15.95" hidden="1" customHeight="1" x14ac:dyDescent="0.25">
      <c r="A121" s="2937"/>
      <c r="B121" s="2937"/>
      <c r="C121" s="2937"/>
      <c r="D121" s="2937"/>
      <c r="E121" s="2937"/>
      <c r="F121" s="2937"/>
      <c r="G121" s="2937"/>
      <c r="H121" s="2937"/>
      <c r="I121" s="2937"/>
      <c r="J121" s="2937"/>
      <c r="K121" s="2937"/>
      <c r="L121" s="2937"/>
      <c r="M121" s="2938"/>
    </row>
    <row r="122" spans="1:13" ht="15" hidden="1" x14ac:dyDescent="0.25">
      <c r="A122" s="139"/>
      <c r="B122" s="139"/>
      <c r="C122" s="139"/>
      <c r="D122" s="139"/>
      <c r="E122" s="139"/>
      <c r="F122" s="139"/>
      <c r="G122" s="139"/>
      <c r="H122" s="139"/>
      <c r="I122" s="139"/>
      <c r="J122" s="139"/>
      <c r="K122" s="139"/>
      <c r="L122" s="139"/>
      <c r="M122" s="139"/>
    </row>
    <row r="123" spans="1:13" ht="18.75" x14ac:dyDescent="0.3">
      <c r="A123" s="993"/>
      <c r="B123" s="139"/>
      <c r="C123" s="139"/>
      <c r="D123" s="139"/>
      <c r="E123" s="139"/>
      <c r="F123" s="139"/>
      <c r="G123" s="139"/>
      <c r="H123" s="139"/>
      <c r="I123" s="139"/>
      <c r="J123" s="139"/>
      <c r="K123" s="139"/>
      <c r="L123" s="139"/>
      <c r="M123" s="139"/>
    </row>
  </sheetData>
  <customSheetViews>
    <customSheetView guid="{2AF6EA2A-E5C5-45EB-B6C4-875AD1E4E056}" fitToPage="1">
      <selection activeCell="A2" sqref="A2"/>
      <pageMargins left="0.23622047244094491" right="0.23622047244094491" top="0.86614173228346458"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25">
    <mergeCell ref="A47:M51"/>
    <mergeCell ref="A32:A34"/>
    <mergeCell ref="B32:G34"/>
    <mergeCell ref="H32:H33"/>
    <mergeCell ref="I32:J32"/>
    <mergeCell ref="M32:M35"/>
    <mergeCell ref="B4:G6"/>
    <mergeCell ref="A4:A5"/>
    <mergeCell ref="I4:J4"/>
    <mergeCell ref="H4:H5"/>
    <mergeCell ref="M4:M7"/>
    <mergeCell ref="A71:A73"/>
    <mergeCell ref="B71:G73"/>
    <mergeCell ref="H71:H72"/>
    <mergeCell ref="I71:J71"/>
    <mergeCell ref="M71:M74"/>
    <mergeCell ref="A103:A105"/>
    <mergeCell ref="B103:G105"/>
    <mergeCell ref="I103:J103"/>
    <mergeCell ref="A117:M121"/>
    <mergeCell ref="A87:A89"/>
    <mergeCell ref="B87:G89"/>
    <mergeCell ref="H87:H88"/>
    <mergeCell ref="I87:J87"/>
    <mergeCell ref="M87:M90"/>
  </mergeCells>
  <printOptions horizontalCentered="1" verticalCentered="1"/>
  <pageMargins left="0.23622047244094491" right="0.23622047244094491" top="0.86614173228346458" bottom="0.98425196850393704" header="0.51181102362204722" footer="0.51181102362204722"/>
  <pageSetup paperSize="9" scale="91" orientation="landscape" cellComments="asDisplayed" horizontalDpi="300" verticalDpi="300"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zoomScaleNormal="100" workbookViewId="0">
      <selection activeCell="A22" sqref="A22:C39"/>
    </sheetView>
  </sheetViews>
  <sheetFormatPr defaultRowHeight="12.75" x14ac:dyDescent="0.25"/>
  <cols>
    <col min="1" max="1" width="14.42578125" style="16" customWidth="1"/>
    <col min="2" max="2" width="30.140625" style="16" customWidth="1"/>
    <col min="3" max="3" width="16.140625" style="94" customWidth="1"/>
    <col min="4" max="16384" width="9.140625" style="16"/>
  </cols>
  <sheetData>
    <row r="1" spans="1:5" ht="15.75" x14ac:dyDescent="0.25">
      <c r="A1" s="76"/>
      <c r="B1" s="12"/>
      <c r="D1" s="12"/>
    </row>
    <row r="2" spans="1:5" x14ac:dyDescent="0.25">
      <c r="A2" s="12"/>
      <c r="B2" s="12"/>
      <c r="C2" s="95"/>
      <c r="D2" s="12"/>
    </row>
    <row r="3" spans="1:5" ht="13.5" hidden="1" thickBot="1" x14ac:dyDescent="0.3">
      <c r="A3" s="2980" t="s">
        <v>520</v>
      </c>
      <c r="B3" s="2981"/>
      <c r="C3" s="96">
        <v>0</v>
      </c>
    </row>
    <row r="4" spans="1:5" hidden="1" x14ac:dyDescent="0.25">
      <c r="A4" s="2977" t="s">
        <v>522</v>
      </c>
      <c r="B4" s="745" t="s">
        <v>1161</v>
      </c>
      <c r="C4" s="271"/>
    </row>
    <row r="5" spans="1:5" hidden="1" x14ac:dyDescent="0.25">
      <c r="A5" s="2978"/>
      <c r="B5" s="746" t="s">
        <v>523</v>
      </c>
      <c r="C5" s="195"/>
    </row>
    <row r="6" spans="1:5" hidden="1" x14ac:dyDescent="0.25">
      <c r="A6" s="2978"/>
      <c r="B6" s="746" t="s">
        <v>524</v>
      </c>
      <c r="C6" s="195"/>
    </row>
    <row r="7" spans="1:5" ht="13.5" hidden="1" thickBot="1" x14ac:dyDescent="0.3">
      <c r="A7" s="2978"/>
      <c r="B7" s="746" t="s">
        <v>525</v>
      </c>
      <c r="C7" s="195"/>
    </row>
    <row r="8" spans="1:5" ht="13.5" hidden="1" thickBot="1" x14ac:dyDescent="0.3">
      <c r="A8" s="2979"/>
      <c r="B8" s="747" t="s">
        <v>504</v>
      </c>
      <c r="C8" s="272">
        <f>SUM(C4:C7)</f>
        <v>0</v>
      </c>
    </row>
    <row r="9" spans="1:5" hidden="1" x14ac:dyDescent="0.25">
      <c r="A9" s="2977" t="s">
        <v>526</v>
      </c>
      <c r="B9" s="745" t="s">
        <v>527</v>
      </c>
      <c r="C9" s="271"/>
    </row>
    <row r="10" spans="1:5" hidden="1" x14ac:dyDescent="0.25">
      <c r="A10" s="2978"/>
      <c r="B10" s="746" t="s">
        <v>528</v>
      </c>
      <c r="C10" s="195"/>
    </row>
    <row r="11" spans="1:5" hidden="1" x14ac:dyDescent="0.25">
      <c r="A11" s="2978"/>
      <c r="B11" s="746" t="s">
        <v>529</v>
      </c>
      <c r="C11" s="195"/>
    </row>
    <row r="12" spans="1:5" hidden="1" x14ac:dyDescent="0.25">
      <c r="A12" s="2978"/>
      <c r="B12" s="746" t="s">
        <v>530</v>
      </c>
      <c r="C12" s="195"/>
    </row>
    <row r="13" spans="1:5" ht="13.5" hidden="1" thickBot="1" x14ac:dyDescent="0.3">
      <c r="A13" s="2978"/>
      <c r="B13" s="748" t="s">
        <v>717</v>
      </c>
      <c r="C13" s="197"/>
    </row>
    <row r="14" spans="1:5" ht="13.5" hidden="1" thickBot="1" x14ac:dyDescent="0.3">
      <c r="A14" s="2979"/>
      <c r="B14" s="747" t="s">
        <v>504</v>
      </c>
      <c r="C14" s="272">
        <f>SUM(C9:C13)</f>
        <v>0</v>
      </c>
    </row>
    <row r="15" spans="1:5" ht="13.5" hidden="1" thickBot="1" x14ac:dyDescent="0.3">
      <c r="A15" s="2982" t="s">
        <v>521</v>
      </c>
      <c r="B15" s="2983"/>
      <c r="C15" s="272">
        <f>C3+C8-C14</f>
        <v>0</v>
      </c>
    </row>
    <row r="16" spans="1:5" hidden="1" x14ac:dyDescent="0.25">
      <c r="A16" s="12"/>
      <c r="B16" s="12"/>
      <c r="C16" s="93"/>
      <c r="D16" s="12"/>
      <c r="E16" s="12"/>
    </row>
    <row r="17" spans="1:5" hidden="1" x14ac:dyDescent="0.25">
      <c r="A17" s="12" t="s">
        <v>638</v>
      </c>
      <c r="B17" s="12"/>
      <c r="C17" s="93"/>
      <c r="D17" s="12"/>
      <c r="E17" s="12"/>
    </row>
    <row r="18" spans="1:5" hidden="1" x14ac:dyDescent="0.25">
      <c r="A18" s="17" t="s">
        <v>1180</v>
      </c>
      <c r="B18" s="12"/>
      <c r="C18" s="93"/>
      <c r="D18" s="12"/>
      <c r="E18" s="12"/>
    </row>
    <row r="19" spans="1:5" hidden="1" x14ac:dyDescent="0.25">
      <c r="A19" s="12"/>
      <c r="B19" s="12"/>
      <c r="C19" s="93"/>
      <c r="D19" s="12"/>
      <c r="E19" s="12"/>
    </row>
    <row r="20" spans="1:5" x14ac:dyDescent="0.25">
      <c r="A20" s="12"/>
      <c r="B20" s="12"/>
      <c r="C20" s="93"/>
      <c r="D20" s="12"/>
      <c r="E20" s="12"/>
    </row>
    <row r="21" spans="1:5" ht="18.75" x14ac:dyDescent="0.25">
      <c r="A21" s="910" t="s">
        <v>1278</v>
      </c>
      <c r="B21" s="18"/>
      <c r="C21" s="1518"/>
    </row>
    <row r="22" spans="1:5" ht="15.75" x14ac:dyDescent="0.25">
      <c r="A22" s="1264" t="s">
        <v>1152</v>
      </c>
      <c r="B22" s="17"/>
      <c r="C22" s="1518"/>
    </row>
    <row r="23" spans="1:5" ht="13.5" thickBot="1" x14ac:dyDescent="0.3">
      <c r="A23" s="17"/>
      <c r="B23" s="17"/>
      <c r="C23" s="2047" t="s">
        <v>499</v>
      </c>
    </row>
    <row r="24" spans="1:5" ht="13.5" thickBot="1" x14ac:dyDescent="0.3">
      <c r="A24" s="2984" t="s">
        <v>520</v>
      </c>
      <c r="B24" s="2985"/>
      <c r="C24" s="2048">
        <v>0</v>
      </c>
    </row>
    <row r="25" spans="1:5" x14ac:dyDescent="0.25">
      <c r="A25" s="2986" t="s">
        <v>522</v>
      </c>
      <c r="B25" s="2049" t="s">
        <v>1161</v>
      </c>
      <c r="C25" s="2000"/>
    </row>
    <row r="26" spans="1:5" x14ac:dyDescent="0.25">
      <c r="A26" s="2987"/>
      <c r="B26" s="1954" t="s">
        <v>523</v>
      </c>
      <c r="C26" s="2002"/>
    </row>
    <row r="27" spans="1:5" x14ac:dyDescent="0.25">
      <c r="A27" s="2987"/>
      <c r="B27" s="1954" t="s">
        <v>524</v>
      </c>
      <c r="C27" s="2002"/>
    </row>
    <row r="28" spans="1:5" ht="13.5" thickBot="1" x14ac:dyDescent="0.3">
      <c r="A28" s="2987"/>
      <c r="B28" s="1954" t="s">
        <v>525</v>
      </c>
      <c r="C28" s="2002"/>
    </row>
    <row r="29" spans="1:5" ht="13.5" thickBot="1" x14ac:dyDescent="0.3">
      <c r="A29" s="2988"/>
      <c r="B29" s="2050" t="s">
        <v>504</v>
      </c>
      <c r="C29" s="2051">
        <f>SUM(C25:C28)</f>
        <v>0</v>
      </c>
    </row>
    <row r="30" spans="1:5" x14ac:dyDescent="0.25">
      <c r="A30" s="2986" t="s">
        <v>526</v>
      </c>
      <c r="B30" s="2049" t="s">
        <v>527</v>
      </c>
      <c r="C30" s="2000"/>
    </row>
    <row r="31" spans="1:5" x14ac:dyDescent="0.25">
      <c r="A31" s="2987"/>
      <c r="B31" s="1954" t="s">
        <v>528</v>
      </c>
      <c r="C31" s="2002"/>
    </row>
    <row r="32" spans="1:5" x14ac:dyDescent="0.25">
      <c r="A32" s="2987"/>
      <c r="B32" s="1954" t="s">
        <v>529</v>
      </c>
      <c r="C32" s="2002"/>
    </row>
    <row r="33" spans="1:3" x14ac:dyDescent="0.25">
      <c r="A33" s="2987"/>
      <c r="B33" s="1954" t="s">
        <v>530</v>
      </c>
      <c r="C33" s="2002"/>
    </row>
    <row r="34" spans="1:3" ht="13.5" thickBot="1" x14ac:dyDescent="0.3">
      <c r="A34" s="2987"/>
      <c r="B34" s="2052" t="s">
        <v>717</v>
      </c>
      <c r="C34" s="2005"/>
    </row>
    <row r="35" spans="1:3" ht="13.5" thickBot="1" x14ac:dyDescent="0.3">
      <c r="A35" s="2988"/>
      <c r="B35" s="2050" t="s">
        <v>504</v>
      </c>
      <c r="C35" s="2051">
        <f>SUM(C30:C34)</f>
        <v>0</v>
      </c>
    </row>
    <row r="36" spans="1:3" ht="13.5" thickBot="1" x14ac:dyDescent="0.3">
      <c r="A36" s="2975" t="s">
        <v>521</v>
      </c>
      <c r="B36" s="2976"/>
      <c r="C36" s="1979">
        <f>C24+C29-C35</f>
        <v>0</v>
      </c>
    </row>
    <row r="37" spans="1:3" x14ac:dyDescent="0.25">
      <c r="A37" s="17"/>
      <c r="B37" s="17"/>
      <c r="C37" s="1520"/>
    </row>
    <row r="38" spans="1:3" x14ac:dyDescent="0.25">
      <c r="A38" s="17" t="s">
        <v>638</v>
      </c>
      <c r="B38" s="17"/>
      <c r="C38" s="1520"/>
    </row>
    <row r="39" spans="1:3" x14ac:dyDescent="0.25">
      <c r="A39" s="17" t="s">
        <v>1887</v>
      </c>
      <c r="B39" s="17"/>
      <c r="C39" s="1520"/>
    </row>
    <row r="40" spans="1:3" x14ac:dyDescent="0.25">
      <c r="A40" s="17"/>
      <c r="B40" s="17"/>
      <c r="C40" s="1520"/>
    </row>
    <row r="41" spans="1:3" ht="15.75" x14ac:dyDescent="0.25">
      <c r="A41" s="1128" t="s">
        <v>1325</v>
      </c>
      <c r="B41" s="1129"/>
      <c r="C41" s="2053"/>
    </row>
    <row r="42" spans="1:3" x14ac:dyDescent="0.25">
      <c r="A42" s="1131" t="s">
        <v>1327</v>
      </c>
      <c r="B42" s="1131"/>
      <c r="C42" s="1132"/>
    </row>
    <row r="43" spans="1:3" x14ac:dyDescent="0.25">
      <c r="A43" s="1131" t="s">
        <v>1328</v>
      </c>
      <c r="B43" s="1131"/>
      <c r="C43" s="1132"/>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8">
    <mergeCell ref="A36:B36"/>
    <mergeCell ref="A4:A8"/>
    <mergeCell ref="A9:A14"/>
    <mergeCell ref="A3:B3"/>
    <mergeCell ref="A15:B15"/>
    <mergeCell ref="A24:B24"/>
    <mergeCell ref="A25:A29"/>
    <mergeCell ref="A30:A35"/>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5"/>
  <sheetViews>
    <sheetView zoomScaleNormal="100" workbookViewId="0">
      <selection activeCell="A63" sqref="A63"/>
    </sheetView>
  </sheetViews>
  <sheetFormatPr defaultRowHeight="12.75" x14ac:dyDescent="0.2"/>
  <cols>
    <col min="1" max="1" width="10.5703125" style="60" customWidth="1"/>
    <col min="2" max="2" width="43.5703125" style="60" customWidth="1"/>
    <col min="3" max="3" width="17" style="101" customWidth="1"/>
    <col min="4" max="16384" width="9.140625" style="60"/>
  </cols>
  <sheetData>
    <row r="1" spans="1:6" ht="13.5" customHeight="1" x14ac:dyDescent="0.25">
      <c r="A1" s="97"/>
      <c r="B1" s="62"/>
      <c r="C1" s="60"/>
      <c r="D1" s="62"/>
      <c r="E1" s="62"/>
      <c r="F1" s="62"/>
    </row>
    <row r="2" spans="1:6" ht="13.5" hidden="1" customHeight="1" thickBot="1" x14ac:dyDescent="0.25">
      <c r="A2" s="62"/>
      <c r="B2" s="62"/>
      <c r="C2" s="99" t="s">
        <v>499</v>
      </c>
      <c r="D2" s="62"/>
      <c r="E2" s="62"/>
      <c r="F2" s="62"/>
    </row>
    <row r="3" spans="1:6" ht="16.5" hidden="1" customHeight="1" thickBot="1" x14ac:dyDescent="0.25">
      <c r="A3" s="2982" t="s">
        <v>520</v>
      </c>
      <c r="B3" s="2995"/>
      <c r="C3" s="100">
        <v>27227</v>
      </c>
    </row>
    <row r="4" spans="1:6" ht="12.75" hidden="1" customHeight="1" x14ac:dyDescent="0.2">
      <c r="A4" s="2990" t="s">
        <v>522</v>
      </c>
      <c r="B4" s="734" t="s">
        <v>531</v>
      </c>
      <c r="C4" s="273">
        <f>22995-13347</f>
        <v>9648</v>
      </c>
    </row>
    <row r="5" spans="1:6" ht="12.75" hidden="1" customHeight="1" x14ac:dyDescent="0.2">
      <c r="A5" s="2991"/>
      <c r="B5" s="735" t="s">
        <v>1162</v>
      </c>
      <c r="C5" s="274">
        <v>13347</v>
      </c>
    </row>
    <row r="6" spans="1:6" ht="12.75" hidden="1" customHeight="1" x14ac:dyDescent="0.2">
      <c r="A6" s="2991"/>
      <c r="B6" s="736" t="s">
        <v>1108</v>
      </c>
      <c r="C6" s="274"/>
    </row>
    <row r="7" spans="1:6" ht="12.75" hidden="1" customHeight="1" x14ac:dyDescent="0.2">
      <c r="A7" s="2991"/>
      <c r="B7" s="735" t="s">
        <v>532</v>
      </c>
      <c r="C7" s="274"/>
    </row>
    <row r="8" spans="1:6" ht="12.75" hidden="1" customHeight="1" x14ac:dyDescent="0.2">
      <c r="A8" s="2991"/>
      <c r="B8" s="735" t="s">
        <v>533</v>
      </c>
      <c r="C8" s="275"/>
    </row>
    <row r="9" spans="1:6" ht="12.75" hidden="1" customHeight="1" x14ac:dyDescent="0.2">
      <c r="A9" s="2991"/>
      <c r="B9" s="735" t="s">
        <v>1109</v>
      </c>
      <c r="C9" s="274"/>
    </row>
    <row r="10" spans="1:6" ht="12.75" hidden="1" customHeight="1" x14ac:dyDescent="0.2">
      <c r="A10" s="2991"/>
      <c r="B10" s="737" t="s">
        <v>534</v>
      </c>
      <c r="C10" s="276">
        <f>SUM(C11:C13)</f>
        <v>0</v>
      </c>
    </row>
    <row r="11" spans="1:6" ht="12.75" hidden="1" customHeight="1" x14ac:dyDescent="0.2">
      <c r="A11" s="2991"/>
      <c r="B11" s="735" t="s">
        <v>535</v>
      </c>
      <c r="C11" s="274"/>
    </row>
    <row r="12" spans="1:6" ht="12.75" hidden="1" customHeight="1" x14ac:dyDescent="0.2">
      <c r="A12" s="2991"/>
      <c r="B12" s="738" t="s">
        <v>536</v>
      </c>
      <c r="C12" s="274"/>
    </row>
    <row r="13" spans="1:6" ht="12.75" hidden="1" customHeight="1" thickBot="1" x14ac:dyDescent="0.25">
      <c r="A13" s="2991"/>
      <c r="B13" s="735" t="s">
        <v>537</v>
      </c>
      <c r="C13" s="277"/>
    </row>
    <row r="14" spans="1:6" s="61" customFormat="1" ht="15.75" hidden="1" customHeight="1" thickBot="1" x14ac:dyDescent="0.25">
      <c r="A14" s="2992"/>
      <c r="B14" s="739" t="s">
        <v>505</v>
      </c>
      <c r="C14" s="278">
        <f>C4+C5+C6+C7+C8+C9+C10</f>
        <v>22995</v>
      </c>
    </row>
    <row r="15" spans="1:6" ht="12.75" hidden="1" customHeight="1" x14ac:dyDescent="0.2">
      <c r="A15" s="2993" t="s">
        <v>526</v>
      </c>
      <c r="B15" s="740" t="s">
        <v>597</v>
      </c>
      <c r="C15" s="279">
        <f>SUM(C16:C19)</f>
        <v>17177</v>
      </c>
    </row>
    <row r="16" spans="1:6" ht="12.75" hidden="1" customHeight="1" x14ac:dyDescent="0.2">
      <c r="A16" s="2993"/>
      <c r="B16" s="741" t="s">
        <v>694</v>
      </c>
      <c r="C16" s="280"/>
    </row>
    <row r="17" spans="1:5" ht="12.75" hidden="1" customHeight="1" x14ac:dyDescent="0.2">
      <c r="A17" s="2993"/>
      <c r="B17" s="742" t="s">
        <v>538</v>
      </c>
      <c r="C17" s="281"/>
    </row>
    <row r="18" spans="1:5" ht="12.75" hidden="1" customHeight="1" x14ac:dyDescent="0.2">
      <c r="A18" s="2993"/>
      <c r="B18" s="742" t="s">
        <v>539</v>
      </c>
      <c r="C18" s="281"/>
    </row>
    <row r="19" spans="1:5" ht="12.75" hidden="1" customHeight="1" x14ac:dyDescent="0.2">
      <c r="A19" s="2993"/>
      <c r="B19" s="742" t="s">
        <v>1110</v>
      </c>
      <c r="C19" s="2010">
        <v>17177</v>
      </c>
      <c r="D19" s="2011" t="s">
        <v>1883</v>
      </c>
    </row>
    <row r="20" spans="1:5" ht="12.75" hidden="1" customHeight="1" x14ac:dyDescent="0.2">
      <c r="A20" s="2993"/>
      <c r="B20" s="743" t="s">
        <v>1111</v>
      </c>
      <c r="C20" s="282"/>
    </row>
    <row r="21" spans="1:5" ht="12.75" hidden="1" customHeight="1" x14ac:dyDescent="0.2">
      <c r="A21" s="2993"/>
      <c r="B21" s="744" t="s">
        <v>540</v>
      </c>
      <c r="C21" s="283">
        <f>SUM(C22:C24)</f>
        <v>0</v>
      </c>
    </row>
    <row r="22" spans="1:5" ht="12.75" hidden="1" customHeight="1" x14ac:dyDescent="0.2">
      <c r="A22" s="2993"/>
      <c r="B22" s="735" t="s">
        <v>541</v>
      </c>
      <c r="C22" s="274"/>
    </row>
    <row r="23" spans="1:5" ht="12.75" hidden="1" customHeight="1" x14ac:dyDescent="0.2">
      <c r="A23" s="2993"/>
      <c r="B23" s="735" t="s">
        <v>542</v>
      </c>
      <c r="C23" s="274"/>
    </row>
    <row r="24" spans="1:5" ht="12.75" hidden="1" customHeight="1" thickBot="1" x14ac:dyDescent="0.25">
      <c r="A24" s="2993"/>
      <c r="B24" s="735" t="s">
        <v>543</v>
      </c>
      <c r="C24" s="274"/>
    </row>
    <row r="25" spans="1:5" ht="13.5" hidden="1" thickBot="1" x14ac:dyDescent="0.25">
      <c r="A25" s="2994"/>
      <c r="B25" s="739" t="s">
        <v>504</v>
      </c>
      <c r="C25" s="284">
        <f>C15+C20+C21</f>
        <v>17177</v>
      </c>
    </row>
    <row r="26" spans="1:5" ht="18.75" hidden="1" customHeight="1" thickBot="1" x14ac:dyDescent="0.25">
      <c r="A26" s="2982" t="s">
        <v>521</v>
      </c>
      <c r="B26" s="2995"/>
      <c r="C26" s="284">
        <f>C3+C14-C25</f>
        <v>33045</v>
      </c>
    </row>
    <row r="27" spans="1:5" ht="12.75" hidden="1" customHeight="1" x14ac:dyDescent="0.2">
      <c r="B27" s="62"/>
      <c r="C27" s="98"/>
      <c r="D27" s="62"/>
      <c r="E27" s="62"/>
    </row>
    <row r="28" spans="1:5" hidden="1" x14ac:dyDescent="0.2">
      <c r="A28" s="12" t="s">
        <v>638</v>
      </c>
      <c r="B28" s="62"/>
      <c r="C28" s="98"/>
      <c r="D28" s="62"/>
      <c r="E28" s="62"/>
    </row>
    <row r="29" spans="1:5" hidden="1" x14ac:dyDescent="0.2">
      <c r="A29" s="17" t="s">
        <v>1160</v>
      </c>
    </row>
    <row r="30" spans="1:5" x14ac:dyDescent="0.2">
      <c r="A30" s="17"/>
    </row>
    <row r="32" spans="1:5" ht="18.75" x14ac:dyDescent="0.2">
      <c r="A32" s="910" t="s">
        <v>1278</v>
      </c>
      <c r="B32" s="1997"/>
      <c r="C32" s="2054"/>
    </row>
    <row r="33" spans="1:3" ht="15.75" x14ac:dyDescent="0.25">
      <c r="A33" s="2055" t="s">
        <v>1153</v>
      </c>
      <c r="B33" s="2056"/>
      <c r="C33" s="1997"/>
    </row>
    <row r="34" spans="1:3" ht="13.5" thickBot="1" x14ac:dyDescent="0.25">
      <c r="A34" s="2056"/>
      <c r="B34" s="2056"/>
      <c r="C34" s="2057" t="s">
        <v>499</v>
      </c>
    </row>
    <row r="35" spans="1:3" ht="13.5" thickBot="1" x14ac:dyDescent="0.25">
      <c r="A35" s="2975" t="s">
        <v>520</v>
      </c>
      <c r="B35" s="2989"/>
      <c r="C35" s="2058">
        <v>27227</v>
      </c>
    </row>
    <row r="36" spans="1:3" x14ac:dyDescent="0.2">
      <c r="A36" s="2996" t="s">
        <v>522</v>
      </c>
      <c r="B36" s="2059" t="s">
        <v>531</v>
      </c>
      <c r="C36" s="2060">
        <v>9648</v>
      </c>
    </row>
    <row r="37" spans="1:3" x14ac:dyDescent="0.2">
      <c r="A37" s="2997"/>
      <c r="B37" s="736" t="s">
        <v>1162</v>
      </c>
      <c r="C37" s="2061">
        <v>13347</v>
      </c>
    </row>
    <row r="38" spans="1:3" x14ac:dyDescent="0.2">
      <c r="A38" s="2997"/>
      <c r="B38" s="736" t="s">
        <v>1108</v>
      </c>
      <c r="C38" s="2061"/>
    </row>
    <row r="39" spans="1:3" x14ac:dyDescent="0.2">
      <c r="A39" s="2997"/>
      <c r="B39" s="736" t="s">
        <v>532</v>
      </c>
      <c r="C39" s="2061"/>
    </row>
    <row r="40" spans="1:3" x14ac:dyDescent="0.2">
      <c r="A40" s="2997"/>
      <c r="B40" s="736" t="s">
        <v>533</v>
      </c>
      <c r="C40" s="2062"/>
    </row>
    <row r="41" spans="1:3" x14ac:dyDescent="0.2">
      <c r="A41" s="2997"/>
      <c r="B41" s="736" t="s">
        <v>1109</v>
      </c>
      <c r="C41" s="2061"/>
    </row>
    <row r="42" spans="1:3" x14ac:dyDescent="0.2">
      <c r="A42" s="2997"/>
      <c r="B42" s="2063" t="s">
        <v>534</v>
      </c>
      <c r="C42" s="2064">
        <f>SUM(C43:C45)</f>
        <v>0</v>
      </c>
    </row>
    <row r="43" spans="1:3" x14ac:dyDescent="0.2">
      <c r="A43" s="2997"/>
      <c r="B43" s="736" t="s">
        <v>535</v>
      </c>
      <c r="C43" s="2061"/>
    </row>
    <row r="44" spans="1:3" x14ac:dyDescent="0.2">
      <c r="A44" s="2997"/>
      <c r="B44" s="2065" t="s">
        <v>536</v>
      </c>
      <c r="C44" s="2061"/>
    </row>
    <row r="45" spans="1:3" ht="13.5" thickBot="1" x14ac:dyDescent="0.25">
      <c r="A45" s="2997"/>
      <c r="B45" s="736" t="s">
        <v>537</v>
      </c>
      <c r="C45" s="2066"/>
    </row>
    <row r="46" spans="1:3" ht="13.5" thickBot="1" x14ac:dyDescent="0.25">
      <c r="A46" s="2998"/>
      <c r="B46" s="2067" t="s">
        <v>505</v>
      </c>
      <c r="C46" s="2068">
        <f>C36+C37+C38+C39+C40+C41+C42</f>
        <v>22995</v>
      </c>
    </row>
    <row r="47" spans="1:3" x14ac:dyDescent="0.2">
      <c r="A47" s="2999" t="s">
        <v>526</v>
      </c>
      <c r="B47" s="2069" t="s">
        <v>597</v>
      </c>
      <c r="C47" s="2070">
        <f>SUM(C48:C51)</f>
        <v>17177</v>
      </c>
    </row>
    <row r="48" spans="1:3" x14ac:dyDescent="0.2">
      <c r="A48" s="2999"/>
      <c r="B48" s="2071" t="s">
        <v>694</v>
      </c>
      <c r="C48" s="2072">
        <v>9831</v>
      </c>
    </row>
    <row r="49" spans="1:3" x14ac:dyDescent="0.2">
      <c r="A49" s="2999"/>
      <c r="B49" s="2073" t="s">
        <v>538</v>
      </c>
      <c r="C49" s="2074">
        <v>6688</v>
      </c>
    </row>
    <row r="50" spans="1:3" x14ac:dyDescent="0.2">
      <c r="A50" s="2999"/>
      <c r="B50" s="2073" t="s">
        <v>539</v>
      </c>
      <c r="C50" s="2074"/>
    </row>
    <row r="51" spans="1:3" x14ac:dyDescent="0.2">
      <c r="A51" s="2999"/>
      <c r="B51" s="2073" t="s">
        <v>1888</v>
      </c>
      <c r="C51" s="2074">
        <v>658</v>
      </c>
    </row>
    <row r="52" spans="1:3" x14ac:dyDescent="0.2">
      <c r="A52" s="2999"/>
      <c r="B52" s="2075" t="s">
        <v>1111</v>
      </c>
      <c r="C52" s="2076"/>
    </row>
    <row r="53" spans="1:3" x14ac:dyDescent="0.2">
      <c r="A53" s="2999"/>
      <c r="B53" s="2077" t="s">
        <v>540</v>
      </c>
      <c r="C53" s="2078">
        <f>SUM(C54:C56)</f>
        <v>0</v>
      </c>
    </row>
    <row r="54" spans="1:3" x14ac:dyDescent="0.2">
      <c r="A54" s="2999"/>
      <c r="B54" s="736" t="s">
        <v>541</v>
      </c>
      <c r="C54" s="2061"/>
    </row>
    <row r="55" spans="1:3" x14ac:dyDescent="0.2">
      <c r="A55" s="2999"/>
      <c r="B55" s="736" t="s">
        <v>542</v>
      </c>
      <c r="C55" s="2061"/>
    </row>
    <row r="56" spans="1:3" ht="13.5" thickBot="1" x14ac:dyDescent="0.25">
      <c r="A56" s="2999"/>
      <c r="B56" s="736" t="s">
        <v>543</v>
      </c>
      <c r="C56" s="2061"/>
    </row>
    <row r="57" spans="1:3" ht="13.5" thickBot="1" x14ac:dyDescent="0.25">
      <c r="A57" s="3000"/>
      <c r="B57" s="2079" t="s">
        <v>504</v>
      </c>
      <c r="C57" s="2080">
        <f>C47+C52+C53</f>
        <v>17177</v>
      </c>
    </row>
    <row r="58" spans="1:3" ht="13.5" thickBot="1" x14ac:dyDescent="0.25">
      <c r="A58" s="2975" t="s">
        <v>521</v>
      </c>
      <c r="B58" s="2989"/>
      <c r="C58" s="2081">
        <f>C35+C46-C57</f>
        <v>33045</v>
      </c>
    </row>
    <row r="59" spans="1:3" x14ac:dyDescent="0.2">
      <c r="A59" s="1997"/>
      <c r="B59" s="2056"/>
      <c r="C59" s="2082"/>
    </row>
    <row r="60" spans="1:3" x14ac:dyDescent="0.2">
      <c r="A60" s="17" t="s">
        <v>638</v>
      </c>
      <c r="B60" s="2056"/>
      <c r="C60" s="2082"/>
    </row>
    <row r="61" spans="1:3" x14ac:dyDescent="0.2">
      <c r="A61" s="17" t="s">
        <v>1889</v>
      </c>
      <c r="B61" s="1997"/>
      <c r="C61" s="2054"/>
    </row>
    <row r="62" spans="1:3" x14ac:dyDescent="0.2">
      <c r="A62" s="1997"/>
      <c r="B62" s="1997"/>
      <c r="C62" s="2054"/>
    </row>
    <row r="63" spans="1:3" ht="15.75" x14ac:dyDescent="0.2">
      <c r="A63" s="1128" t="s">
        <v>1325</v>
      </c>
      <c r="B63" s="1129"/>
      <c r="C63" s="2054"/>
    </row>
    <row r="64" spans="1:3" x14ac:dyDescent="0.2">
      <c r="A64" s="1131" t="s">
        <v>1327</v>
      </c>
      <c r="B64" s="1131"/>
      <c r="C64" s="2054"/>
    </row>
    <row r="65" spans="1:3" x14ac:dyDescent="0.2">
      <c r="A65" s="1131" t="s">
        <v>1328</v>
      </c>
      <c r="B65" s="1131"/>
      <c r="C65" s="2054"/>
    </row>
  </sheetData>
  <sheetProtection insertRows="0" deleteRows="0"/>
  <customSheetViews>
    <customSheetView guid="{2AF6EA2A-E5C5-45EB-B6C4-875AD1E4E056}" fitToPage="1">
      <selection activeCell="A2" sqref="A2"/>
      <pageMargins left="0.24" right="0.24" top="0.71" bottom="0.72" header="0.51181102362204722" footer="0.51181102362204722"/>
      <printOptions horizontalCentered="1"/>
      <pageSetup paperSize="9" orientation="landscape" horizontalDpi="300" verticalDpi="300" r:id="rId1"/>
      <headerFooter alignWithMargins="0"/>
    </customSheetView>
  </customSheetViews>
  <mergeCells count="8">
    <mergeCell ref="A58:B58"/>
    <mergeCell ref="A4:A14"/>
    <mergeCell ref="A15:A25"/>
    <mergeCell ref="A3:B3"/>
    <mergeCell ref="A26:B26"/>
    <mergeCell ref="A35:B35"/>
    <mergeCell ref="A36:A46"/>
    <mergeCell ref="A47:A57"/>
  </mergeCells>
  <printOptions horizontalCentered="1"/>
  <pageMargins left="0.23622047244094491" right="0.23622047244094491" top="0.70866141732283472" bottom="0.70866141732283472" header="0.51181102362204722" footer="0.51181102362204722"/>
  <pageSetup paperSize="9" orientation="portrait" horizontalDpi="300" verticalDpi="300" r:id="rId2"/>
  <headerFooter alignWithMargins="0"/>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zoomScaleNormal="100" workbookViewId="0">
      <selection activeCell="D23" sqref="D23"/>
    </sheetView>
  </sheetViews>
  <sheetFormatPr defaultRowHeight="12.75" x14ac:dyDescent="0.25"/>
  <cols>
    <col min="1" max="1" width="13.28515625" style="16" customWidth="1"/>
    <col min="2" max="2" width="54.7109375" style="16" customWidth="1"/>
    <col min="3" max="3" width="14.28515625" style="94" customWidth="1"/>
    <col min="4" max="4" width="56.42578125" style="16" customWidth="1"/>
    <col min="5" max="5" width="9.140625" style="16"/>
    <col min="6" max="6" width="17.5703125" style="16" customWidth="1"/>
    <col min="7" max="16384" width="9.140625" style="16"/>
  </cols>
  <sheetData>
    <row r="1" spans="1:8" ht="15.75" x14ac:dyDescent="0.25">
      <c r="A1" s="11"/>
      <c r="B1" s="12"/>
      <c r="C1" s="16"/>
      <c r="D1" s="12"/>
    </row>
    <row r="2" spans="1:8" ht="13.5" hidden="1" thickBot="1" x14ac:dyDescent="0.3">
      <c r="A2" s="12"/>
      <c r="B2" s="12"/>
      <c r="C2" s="115" t="s">
        <v>499</v>
      </c>
      <c r="D2" s="12"/>
    </row>
    <row r="3" spans="1:8" ht="13.5" hidden="1" thickBot="1" x14ac:dyDescent="0.3">
      <c r="A3" s="2982" t="s">
        <v>520</v>
      </c>
      <c r="B3" s="2983"/>
      <c r="C3" s="96">
        <v>4761</v>
      </c>
    </row>
    <row r="4" spans="1:8" ht="12.75" hidden="1" customHeight="1" x14ac:dyDescent="0.25">
      <c r="A4" s="3004" t="s">
        <v>522</v>
      </c>
      <c r="B4" s="728" t="s">
        <v>719</v>
      </c>
      <c r="C4" s="300">
        <v>4035</v>
      </c>
      <c r="D4" s="285"/>
      <c r="E4" s="286"/>
      <c r="F4" s="287"/>
      <c r="G4" s="286"/>
    </row>
    <row r="5" spans="1:8" ht="12.75" hidden="1" customHeight="1" x14ac:dyDescent="0.25">
      <c r="A5" s="3005"/>
      <c r="B5" s="729" t="s">
        <v>544</v>
      </c>
      <c r="C5" s="300"/>
      <c r="D5" s="285"/>
      <c r="E5" s="286"/>
      <c r="F5" s="287"/>
      <c r="G5" s="286"/>
    </row>
    <row r="6" spans="1:8" ht="12.75" hidden="1" customHeight="1" thickBot="1" x14ac:dyDescent="0.3">
      <c r="A6" s="3006"/>
      <c r="B6" s="730" t="s">
        <v>720</v>
      </c>
      <c r="C6" s="301">
        <v>-1596</v>
      </c>
      <c r="D6" s="285"/>
      <c r="E6" s="286"/>
      <c r="F6" s="287"/>
      <c r="G6" s="286"/>
    </row>
    <row r="7" spans="1:8" ht="16.5" hidden="1" customHeight="1" thickBot="1" x14ac:dyDescent="0.3">
      <c r="A7" s="3007"/>
      <c r="B7" s="731" t="s">
        <v>504</v>
      </c>
      <c r="C7" s="302">
        <f>SUM(C4:C6)</f>
        <v>2439</v>
      </c>
      <c r="D7" s="285"/>
      <c r="E7" s="286"/>
      <c r="F7" s="287"/>
      <c r="G7" s="286"/>
    </row>
    <row r="8" spans="1:8" ht="16.5" hidden="1" customHeight="1" thickBot="1" x14ac:dyDescent="0.3">
      <c r="A8" s="732" t="s">
        <v>526</v>
      </c>
      <c r="B8" s="733" t="s">
        <v>504</v>
      </c>
      <c r="C8" s="303">
        <v>3369</v>
      </c>
      <c r="D8" s="285"/>
      <c r="E8" s="286"/>
      <c r="F8" s="287"/>
      <c r="G8" s="286"/>
    </row>
    <row r="9" spans="1:8" ht="16.5" hidden="1" customHeight="1" thickBot="1" x14ac:dyDescent="0.3">
      <c r="A9" s="3008" t="s">
        <v>545</v>
      </c>
      <c r="B9" s="3009"/>
      <c r="C9" s="272">
        <f>C3+C7-C8</f>
        <v>3831</v>
      </c>
      <c r="D9" s="285"/>
      <c r="E9" s="286"/>
      <c r="F9" s="287"/>
      <c r="G9" s="286"/>
    </row>
    <row r="10" spans="1:8" ht="15" hidden="1" customHeight="1" x14ac:dyDescent="0.25">
      <c r="A10" s="106"/>
      <c r="B10" s="121"/>
      <c r="C10" s="288"/>
      <c r="D10" s="285"/>
      <c r="E10" s="286"/>
      <c r="F10" s="287"/>
      <c r="G10" s="286"/>
    </row>
    <row r="11" spans="1:8" hidden="1" x14ac:dyDescent="0.25">
      <c r="A11" s="12" t="s">
        <v>638</v>
      </c>
      <c r="B11" s="289"/>
      <c r="C11" s="290"/>
      <c r="D11" s="289"/>
      <c r="E11" s="291"/>
      <c r="F11" s="285"/>
      <c r="G11" s="285"/>
      <c r="H11" s="285"/>
    </row>
    <row r="12" spans="1:8" hidden="1" x14ac:dyDescent="0.25">
      <c r="A12" s="324" t="s">
        <v>875</v>
      </c>
      <c r="B12" s="323"/>
      <c r="C12" s="292"/>
      <c r="D12" s="289"/>
      <c r="E12" s="291"/>
      <c r="F12" s="285"/>
      <c r="G12" s="285"/>
      <c r="H12" s="285"/>
    </row>
    <row r="13" spans="1:8" hidden="1" x14ac:dyDescent="0.25">
      <c r="A13" s="17" t="s">
        <v>1181</v>
      </c>
      <c r="B13" s="123"/>
      <c r="C13" s="293"/>
      <c r="D13" s="123"/>
      <c r="E13" s="172"/>
      <c r="F13" s="172"/>
      <c r="G13" s="172"/>
      <c r="H13" s="172"/>
    </row>
    <row r="14" spans="1:8" x14ac:dyDescent="0.25">
      <c r="A14" s="185"/>
      <c r="B14" s="185"/>
      <c r="C14" s="294"/>
      <c r="D14" s="295"/>
      <c r="E14" s="296"/>
      <c r="F14" s="296"/>
      <c r="G14" s="296"/>
      <c r="H14" s="297"/>
    </row>
    <row r="15" spans="1:8" ht="18.75" x14ac:dyDescent="0.25">
      <c r="A15" s="1995"/>
      <c r="B15" s="185"/>
      <c r="C15" s="298"/>
      <c r="D15" s="185"/>
      <c r="E15" s="297"/>
      <c r="F15" s="297"/>
      <c r="G15" s="296"/>
      <c r="H15" s="297"/>
    </row>
    <row r="16" spans="1:8" ht="18.75" x14ac:dyDescent="0.25">
      <c r="A16" s="910" t="s">
        <v>1278</v>
      </c>
      <c r="B16" s="18"/>
      <c r="C16" s="1518"/>
      <c r="D16" s="297"/>
      <c r="E16" s="297"/>
      <c r="F16" s="297"/>
      <c r="G16" s="297"/>
      <c r="H16" s="297"/>
    </row>
    <row r="17" spans="1:8" ht="15.75" x14ac:dyDescent="0.25">
      <c r="A17" s="22" t="s">
        <v>1154</v>
      </c>
      <c r="B17" s="17"/>
      <c r="C17" s="18"/>
      <c r="D17" s="299"/>
      <c r="E17" s="299"/>
      <c r="F17" s="299"/>
      <c r="G17" s="299"/>
      <c r="H17" s="299"/>
    </row>
    <row r="18" spans="1:8" ht="13.5" thickBot="1" x14ac:dyDescent="0.3">
      <c r="A18" s="17"/>
      <c r="B18" s="17"/>
      <c r="C18" s="1970" t="s">
        <v>499</v>
      </c>
      <c r="D18" s="299"/>
      <c r="E18" s="299"/>
      <c r="F18" s="299"/>
      <c r="G18" s="299"/>
      <c r="H18" s="299"/>
    </row>
    <row r="19" spans="1:8" ht="13.5" thickBot="1" x14ac:dyDescent="0.3">
      <c r="A19" s="2975" t="s">
        <v>520</v>
      </c>
      <c r="B19" s="2976"/>
      <c r="C19" s="1971">
        <v>4761</v>
      </c>
      <c r="D19" s="172"/>
      <c r="E19" s="172"/>
      <c r="F19" s="172"/>
      <c r="G19" s="172"/>
      <c r="H19" s="172"/>
    </row>
    <row r="20" spans="1:8" x14ac:dyDescent="0.25">
      <c r="A20" s="3010" t="s">
        <v>522</v>
      </c>
      <c r="B20" s="1972" t="s">
        <v>719</v>
      </c>
      <c r="C20" s="1973">
        <f>4035</f>
        <v>4035</v>
      </c>
      <c r="D20" s="172"/>
      <c r="E20" s="172"/>
      <c r="F20" s="172"/>
      <c r="G20" s="172"/>
      <c r="H20" s="172"/>
    </row>
    <row r="21" spans="1:8" ht="25.5" x14ac:dyDescent="0.25">
      <c r="A21" s="3011"/>
      <c r="B21" s="1974" t="s">
        <v>544</v>
      </c>
      <c r="C21" s="1973"/>
      <c r="D21" s="172"/>
      <c r="E21" s="172"/>
      <c r="F21" s="172"/>
      <c r="G21" s="172"/>
      <c r="H21" s="172"/>
    </row>
    <row r="22" spans="1:8" ht="16.5" thickBot="1" x14ac:dyDescent="0.3">
      <c r="A22" s="3012"/>
      <c r="B22" s="1975" t="s">
        <v>1880</v>
      </c>
      <c r="C22" s="2337">
        <f>-1596</f>
        <v>-1596</v>
      </c>
      <c r="D22" s="172"/>
      <c r="E22" s="172"/>
      <c r="F22" s="172"/>
      <c r="G22" s="172"/>
      <c r="H22" s="172"/>
    </row>
    <row r="23" spans="1:8" ht="13.5" thickBot="1" x14ac:dyDescent="0.3">
      <c r="A23" s="3013"/>
      <c r="B23" s="1976" t="s">
        <v>504</v>
      </c>
      <c r="C23" s="2445">
        <f>SUM(C20:C22)</f>
        <v>2439</v>
      </c>
      <c r="D23" s="172"/>
      <c r="E23" s="172"/>
      <c r="F23" s="172"/>
      <c r="G23" s="172"/>
      <c r="H23" s="172"/>
    </row>
    <row r="24" spans="1:8" ht="13.5" thickBot="1" x14ac:dyDescent="0.3">
      <c r="A24" s="1977" t="s">
        <v>526</v>
      </c>
      <c r="B24" s="1978" t="s">
        <v>504</v>
      </c>
      <c r="C24" s="2446">
        <v>3369</v>
      </c>
      <c r="D24" s="172"/>
      <c r="E24" s="172"/>
      <c r="F24" s="172"/>
      <c r="G24" s="172"/>
      <c r="H24" s="172"/>
    </row>
    <row r="25" spans="1:8" ht="13.5" thickBot="1" x14ac:dyDescent="0.3">
      <c r="A25" s="3002" t="s">
        <v>545</v>
      </c>
      <c r="B25" s="3003"/>
      <c r="C25" s="1979">
        <f>C19+C23-C24</f>
        <v>3831</v>
      </c>
      <c r="D25" s="172"/>
      <c r="E25" s="172"/>
      <c r="F25" s="172"/>
      <c r="G25" s="172"/>
      <c r="H25" s="172"/>
    </row>
    <row r="26" spans="1:8" ht="15.75" x14ac:dyDescent="0.25">
      <c r="A26" s="1980"/>
      <c r="B26" s="1981"/>
      <c r="C26" s="1982"/>
      <c r="D26" s="172"/>
      <c r="E26" s="172"/>
      <c r="F26" s="172"/>
      <c r="G26" s="172"/>
      <c r="H26" s="172"/>
    </row>
    <row r="27" spans="1:8" x14ac:dyDescent="0.25">
      <c r="A27" s="17" t="s">
        <v>638</v>
      </c>
      <c r="B27" s="1983"/>
      <c r="C27" s="1984"/>
      <c r="D27" s="172"/>
      <c r="E27" s="172"/>
      <c r="F27" s="172"/>
      <c r="G27" s="172"/>
      <c r="H27" s="172"/>
    </row>
    <row r="28" spans="1:8" x14ac:dyDescent="0.25">
      <c r="A28" s="324" t="s">
        <v>875</v>
      </c>
      <c r="B28" s="1985"/>
      <c r="C28" s="1986"/>
      <c r="D28" s="172"/>
      <c r="E28" s="172"/>
      <c r="F28" s="172"/>
      <c r="G28" s="172"/>
      <c r="H28" s="172"/>
    </row>
    <row r="29" spans="1:8" x14ac:dyDescent="0.25">
      <c r="A29" s="17" t="s">
        <v>1881</v>
      </c>
      <c r="B29" s="1987"/>
      <c r="C29" s="1988"/>
      <c r="D29" s="172"/>
      <c r="E29" s="172"/>
      <c r="F29" s="172"/>
      <c r="G29" s="172"/>
      <c r="H29" s="172"/>
    </row>
    <row r="30" spans="1:8" ht="15" x14ac:dyDescent="0.25">
      <c r="A30" s="1989" t="s">
        <v>1711</v>
      </c>
      <c r="B30" s="1996"/>
      <c r="C30" s="1990"/>
      <c r="D30" s="172"/>
      <c r="E30" s="172"/>
      <c r="F30" s="172"/>
      <c r="G30" s="172"/>
      <c r="H30" s="172"/>
    </row>
    <row r="31" spans="1:8" ht="20.100000000000001" customHeight="1" x14ac:dyDescent="0.25">
      <c r="A31" s="3001" t="s">
        <v>1909</v>
      </c>
      <c r="B31" s="2460"/>
      <c r="C31" s="2460"/>
      <c r="D31" s="172"/>
      <c r="E31" s="172"/>
      <c r="F31" s="172"/>
      <c r="G31" s="172"/>
      <c r="H31" s="172"/>
    </row>
    <row r="32" spans="1:8" ht="20.100000000000001" customHeight="1" x14ac:dyDescent="0.25">
      <c r="A32" s="2460"/>
      <c r="B32" s="2460"/>
      <c r="C32" s="2460"/>
      <c r="D32" s="172"/>
      <c r="E32" s="172"/>
      <c r="F32" s="172"/>
      <c r="G32" s="172"/>
      <c r="H32" s="172"/>
    </row>
    <row r="33" spans="1:8" ht="20.100000000000001" customHeight="1" x14ac:dyDescent="0.25">
      <c r="A33" s="2460"/>
      <c r="B33" s="2460"/>
      <c r="C33" s="2460"/>
      <c r="D33" s="172"/>
      <c r="E33" s="172"/>
      <c r="F33" s="172"/>
      <c r="G33" s="172"/>
      <c r="H33" s="172"/>
    </row>
    <row r="34" spans="1:8" ht="20.100000000000001" customHeight="1" x14ac:dyDescent="0.25">
      <c r="A34" s="2460"/>
      <c r="B34" s="2460"/>
      <c r="C34" s="2460"/>
    </row>
    <row r="35" spans="1:8" ht="20.100000000000001" customHeight="1" x14ac:dyDescent="0.25">
      <c r="A35" s="2460"/>
      <c r="B35" s="2460"/>
      <c r="C35" s="2460"/>
    </row>
    <row r="36" spans="1:8" ht="20.100000000000001" customHeight="1" x14ac:dyDescent="0.25">
      <c r="A36" s="2460"/>
      <c r="B36" s="2460"/>
      <c r="C36" s="2460"/>
    </row>
    <row r="37" spans="1:8" ht="20.100000000000001" customHeight="1" x14ac:dyDescent="0.25">
      <c r="A37" s="2460"/>
      <c r="B37" s="2460"/>
      <c r="C37" s="2460"/>
    </row>
    <row r="38" spans="1:8" x14ac:dyDescent="0.25">
      <c r="A38" s="1991"/>
      <c r="B38" s="1991"/>
      <c r="C38" s="1992"/>
    </row>
    <row r="39" spans="1:8" ht="15.75" x14ac:dyDescent="0.25">
      <c r="A39" s="1128" t="s">
        <v>1325</v>
      </c>
      <c r="B39" s="1129"/>
      <c r="C39" s="1993"/>
    </row>
    <row r="40" spans="1:8" x14ac:dyDescent="0.25">
      <c r="A40" s="1131" t="s">
        <v>1327</v>
      </c>
      <c r="B40" s="1131"/>
      <c r="C40" s="1993"/>
    </row>
    <row r="41" spans="1:8" x14ac:dyDescent="0.25">
      <c r="A41" s="1131" t="s">
        <v>1328</v>
      </c>
      <c r="B41" s="1131"/>
      <c r="C41" s="1994"/>
    </row>
    <row r="42" spans="1:8" x14ac:dyDescent="0.25">
      <c r="A42" s="1134" t="s">
        <v>1329</v>
      </c>
      <c r="B42" s="172"/>
      <c r="C42" s="186"/>
    </row>
    <row r="43" spans="1:8" x14ac:dyDescent="0.25">
      <c r="A43" s="172"/>
      <c r="B43" s="172"/>
      <c r="C43" s="186"/>
    </row>
    <row r="44" spans="1:8" x14ac:dyDescent="0.25">
      <c r="A44" s="172"/>
      <c r="B44" s="172"/>
      <c r="C44" s="186"/>
    </row>
    <row r="54" spans="1:3" x14ac:dyDescent="0.25">
      <c r="A54" s="3001"/>
      <c r="B54" s="2460"/>
      <c r="C54" s="2460"/>
    </row>
    <row r="55" spans="1:3" x14ac:dyDescent="0.25">
      <c r="A55" s="2460"/>
      <c r="B55" s="2460"/>
      <c r="C55" s="2460"/>
    </row>
    <row r="56" spans="1:3" x14ac:dyDescent="0.25">
      <c r="A56" s="2460"/>
      <c r="B56" s="2460"/>
      <c r="C56" s="2460"/>
    </row>
    <row r="57" spans="1:3" x14ac:dyDescent="0.25">
      <c r="A57" s="2460"/>
      <c r="B57" s="2460"/>
      <c r="C57" s="2460"/>
    </row>
    <row r="58" spans="1:3" x14ac:dyDescent="0.25">
      <c r="A58" s="2460"/>
      <c r="B58" s="2460"/>
      <c r="C58" s="2460"/>
    </row>
    <row r="59" spans="1:3" x14ac:dyDescent="0.25">
      <c r="A59" s="2460"/>
      <c r="B59" s="2460"/>
      <c r="C59" s="2460"/>
    </row>
    <row r="60" spans="1:3" x14ac:dyDescent="0.25">
      <c r="A60" s="2460"/>
      <c r="B60" s="2460"/>
      <c r="C60" s="2460"/>
    </row>
  </sheetData>
  <sheetProtection insert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8">
    <mergeCell ref="A54:C60"/>
    <mergeCell ref="A25:B25"/>
    <mergeCell ref="A31:C37"/>
    <mergeCell ref="A4:A7"/>
    <mergeCell ref="A3:B3"/>
    <mergeCell ref="A9:B9"/>
    <mergeCell ref="A19:B19"/>
    <mergeCell ref="A20:A23"/>
  </mergeCells>
  <printOptions horizontalCentered="1"/>
  <pageMargins left="0.78740157480314965" right="0.78740157480314965" top="0.98425196850393704" bottom="0.98425196850393704" header="0.51181102362204722" footer="0.51181102362204722"/>
  <pageSetup paperSize="9" orientation="portrait" cellComments="asDisplayed" horizontalDpi="300" verticalDpi="300"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zoomScaleNormal="100" workbookViewId="0">
      <selection activeCell="B22" sqref="B22"/>
    </sheetView>
  </sheetViews>
  <sheetFormatPr defaultRowHeight="12.75" x14ac:dyDescent="0.2"/>
  <cols>
    <col min="1" max="1" width="15.5703125" style="60" customWidth="1"/>
    <col min="2" max="2" width="32" style="60" customWidth="1"/>
    <col min="3" max="3" width="17.85546875" style="101" customWidth="1"/>
    <col min="4" max="16384" width="9.140625" style="60"/>
  </cols>
  <sheetData>
    <row r="1" spans="1:5" ht="13.5" customHeight="1" x14ac:dyDescent="0.25">
      <c r="A1" s="83"/>
      <c r="B1" s="62"/>
      <c r="D1" s="62"/>
      <c r="E1" s="62"/>
    </row>
    <row r="2" spans="1:5" x14ac:dyDescent="0.2">
      <c r="A2" s="62"/>
      <c r="B2" s="62"/>
      <c r="C2" s="102"/>
      <c r="D2" s="62"/>
      <c r="E2" s="62"/>
    </row>
    <row r="3" spans="1:5" ht="13.5" hidden="1" thickBot="1" x14ac:dyDescent="0.25">
      <c r="A3" s="2982" t="s">
        <v>520</v>
      </c>
      <c r="B3" s="2983"/>
      <c r="C3" s="96">
        <v>13126</v>
      </c>
      <c r="D3" s="62"/>
      <c r="E3" s="62"/>
    </row>
    <row r="4" spans="1:5" hidden="1" x14ac:dyDescent="0.2">
      <c r="A4" s="2977" t="s">
        <v>522</v>
      </c>
      <c r="B4" s="745" t="s">
        <v>1161</v>
      </c>
      <c r="C4" s="271">
        <v>6673</v>
      </c>
      <c r="D4" s="62"/>
      <c r="E4" s="62"/>
    </row>
    <row r="5" spans="1:5" hidden="1" x14ac:dyDescent="0.2">
      <c r="A5" s="2978"/>
      <c r="B5" s="746" t="s">
        <v>546</v>
      </c>
      <c r="C5" s="195"/>
      <c r="D5" s="62"/>
      <c r="E5" s="62"/>
    </row>
    <row r="6" spans="1:5" hidden="1" x14ac:dyDescent="0.2">
      <c r="A6" s="2978"/>
      <c r="B6" s="746" t="s">
        <v>523</v>
      </c>
      <c r="C6" s="195"/>
      <c r="D6" s="62"/>
      <c r="E6" s="62"/>
    </row>
    <row r="7" spans="1:5" hidden="1" x14ac:dyDescent="0.2">
      <c r="A7" s="2978"/>
      <c r="B7" s="750" t="s">
        <v>525</v>
      </c>
      <c r="C7" s="197"/>
      <c r="D7" s="62"/>
      <c r="E7" s="62"/>
    </row>
    <row r="8" spans="1:5" ht="13.5" hidden="1" thickBot="1" x14ac:dyDescent="0.25">
      <c r="A8" s="2978"/>
      <c r="B8" s="750" t="s">
        <v>716</v>
      </c>
      <c r="C8" s="197"/>
      <c r="D8" s="62"/>
      <c r="E8" s="62"/>
    </row>
    <row r="9" spans="1:5" ht="13.5" hidden="1" thickBot="1" x14ac:dyDescent="0.25">
      <c r="A9" s="2979"/>
      <c r="B9" s="747" t="s">
        <v>504</v>
      </c>
      <c r="C9" s="304">
        <f>SUM(C4:C8)</f>
        <v>6673</v>
      </c>
      <c r="D9" s="62"/>
      <c r="E9" s="62"/>
    </row>
    <row r="10" spans="1:5" hidden="1" x14ac:dyDescent="0.2">
      <c r="A10" s="3014" t="s">
        <v>526</v>
      </c>
      <c r="B10" s="745" t="s">
        <v>547</v>
      </c>
      <c r="C10" s="193">
        <v>9771</v>
      </c>
      <c r="D10" s="62"/>
      <c r="E10" s="62"/>
    </row>
    <row r="11" spans="1:5" hidden="1" x14ac:dyDescent="0.2">
      <c r="A11" s="2978"/>
      <c r="B11" s="746" t="s">
        <v>548</v>
      </c>
      <c r="C11" s="195"/>
      <c r="D11" s="62"/>
      <c r="E11" s="62"/>
    </row>
    <row r="12" spans="1:5" hidden="1" x14ac:dyDescent="0.2">
      <c r="A12" s="2978"/>
      <c r="B12" s="746" t="s">
        <v>528</v>
      </c>
      <c r="C12" s="195"/>
      <c r="D12" s="62"/>
      <c r="E12" s="62"/>
    </row>
    <row r="13" spans="1:5" hidden="1" x14ac:dyDescent="0.2">
      <c r="A13" s="2978"/>
      <c r="B13" s="746" t="s">
        <v>530</v>
      </c>
      <c r="C13" s="195"/>
      <c r="D13" s="62"/>
      <c r="E13" s="62"/>
    </row>
    <row r="14" spans="1:5" ht="13.5" hidden="1" thickBot="1" x14ac:dyDescent="0.25">
      <c r="A14" s="2978"/>
      <c r="B14" s="746" t="s">
        <v>717</v>
      </c>
      <c r="C14" s="195"/>
      <c r="D14" s="62"/>
      <c r="E14" s="62"/>
    </row>
    <row r="15" spans="1:5" ht="13.5" hidden="1" thickBot="1" x14ac:dyDescent="0.25">
      <c r="A15" s="2979"/>
      <c r="B15" s="747" t="s">
        <v>504</v>
      </c>
      <c r="C15" s="304">
        <f>SUM(C10:C14)</f>
        <v>9771</v>
      </c>
      <c r="D15" s="62"/>
      <c r="E15" s="62"/>
    </row>
    <row r="16" spans="1:5" ht="13.5" hidden="1" thickBot="1" x14ac:dyDescent="0.25">
      <c r="A16" s="2982" t="s">
        <v>521</v>
      </c>
      <c r="B16" s="2983"/>
      <c r="C16" s="304">
        <f>C3+C9-C15</f>
        <v>10028</v>
      </c>
      <c r="D16" s="62"/>
      <c r="E16" s="62"/>
    </row>
    <row r="17" spans="1:5" hidden="1" x14ac:dyDescent="0.2">
      <c r="A17" s="62"/>
      <c r="B17" s="30"/>
      <c r="C17" s="98"/>
      <c r="D17" s="62"/>
      <c r="E17" s="62"/>
    </row>
    <row r="18" spans="1:5" hidden="1" x14ac:dyDescent="0.2">
      <c r="A18" s="12" t="s">
        <v>638</v>
      </c>
      <c r="B18" s="62"/>
      <c r="C18" s="98"/>
      <c r="D18" s="62"/>
      <c r="E18" s="62"/>
    </row>
    <row r="19" spans="1:5" hidden="1" x14ac:dyDescent="0.2">
      <c r="A19" s="17" t="s">
        <v>1160</v>
      </c>
      <c r="B19" s="62"/>
      <c r="C19" s="98"/>
      <c r="D19" s="62"/>
      <c r="E19" s="62"/>
    </row>
    <row r="20" spans="1:5" x14ac:dyDescent="0.2">
      <c r="A20" s="62"/>
      <c r="B20" s="62"/>
      <c r="C20" s="98"/>
      <c r="D20" s="62"/>
      <c r="E20" s="62"/>
    </row>
    <row r="21" spans="1:5" ht="18.75" x14ac:dyDescent="0.2">
      <c r="A21" s="910" t="s">
        <v>1278</v>
      </c>
      <c r="B21" s="1997"/>
      <c r="C21" s="2054"/>
      <c r="D21" s="62"/>
      <c r="E21" s="62"/>
    </row>
    <row r="22" spans="1:5" ht="15.75" x14ac:dyDescent="0.25">
      <c r="A22" s="2083" t="s">
        <v>1155</v>
      </c>
      <c r="B22" s="2056"/>
      <c r="C22" s="2054"/>
      <c r="D22" s="62"/>
      <c r="E22" s="62"/>
    </row>
    <row r="23" spans="1:5" ht="13.5" thickBot="1" x14ac:dyDescent="0.25">
      <c r="A23" s="2056"/>
      <c r="B23" s="2056"/>
      <c r="C23" s="2084" t="s">
        <v>499</v>
      </c>
    </row>
    <row r="24" spans="1:5" ht="13.5" thickBot="1" x14ac:dyDescent="0.25">
      <c r="A24" s="2975" t="s">
        <v>520</v>
      </c>
      <c r="B24" s="2976"/>
      <c r="C24" s="2048">
        <v>13126</v>
      </c>
    </row>
    <row r="25" spans="1:5" x14ac:dyDescent="0.2">
      <c r="A25" s="2986" t="s">
        <v>522</v>
      </c>
      <c r="B25" s="2049" t="s">
        <v>1161</v>
      </c>
      <c r="C25" s="2000">
        <v>6673</v>
      </c>
    </row>
    <row r="26" spans="1:5" x14ac:dyDescent="0.2">
      <c r="A26" s="2987"/>
      <c r="B26" s="1954" t="s">
        <v>546</v>
      </c>
      <c r="C26" s="2002"/>
    </row>
    <row r="27" spans="1:5" x14ac:dyDescent="0.2">
      <c r="A27" s="2987"/>
      <c r="B27" s="1954" t="s">
        <v>523</v>
      </c>
      <c r="C27" s="2002"/>
    </row>
    <row r="28" spans="1:5" x14ac:dyDescent="0.2">
      <c r="A28" s="2987"/>
      <c r="B28" s="2085" t="s">
        <v>525</v>
      </c>
      <c r="C28" s="2005"/>
    </row>
    <row r="29" spans="1:5" ht="13.5" thickBot="1" x14ac:dyDescent="0.25">
      <c r="A29" s="2987"/>
      <c r="B29" s="2085" t="s">
        <v>716</v>
      </c>
      <c r="C29" s="2005"/>
    </row>
    <row r="30" spans="1:5" ht="13.5" thickBot="1" x14ac:dyDescent="0.25">
      <c r="A30" s="2988"/>
      <c r="B30" s="2050" t="s">
        <v>504</v>
      </c>
      <c r="C30" s="2086">
        <f>SUM(C25:C29)</f>
        <v>6673</v>
      </c>
    </row>
    <row r="31" spans="1:5" x14ac:dyDescent="0.2">
      <c r="A31" s="3015" t="s">
        <v>526</v>
      </c>
      <c r="B31" s="2049" t="s">
        <v>547</v>
      </c>
      <c r="C31" s="2087">
        <v>9771</v>
      </c>
    </row>
    <row r="32" spans="1:5" x14ac:dyDescent="0.2">
      <c r="A32" s="2987"/>
      <c r="B32" s="1954" t="s">
        <v>548</v>
      </c>
      <c r="C32" s="2002"/>
    </row>
    <row r="33" spans="1:3" x14ac:dyDescent="0.2">
      <c r="A33" s="2987"/>
      <c r="B33" s="1954" t="s">
        <v>528</v>
      </c>
      <c r="C33" s="2002"/>
    </row>
    <row r="34" spans="1:3" x14ac:dyDescent="0.2">
      <c r="A34" s="2987"/>
      <c r="B34" s="1954" t="s">
        <v>530</v>
      </c>
      <c r="C34" s="2002"/>
    </row>
    <row r="35" spans="1:3" ht="13.5" thickBot="1" x14ac:dyDescent="0.25">
      <c r="A35" s="2987"/>
      <c r="B35" s="1954" t="s">
        <v>717</v>
      </c>
      <c r="C35" s="2002"/>
    </row>
    <row r="36" spans="1:3" ht="13.5" thickBot="1" x14ac:dyDescent="0.25">
      <c r="A36" s="2988"/>
      <c r="B36" s="2050" t="s">
        <v>504</v>
      </c>
      <c r="C36" s="2086">
        <f>SUM(C31:C35)</f>
        <v>9771</v>
      </c>
    </row>
    <row r="37" spans="1:3" ht="13.5" thickBot="1" x14ac:dyDescent="0.25">
      <c r="A37" s="2975" t="s">
        <v>521</v>
      </c>
      <c r="B37" s="2976"/>
      <c r="C37" s="2088">
        <f>C24+C30-C36</f>
        <v>10028</v>
      </c>
    </row>
    <row r="38" spans="1:3" x14ac:dyDescent="0.2">
      <c r="A38" s="2056"/>
      <c r="B38" s="2089"/>
      <c r="C38" s="2082"/>
    </row>
    <row r="39" spans="1:3" x14ac:dyDescent="0.2">
      <c r="A39" s="17" t="s">
        <v>638</v>
      </c>
      <c r="B39" s="2056"/>
      <c r="C39" s="2082"/>
    </row>
    <row r="40" spans="1:3" x14ac:dyDescent="0.2">
      <c r="A40" s="17" t="s">
        <v>1889</v>
      </c>
      <c r="B40" s="2056"/>
      <c r="C40" s="2082"/>
    </row>
    <row r="41" spans="1:3" x14ac:dyDescent="0.2">
      <c r="A41" s="2056"/>
      <c r="B41" s="2056"/>
      <c r="C41" s="2082"/>
    </row>
    <row r="42" spans="1:3" x14ac:dyDescent="0.2">
      <c r="A42" s="2056"/>
      <c r="B42" s="2056"/>
      <c r="C42" s="2082"/>
    </row>
    <row r="43" spans="1:3" ht="15.75" x14ac:dyDescent="0.2">
      <c r="A43" s="1128" t="s">
        <v>1325</v>
      </c>
      <c r="B43" s="1129"/>
      <c r="C43" s="2082"/>
    </row>
    <row r="44" spans="1:3" x14ac:dyDescent="0.2">
      <c r="A44" s="1131" t="s">
        <v>1327</v>
      </c>
      <c r="B44" s="1131"/>
      <c r="C44" s="2054"/>
    </row>
    <row r="45" spans="1:3" x14ac:dyDescent="0.2">
      <c r="A45" s="1131" t="s">
        <v>1328</v>
      </c>
      <c r="B45" s="1131"/>
      <c r="C45" s="2054"/>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8">
    <mergeCell ref="A37:B37"/>
    <mergeCell ref="A4:A9"/>
    <mergeCell ref="A10:A15"/>
    <mergeCell ref="A3:B3"/>
    <mergeCell ref="A16:B16"/>
    <mergeCell ref="A24:B24"/>
    <mergeCell ref="A25:A30"/>
    <mergeCell ref="A31:A36"/>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activeCell="B27" sqref="B27"/>
    </sheetView>
  </sheetViews>
  <sheetFormatPr defaultRowHeight="12.75" x14ac:dyDescent="0.25"/>
  <cols>
    <col min="1" max="1" width="11.85546875" style="16" customWidth="1"/>
    <col min="2" max="2" width="6.85546875" style="16" customWidth="1"/>
    <col min="3" max="3" width="68.42578125" style="16" customWidth="1"/>
    <col min="4" max="6" width="10.42578125" style="94" customWidth="1"/>
    <col min="7" max="7" width="17.5703125" style="16" customWidth="1"/>
    <col min="8" max="16384" width="9.140625" style="16"/>
  </cols>
  <sheetData>
    <row r="1" spans="1:9" ht="15.75" x14ac:dyDescent="0.25">
      <c r="A1" s="11"/>
      <c r="B1" s="12"/>
      <c r="C1" s="12"/>
      <c r="D1" s="93"/>
      <c r="E1" s="93"/>
      <c r="G1" s="12"/>
      <c r="H1" s="12"/>
      <c r="I1" s="12"/>
    </row>
    <row r="2" spans="1:9" x14ac:dyDescent="0.25">
      <c r="A2" s="12"/>
      <c r="B2" s="12"/>
      <c r="C2" s="12"/>
      <c r="D2" s="93"/>
      <c r="E2" s="93"/>
      <c r="F2" s="115" t="s">
        <v>499</v>
      </c>
      <c r="G2" s="12"/>
      <c r="H2" s="12"/>
      <c r="I2" s="12"/>
    </row>
    <row r="3" spans="1:9" s="28" customFormat="1" ht="17.25" hidden="1" customHeight="1" thickBot="1" x14ac:dyDescent="0.3">
      <c r="A3" s="116"/>
      <c r="B3" s="117"/>
      <c r="C3" s="118" t="s">
        <v>512</v>
      </c>
      <c r="D3" s="119" t="s">
        <v>549</v>
      </c>
      <c r="E3" s="119" t="s">
        <v>550</v>
      </c>
      <c r="F3" s="120" t="s">
        <v>505</v>
      </c>
      <c r="G3" s="27"/>
      <c r="H3" s="27"/>
      <c r="I3" s="27"/>
    </row>
    <row r="4" spans="1:9" ht="12.75" hidden="1" customHeight="1" x14ac:dyDescent="0.25">
      <c r="A4" s="3006" t="s">
        <v>520</v>
      </c>
      <c r="B4" s="751" t="s">
        <v>551</v>
      </c>
      <c r="C4" s="751"/>
      <c r="D4" s="192"/>
      <c r="E4" s="192"/>
      <c r="F4" s="305">
        <f t="shared" ref="F4:F17" si="0">SUM(D4:E4)</f>
        <v>0</v>
      </c>
      <c r="G4" s="12"/>
      <c r="H4" s="12"/>
      <c r="I4" s="12"/>
    </row>
    <row r="5" spans="1:9" ht="12.75" hidden="1" customHeight="1" x14ac:dyDescent="0.25">
      <c r="A5" s="3006"/>
      <c r="B5" s="746" t="s">
        <v>552</v>
      </c>
      <c r="C5" s="746"/>
      <c r="D5" s="194"/>
      <c r="E5" s="194"/>
      <c r="F5" s="306">
        <f t="shared" si="0"/>
        <v>0</v>
      </c>
      <c r="G5" s="121"/>
      <c r="H5" s="122"/>
      <c r="I5" s="12"/>
    </row>
    <row r="6" spans="1:9" ht="12.75" hidden="1" customHeight="1" x14ac:dyDescent="0.25">
      <c r="A6" s="3006"/>
      <c r="B6" s="746" t="s">
        <v>598</v>
      </c>
      <c r="C6" s="746"/>
      <c r="D6" s="307">
        <v>1118</v>
      </c>
      <c r="E6" s="194"/>
      <c r="F6" s="308">
        <f t="shared" si="0"/>
        <v>1118</v>
      </c>
      <c r="G6" s="121"/>
      <c r="H6" s="122"/>
      <c r="I6" s="12"/>
    </row>
    <row r="7" spans="1:9" ht="12.75" hidden="1" customHeight="1" thickBot="1" x14ac:dyDescent="0.3">
      <c r="A7" s="3006"/>
      <c r="B7" s="750" t="s">
        <v>599</v>
      </c>
      <c r="C7" s="752"/>
      <c r="D7" s="309">
        <v>46</v>
      </c>
      <c r="E7" s="196"/>
      <c r="F7" s="310">
        <f t="shared" si="0"/>
        <v>46</v>
      </c>
      <c r="G7" s="121"/>
      <c r="H7" s="122"/>
      <c r="I7" s="12"/>
    </row>
    <row r="8" spans="1:9" ht="13.5" hidden="1" thickBot="1" x14ac:dyDescent="0.3">
      <c r="A8" s="3007"/>
      <c r="B8" s="753" t="s">
        <v>505</v>
      </c>
      <c r="C8" s="753"/>
      <c r="D8" s="311">
        <f>SUM(D4:D7)</f>
        <v>1164</v>
      </c>
      <c r="E8" s="311">
        <f>SUM(E4:E7)</f>
        <v>0</v>
      </c>
      <c r="F8" s="312">
        <f>SUM(F4:F7)</f>
        <v>1164</v>
      </c>
      <c r="G8" s="121"/>
      <c r="H8" s="122"/>
      <c r="I8" s="12"/>
    </row>
    <row r="9" spans="1:9" hidden="1" x14ac:dyDescent="0.25">
      <c r="A9" s="3004" t="s">
        <v>553</v>
      </c>
      <c r="B9" s="751" t="s">
        <v>551</v>
      </c>
      <c r="C9" s="754"/>
      <c r="D9" s="313"/>
      <c r="E9" s="313"/>
      <c r="F9" s="314">
        <f t="shared" si="0"/>
        <v>0</v>
      </c>
      <c r="G9" s="123"/>
      <c r="H9" s="123"/>
      <c r="I9" s="123"/>
    </row>
    <row r="10" spans="1:9" hidden="1" x14ac:dyDescent="0.25">
      <c r="A10" s="3005"/>
      <c r="B10" s="746" t="s">
        <v>552</v>
      </c>
      <c r="C10" s="755"/>
      <c r="D10" s="192"/>
      <c r="E10" s="194"/>
      <c r="F10" s="315">
        <f t="shared" si="0"/>
        <v>0</v>
      </c>
      <c r="G10" s="123"/>
      <c r="H10" s="123"/>
      <c r="I10" s="123"/>
    </row>
    <row r="11" spans="1:9" hidden="1" x14ac:dyDescent="0.25">
      <c r="A11" s="3005"/>
      <c r="B11" s="746" t="s">
        <v>598</v>
      </c>
      <c r="C11" s="755"/>
      <c r="D11" s="192">
        <f>1022-165</f>
        <v>857</v>
      </c>
      <c r="E11" s="194"/>
      <c r="F11" s="315">
        <f t="shared" si="0"/>
        <v>857</v>
      </c>
      <c r="G11" s="12"/>
      <c r="H11" s="12"/>
      <c r="I11" s="12"/>
    </row>
    <row r="12" spans="1:9" ht="13.5" hidden="1" thickBot="1" x14ac:dyDescent="0.3">
      <c r="A12" s="3005"/>
      <c r="B12" s="750" t="s">
        <v>599</v>
      </c>
      <c r="C12" s="755"/>
      <c r="D12" s="194">
        <v>165</v>
      </c>
      <c r="E12" s="194">
        <v>140</v>
      </c>
      <c r="F12" s="316">
        <f t="shared" si="0"/>
        <v>305</v>
      </c>
      <c r="G12" s="12"/>
      <c r="H12" s="12"/>
      <c r="I12" s="12"/>
    </row>
    <row r="13" spans="1:9" ht="13.5" hidden="1" thickBot="1" x14ac:dyDescent="0.3">
      <c r="A13" s="3017"/>
      <c r="B13" s="756" t="s">
        <v>504</v>
      </c>
      <c r="C13" s="756"/>
      <c r="D13" s="317">
        <f>SUM(D9:D12)</f>
        <v>1022</v>
      </c>
      <c r="E13" s="317">
        <f>SUM(E9:E12)</f>
        <v>140</v>
      </c>
      <c r="F13" s="318">
        <f>SUM(D13:E13)</f>
        <v>1162</v>
      </c>
      <c r="G13" s="12"/>
      <c r="H13" s="12"/>
      <c r="I13" s="12"/>
    </row>
    <row r="14" spans="1:9" hidden="1" x14ac:dyDescent="0.25">
      <c r="A14" s="3004" t="s">
        <v>554</v>
      </c>
      <c r="B14" s="751" t="s">
        <v>551</v>
      </c>
      <c r="C14" s="757"/>
      <c r="D14" s="192"/>
      <c r="E14" s="192"/>
      <c r="F14" s="315">
        <f t="shared" si="0"/>
        <v>0</v>
      </c>
      <c r="G14" s="123"/>
      <c r="H14" s="123"/>
      <c r="I14" s="123"/>
    </row>
    <row r="15" spans="1:9" hidden="1" x14ac:dyDescent="0.25">
      <c r="A15" s="3005"/>
      <c r="B15" s="746" t="s">
        <v>552</v>
      </c>
      <c r="C15" s="755"/>
      <c r="D15" s="192"/>
      <c r="E15" s="194"/>
      <c r="F15" s="315">
        <f t="shared" si="0"/>
        <v>0</v>
      </c>
      <c r="G15" s="123"/>
      <c r="H15" s="123"/>
      <c r="I15" s="123"/>
    </row>
    <row r="16" spans="1:9" hidden="1" x14ac:dyDescent="0.25">
      <c r="A16" s="3005"/>
      <c r="B16" s="746" t="s">
        <v>598</v>
      </c>
      <c r="C16" s="755"/>
      <c r="D16" s="192">
        <v>1118</v>
      </c>
      <c r="E16" s="194"/>
      <c r="F16" s="315">
        <f t="shared" si="0"/>
        <v>1118</v>
      </c>
      <c r="G16" s="12"/>
      <c r="H16" s="12"/>
      <c r="I16" s="12"/>
    </row>
    <row r="17" spans="1:9" ht="13.5" hidden="1" thickBot="1" x14ac:dyDescent="0.3">
      <c r="A17" s="3005"/>
      <c r="B17" s="750" t="s">
        <v>599</v>
      </c>
      <c r="C17" s="755"/>
      <c r="D17" s="194">
        <v>45</v>
      </c>
      <c r="E17" s="194"/>
      <c r="F17" s="316">
        <f t="shared" si="0"/>
        <v>45</v>
      </c>
      <c r="G17" s="12"/>
      <c r="H17" s="12"/>
      <c r="I17" s="12"/>
    </row>
    <row r="18" spans="1:9" ht="13.5" hidden="1" thickBot="1" x14ac:dyDescent="0.3">
      <c r="A18" s="3017"/>
      <c r="B18" s="753" t="s">
        <v>505</v>
      </c>
      <c r="C18" s="756"/>
      <c r="D18" s="317">
        <f>SUM(D14:D17)</f>
        <v>1163</v>
      </c>
      <c r="E18" s="317">
        <f>SUM(E14:E17)</f>
        <v>0</v>
      </c>
      <c r="F18" s="318">
        <f>SUM(D18:E18)</f>
        <v>1163</v>
      </c>
      <c r="G18" s="12"/>
      <c r="H18" s="12"/>
      <c r="I18" s="12"/>
    </row>
    <row r="19" spans="1:9" hidden="1" x14ac:dyDescent="0.25">
      <c r="A19" s="3006" t="s">
        <v>521</v>
      </c>
      <c r="B19" s="751" t="s">
        <v>551</v>
      </c>
      <c r="C19" s="751"/>
      <c r="D19" s="319">
        <f t="shared" ref="D19:E22" si="1">D4+D9-D14</f>
        <v>0</v>
      </c>
      <c r="E19" s="319">
        <f t="shared" si="1"/>
        <v>0</v>
      </c>
      <c r="F19" s="305">
        <f>SUM(D19:E19)</f>
        <v>0</v>
      </c>
      <c r="G19" s="12"/>
      <c r="H19" s="12"/>
      <c r="I19" s="12"/>
    </row>
    <row r="20" spans="1:9" hidden="1" x14ac:dyDescent="0.25">
      <c r="A20" s="3006"/>
      <c r="B20" s="746" t="s">
        <v>552</v>
      </c>
      <c r="C20" s="746"/>
      <c r="D20" s="319">
        <f t="shared" si="1"/>
        <v>0</v>
      </c>
      <c r="E20" s="319">
        <f t="shared" si="1"/>
        <v>0</v>
      </c>
      <c r="F20" s="306">
        <f>SUM(D20:E20)</f>
        <v>0</v>
      </c>
      <c r="G20" s="12"/>
      <c r="H20" s="12"/>
      <c r="I20" s="12"/>
    </row>
    <row r="21" spans="1:9" hidden="1" x14ac:dyDescent="0.25">
      <c r="A21" s="3006"/>
      <c r="B21" s="746" t="s">
        <v>598</v>
      </c>
      <c r="C21" s="746"/>
      <c r="D21" s="319">
        <f t="shared" si="1"/>
        <v>857</v>
      </c>
      <c r="E21" s="319">
        <f t="shared" si="1"/>
        <v>0</v>
      </c>
      <c r="F21" s="308">
        <f>SUM(D21:E21)</f>
        <v>857</v>
      </c>
      <c r="G21" s="12"/>
      <c r="H21" s="12"/>
      <c r="I21" s="12"/>
    </row>
    <row r="22" spans="1:9" ht="13.5" hidden="1" thickBot="1" x14ac:dyDescent="0.3">
      <c r="A22" s="3006"/>
      <c r="B22" s="750" t="s">
        <v>599</v>
      </c>
      <c r="C22" s="746"/>
      <c r="D22" s="319">
        <f t="shared" si="1"/>
        <v>166</v>
      </c>
      <c r="E22" s="319">
        <f t="shared" si="1"/>
        <v>140</v>
      </c>
      <c r="F22" s="308">
        <f>SUM(D22:E22)</f>
        <v>306</v>
      </c>
      <c r="G22" s="12"/>
      <c r="H22" s="12"/>
      <c r="I22" s="12"/>
    </row>
    <row r="23" spans="1:9" ht="13.5" hidden="1" thickBot="1" x14ac:dyDescent="0.3">
      <c r="A23" s="3007"/>
      <c r="B23" s="753" t="s">
        <v>505</v>
      </c>
      <c r="C23" s="753"/>
      <c r="D23" s="311">
        <f>SUM(D19:D22)</f>
        <v>1023</v>
      </c>
      <c r="E23" s="311">
        <f>SUM(E19:E22)</f>
        <v>140</v>
      </c>
      <c r="F23" s="312">
        <f>SUM(F19:F22)</f>
        <v>1163</v>
      </c>
    </row>
    <row r="24" spans="1:9" hidden="1" x14ac:dyDescent="0.25"/>
    <row r="25" spans="1:9" hidden="1" x14ac:dyDescent="0.25">
      <c r="A25" s="124"/>
      <c r="D25" s="125"/>
    </row>
    <row r="26" spans="1:9" ht="18.75" x14ac:dyDescent="0.25">
      <c r="A26" s="910" t="s">
        <v>1278</v>
      </c>
      <c r="B26" s="18"/>
      <c r="C26" s="18"/>
      <c r="D26" s="2090"/>
      <c r="E26" s="1518"/>
      <c r="F26" s="1518"/>
    </row>
    <row r="27" spans="1:9" ht="15.75" x14ac:dyDescent="0.25">
      <c r="A27" s="22" t="s">
        <v>1156</v>
      </c>
      <c r="B27" s="17"/>
      <c r="C27" s="17"/>
      <c r="D27" s="1520"/>
      <c r="E27" s="1520"/>
      <c r="F27" s="1518"/>
    </row>
    <row r="28" spans="1:9" ht="13.5" thickBot="1" x14ac:dyDescent="0.3">
      <c r="A28" s="17"/>
      <c r="B28" s="17"/>
      <c r="C28" s="17"/>
      <c r="D28" s="1520"/>
      <c r="E28" s="1520"/>
      <c r="F28" s="1970" t="s">
        <v>499</v>
      </c>
    </row>
    <row r="29" spans="1:9" ht="13.5" thickBot="1" x14ac:dyDescent="0.3">
      <c r="A29" s="2091"/>
      <c r="B29" s="2092"/>
      <c r="C29" s="2093" t="s">
        <v>512</v>
      </c>
      <c r="D29" s="2094" t="s">
        <v>549</v>
      </c>
      <c r="E29" s="2094" t="s">
        <v>550</v>
      </c>
      <c r="F29" s="2095" t="s">
        <v>505</v>
      </c>
    </row>
    <row r="30" spans="1:9" x14ac:dyDescent="0.25">
      <c r="A30" s="3012" t="s">
        <v>520</v>
      </c>
      <c r="B30" s="2096" t="s">
        <v>551</v>
      </c>
      <c r="C30" s="2096"/>
      <c r="D30" s="2097">
        <v>0</v>
      </c>
      <c r="E30" s="2097"/>
      <c r="F30" s="2098">
        <f t="shared" ref="F30:F43" si="2">SUM(D30:E30)</f>
        <v>0</v>
      </c>
    </row>
    <row r="31" spans="1:9" x14ac:dyDescent="0.25">
      <c r="A31" s="3012"/>
      <c r="B31" s="1954" t="s">
        <v>552</v>
      </c>
      <c r="C31" s="1954"/>
      <c r="D31" s="2099">
        <v>0</v>
      </c>
      <c r="E31" s="2099"/>
      <c r="F31" s="2100">
        <f t="shared" si="2"/>
        <v>0</v>
      </c>
    </row>
    <row r="32" spans="1:9" x14ac:dyDescent="0.25">
      <c r="A32" s="3012"/>
      <c r="B32" s="1954" t="s">
        <v>598</v>
      </c>
      <c r="C32" s="1954"/>
      <c r="D32" s="2101">
        <v>1118</v>
      </c>
      <c r="E32" s="2099"/>
      <c r="F32" s="2102">
        <f t="shared" si="2"/>
        <v>1118</v>
      </c>
    </row>
    <row r="33" spans="1:6" ht="13.5" thickBot="1" x14ac:dyDescent="0.3">
      <c r="A33" s="3012"/>
      <c r="B33" s="2085" t="s">
        <v>599</v>
      </c>
      <c r="C33" s="2103"/>
      <c r="D33" s="2104">
        <v>46</v>
      </c>
      <c r="E33" s="2105"/>
      <c r="F33" s="2106">
        <f t="shared" si="2"/>
        <v>46</v>
      </c>
    </row>
    <row r="34" spans="1:6" ht="13.5" thickBot="1" x14ac:dyDescent="0.3">
      <c r="A34" s="3013"/>
      <c r="B34" s="2107" t="s">
        <v>505</v>
      </c>
      <c r="C34" s="2107"/>
      <c r="D34" s="2108">
        <f>SUM(D30:D33)</f>
        <v>1164</v>
      </c>
      <c r="E34" s="2108">
        <f>SUM(E30:E33)</f>
        <v>0</v>
      </c>
      <c r="F34" s="2109">
        <f>SUM(F30:F33)</f>
        <v>1164</v>
      </c>
    </row>
    <row r="35" spans="1:6" x14ac:dyDescent="0.25">
      <c r="A35" s="3010" t="s">
        <v>553</v>
      </c>
      <c r="B35" s="2096" t="s">
        <v>551</v>
      </c>
      <c r="C35" s="2110"/>
      <c r="D35" s="2111"/>
      <c r="E35" s="2111"/>
      <c r="F35" s="2112">
        <f t="shared" si="2"/>
        <v>0</v>
      </c>
    </row>
    <row r="36" spans="1:6" x14ac:dyDescent="0.25">
      <c r="A36" s="3011"/>
      <c r="B36" s="1954" t="s">
        <v>552</v>
      </c>
      <c r="C36" s="2113"/>
      <c r="D36" s="2097"/>
      <c r="E36" s="2099"/>
      <c r="F36" s="2114">
        <f t="shared" si="2"/>
        <v>0</v>
      </c>
    </row>
    <row r="37" spans="1:6" x14ac:dyDescent="0.25">
      <c r="A37" s="3011"/>
      <c r="B37" s="1954" t="s">
        <v>598</v>
      </c>
      <c r="C37" s="2113"/>
      <c r="D37" s="192">
        <f>1022-165</f>
        <v>857</v>
      </c>
      <c r="E37" s="194"/>
      <c r="F37" s="2114">
        <f t="shared" si="2"/>
        <v>857</v>
      </c>
    </row>
    <row r="38" spans="1:6" ht="13.5" thickBot="1" x14ac:dyDescent="0.3">
      <c r="A38" s="3011"/>
      <c r="B38" s="2085" t="s">
        <v>599</v>
      </c>
      <c r="C38" s="2113"/>
      <c r="D38" s="194">
        <v>165</v>
      </c>
      <c r="E38" s="194">
        <v>140</v>
      </c>
      <c r="F38" s="2115">
        <f t="shared" si="2"/>
        <v>305</v>
      </c>
    </row>
    <row r="39" spans="1:6" ht="13.5" thickBot="1" x14ac:dyDescent="0.3">
      <c r="A39" s="3016"/>
      <c r="B39" s="2116" t="s">
        <v>504</v>
      </c>
      <c r="C39" s="2116"/>
      <c r="D39" s="2117">
        <f>SUM(D35:D38)</f>
        <v>1022</v>
      </c>
      <c r="E39" s="2117">
        <f>SUM(E35:E38)</f>
        <v>140</v>
      </c>
      <c r="F39" s="2118">
        <f>SUM(D39:E39)</f>
        <v>1162</v>
      </c>
    </row>
    <row r="40" spans="1:6" x14ac:dyDescent="0.25">
      <c r="A40" s="3010" t="s">
        <v>554</v>
      </c>
      <c r="B40" s="2096" t="s">
        <v>551</v>
      </c>
      <c r="C40" s="2119"/>
      <c r="D40" s="2097">
        <v>0</v>
      </c>
      <c r="E40" s="2097"/>
      <c r="F40" s="2114">
        <f t="shared" si="2"/>
        <v>0</v>
      </c>
    </row>
    <row r="41" spans="1:6" x14ac:dyDescent="0.25">
      <c r="A41" s="3011"/>
      <c r="B41" s="1954" t="s">
        <v>552</v>
      </c>
      <c r="C41" s="2113"/>
      <c r="D41" s="2099">
        <v>0</v>
      </c>
      <c r="E41" s="2099"/>
      <c r="F41" s="2114">
        <f t="shared" si="2"/>
        <v>0</v>
      </c>
    </row>
    <row r="42" spans="1:6" x14ac:dyDescent="0.25">
      <c r="A42" s="3011"/>
      <c r="B42" s="1954" t="s">
        <v>598</v>
      </c>
      <c r="C42" s="2113"/>
      <c r="D42" s="192">
        <v>1118</v>
      </c>
      <c r="E42" s="2099">
        <v>47</v>
      </c>
      <c r="F42" s="2114">
        <f t="shared" si="2"/>
        <v>1165</v>
      </c>
    </row>
    <row r="43" spans="1:6" ht="13.5" thickBot="1" x14ac:dyDescent="0.3">
      <c r="A43" s="3011"/>
      <c r="B43" s="2085" t="s">
        <v>599</v>
      </c>
      <c r="C43" s="2113"/>
      <c r="D43" s="194">
        <v>45</v>
      </c>
      <c r="E43" s="2099"/>
      <c r="F43" s="2115">
        <f t="shared" si="2"/>
        <v>45</v>
      </c>
    </row>
    <row r="44" spans="1:6" ht="13.5" thickBot="1" x14ac:dyDescent="0.3">
      <c r="A44" s="3016"/>
      <c r="B44" s="2120" t="s">
        <v>505</v>
      </c>
      <c r="C44" s="2116"/>
      <c r="D44" s="2117">
        <f>SUM(D40:D43)</f>
        <v>1163</v>
      </c>
      <c r="E44" s="2117">
        <f>SUM(E40:E43)</f>
        <v>47</v>
      </c>
      <c r="F44" s="2118">
        <f>SUM(D44:E44)</f>
        <v>1210</v>
      </c>
    </row>
    <row r="45" spans="1:6" x14ac:dyDescent="0.25">
      <c r="A45" s="3012" t="s">
        <v>521</v>
      </c>
      <c r="B45" s="2096" t="s">
        <v>551</v>
      </c>
      <c r="C45" s="2096"/>
      <c r="D45" s="2121">
        <f t="shared" ref="D45:E48" si="3">D30+D35-D40</f>
        <v>0</v>
      </c>
      <c r="E45" s="2121">
        <f t="shared" si="3"/>
        <v>0</v>
      </c>
      <c r="F45" s="2098">
        <f>SUM(D45:E45)</f>
        <v>0</v>
      </c>
    </row>
    <row r="46" spans="1:6" x14ac:dyDescent="0.25">
      <c r="A46" s="3012"/>
      <c r="B46" s="1954" t="s">
        <v>552</v>
      </c>
      <c r="C46" s="1954"/>
      <c r="D46" s="2121">
        <f t="shared" si="3"/>
        <v>0</v>
      </c>
      <c r="E46" s="2121">
        <f t="shared" si="3"/>
        <v>0</v>
      </c>
      <c r="F46" s="2100">
        <f>SUM(D46:E46)</f>
        <v>0</v>
      </c>
    </row>
    <row r="47" spans="1:6" x14ac:dyDescent="0.25">
      <c r="A47" s="3012"/>
      <c r="B47" s="1954" t="s">
        <v>598</v>
      </c>
      <c r="C47" s="1954"/>
      <c r="D47" s="2121">
        <f t="shared" si="3"/>
        <v>857</v>
      </c>
      <c r="E47" s="2121">
        <v>0</v>
      </c>
      <c r="F47" s="2102">
        <f>SUM(D47:E47)</f>
        <v>857</v>
      </c>
    </row>
    <row r="48" spans="1:6" ht="13.5" thickBot="1" x14ac:dyDescent="0.3">
      <c r="A48" s="3012"/>
      <c r="B48" s="2085" t="s">
        <v>599</v>
      </c>
      <c r="C48" s="1954"/>
      <c r="D48" s="2121">
        <f t="shared" si="3"/>
        <v>166</v>
      </c>
      <c r="E48" s="2121">
        <f t="shared" si="3"/>
        <v>140</v>
      </c>
      <c r="F48" s="2102">
        <f>SUM(D48:E48)</f>
        <v>306</v>
      </c>
    </row>
    <row r="49" spans="1:6" ht="13.5" thickBot="1" x14ac:dyDescent="0.3">
      <c r="A49" s="3013"/>
      <c r="B49" s="2107" t="s">
        <v>505</v>
      </c>
      <c r="C49" s="2107"/>
      <c r="D49" s="2108">
        <f>SUM(D45:D48)</f>
        <v>1023</v>
      </c>
      <c r="E49" s="2108">
        <f>SUM(E45:E48)</f>
        <v>140</v>
      </c>
      <c r="F49" s="2109">
        <f>SUM(F45:F48)</f>
        <v>1163</v>
      </c>
    </row>
    <row r="50" spans="1:6" x14ac:dyDescent="0.25">
      <c r="A50" s="2122"/>
      <c r="B50" s="2123"/>
      <c r="C50" s="2123"/>
      <c r="D50" s="2124"/>
      <c r="E50" s="2124"/>
      <c r="F50" s="2125"/>
    </row>
    <row r="51" spans="1:6" ht="15.75" x14ac:dyDescent="0.25">
      <c r="A51" s="1128" t="s">
        <v>1325</v>
      </c>
      <c r="B51" s="1129"/>
      <c r="C51" s="18"/>
      <c r="D51" s="1518"/>
      <c r="E51" s="1518"/>
      <c r="F51" s="1518"/>
    </row>
    <row r="52" spans="1:6" x14ac:dyDescent="0.25">
      <c r="A52" s="1131" t="s">
        <v>1327</v>
      </c>
      <c r="B52" s="1131"/>
      <c r="C52" s="18"/>
      <c r="D52" s="2126"/>
      <c r="E52" s="1518"/>
      <c r="F52" s="1518"/>
    </row>
    <row r="53" spans="1:6" x14ac:dyDescent="0.25">
      <c r="A53" s="1131" t="s">
        <v>1328</v>
      </c>
      <c r="B53" s="1131"/>
      <c r="C53" s="18"/>
      <c r="D53" s="1518"/>
      <c r="E53" s="1518"/>
      <c r="F53" s="1518"/>
    </row>
  </sheetData>
  <sheetProtection insertRows="0" deleteRows="0"/>
  <customSheetViews>
    <customSheetView guid="{2AF6EA2A-E5C5-45EB-B6C4-875AD1E4E056}">
      <selection activeCell="A2" sqref="A2"/>
      <pageMargins left="0.2" right="0.2"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8">
    <mergeCell ref="A35:A39"/>
    <mergeCell ref="A40:A44"/>
    <mergeCell ref="A45:A49"/>
    <mergeCell ref="A4:A8"/>
    <mergeCell ref="A9:A13"/>
    <mergeCell ref="A14:A18"/>
    <mergeCell ref="A19:A23"/>
    <mergeCell ref="A30:A34"/>
  </mergeCells>
  <printOptions horizontalCentered="1"/>
  <pageMargins left="0.19685039370078741" right="0.19685039370078741" top="0.98425196850393704" bottom="0.98425196850393704" header="0.51181102362204722" footer="0.51181102362204722"/>
  <pageSetup paperSize="9" orientation="landscape" cellComments="asDisplayed" horizontalDpi="300" verticalDpi="300"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Normal="100" workbookViewId="0">
      <selection activeCell="B18" sqref="B18"/>
    </sheetView>
  </sheetViews>
  <sheetFormatPr defaultRowHeight="12.75" x14ac:dyDescent="0.2"/>
  <cols>
    <col min="1" max="1" width="12.85546875" style="126" customWidth="1"/>
    <col min="2" max="2" width="58.140625" style="126" customWidth="1"/>
    <col min="3" max="3" width="11.85546875" style="127" customWidth="1"/>
    <col min="4" max="4" width="17.5703125" style="126" customWidth="1"/>
    <col min="5" max="16384" width="9.140625" style="126"/>
  </cols>
  <sheetData>
    <row r="1" spans="1:6" ht="15.75" x14ac:dyDescent="0.25">
      <c r="A1" s="128"/>
    </row>
    <row r="2" spans="1:6" x14ac:dyDescent="0.2">
      <c r="C2" s="129" t="s">
        <v>499</v>
      </c>
    </row>
    <row r="3" spans="1:6" ht="13.5" hidden="1" thickBot="1" x14ac:dyDescent="0.25">
      <c r="A3" s="2982" t="s">
        <v>520</v>
      </c>
      <c r="B3" s="2983"/>
      <c r="C3" s="320">
        <v>0</v>
      </c>
    </row>
    <row r="4" spans="1:6" ht="13.5" hidden="1" thickBot="1" x14ac:dyDescent="0.25">
      <c r="A4" s="758" t="s">
        <v>522</v>
      </c>
      <c r="B4" s="759" t="s">
        <v>555</v>
      </c>
      <c r="C4" s="271">
        <v>0</v>
      </c>
      <c r="D4" s="130"/>
      <c r="E4" s="131"/>
    </row>
    <row r="5" spans="1:6" hidden="1" x14ac:dyDescent="0.2">
      <c r="A5" s="2990" t="s">
        <v>526</v>
      </c>
      <c r="B5" s="759" t="s">
        <v>718</v>
      </c>
      <c r="C5" s="273"/>
      <c r="D5" s="132"/>
      <c r="E5" s="132"/>
      <c r="F5" s="132"/>
    </row>
    <row r="6" spans="1:6" hidden="1" x14ac:dyDescent="0.2">
      <c r="A6" s="2991"/>
      <c r="B6" s="760"/>
      <c r="C6" s="195"/>
      <c r="D6" s="133"/>
      <c r="E6" s="133"/>
      <c r="F6" s="134"/>
    </row>
    <row r="7" spans="1:6" hidden="1" x14ac:dyDescent="0.2">
      <c r="A7" s="2991"/>
      <c r="B7" s="761"/>
      <c r="C7" s="195"/>
      <c r="D7" s="134"/>
      <c r="E7" s="133"/>
      <c r="F7" s="134"/>
    </row>
    <row r="8" spans="1:6" hidden="1" x14ac:dyDescent="0.2">
      <c r="A8" s="2991"/>
      <c r="B8" s="761"/>
      <c r="C8" s="195"/>
      <c r="D8" s="134"/>
      <c r="E8" s="134"/>
      <c r="F8" s="134"/>
    </row>
    <row r="9" spans="1:6" ht="13.5" hidden="1" thickBot="1" x14ac:dyDescent="0.25">
      <c r="A9" s="2991"/>
      <c r="B9" s="762"/>
      <c r="C9" s="197"/>
      <c r="D9" s="135"/>
      <c r="E9" s="135"/>
      <c r="F9" s="135"/>
    </row>
    <row r="10" spans="1:6" ht="13.5" hidden="1" thickBot="1" x14ac:dyDescent="0.25">
      <c r="A10" s="2992"/>
      <c r="B10" s="763" t="s">
        <v>504</v>
      </c>
      <c r="C10" s="321">
        <f>SUM(C5:C9)</f>
        <v>0</v>
      </c>
      <c r="D10" s="135"/>
      <c r="E10" s="135"/>
      <c r="F10" s="135"/>
    </row>
    <row r="11" spans="1:6" ht="13.5" hidden="1" thickBot="1" x14ac:dyDescent="0.25">
      <c r="A11" s="2982" t="s">
        <v>521</v>
      </c>
      <c r="B11" s="2983"/>
      <c r="C11" s="322">
        <f>C3+C4-C10</f>
        <v>0</v>
      </c>
      <c r="D11" s="132"/>
      <c r="E11" s="132"/>
      <c r="F11" s="132"/>
    </row>
    <row r="12" spans="1:6" hidden="1" x14ac:dyDescent="0.2">
      <c r="A12" s="132"/>
      <c r="B12" s="132"/>
      <c r="C12" s="136"/>
      <c r="D12" s="132"/>
      <c r="E12" s="132"/>
      <c r="F12" s="132"/>
    </row>
    <row r="13" spans="1:6" hidden="1" x14ac:dyDescent="0.2">
      <c r="A13" s="132" t="s">
        <v>638</v>
      </c>
      <c r="B13" s="132"/>
      <c r="C13" s="136"/>
      <c r="D13" s="132"/>
      <c r="E13" s="132"/>
      <c r="F13" s="132"/>
    </row>
    <row r="14" spans="1:6" hidden="1" x14ac:dyDescent="0.2">
      <c r="A14" s="727" t="s">
        <v>1182</v>
      </c>
      <c r="B14" s="132"/>
      <c r="C14" s="136"/>
      <c r="D14" s="132"/>
      <c r="E14" s="132"/>
      <c r="F14" s="132"/>
    </row>
    <row r="15" spans="1:6" hidden="1" x14ac:dyDescent="0.2">
      <c r="B15" s="132"/>
      <c r="C15" s="136"/>
      <c r="D15" s="132"/>
      <c r="E15" s="132"/>
      <c r="F15" s="132"/>
    </row>
    <row r="16" spans="1:6" x14ac:dyDescent="0.2">
      <c r="A16" s="132"/>
      <c r="B16" s="132"/>
      <c r="C16" s="136"/>
      <c r="D16" s="132"/>
      <c r="E16" s="132"/>
      <c r="F16" s="132"/>
    </row>
    <row r="17" spans="1:6" ht="18.75" x14ac:dyDescent="0.2">
      <c r="A17" s="910" t="s">
        <v>1278</v>
      </c>
      <c r="B17" s="2127"/>
      <c r="C17" s="2128"/>
      <c r="D17" s="132"/>
      <c r="E17" s="132"/>
      <c r="F17" s="132"/>
    </row>
    <row r="18" spans="1:6" ht="15.75" x14ac:dyDescent="0.25">
      <c r="A18" s="2129" t="s">
        <v>1157</v>
      </c>
      <c r="B18" s="2127"/>
      <c r="C18" s="2128"/>
      <c r="D18" s="132"/>
      <c r="E18" s="132"/>
      <c r="F18" s="132"/>
    </row>
    <row r="19" spans="1:6" ht="13.5" thickBot="1" x14ac:dyDescent="0.25">
      <c r="A19" s="2127"/>
      <c r="B19" s="2127"/>
      <c r="C19" s="2130" t="s">
        <v>499</v>
      </c>
      <c r="D19" s="132"/>
      <c r="E19" s="132"/>
      <c r="F19" s="132"/>
    </row>
    <row r="20" spans="1:6" ht="13.5" thickBot="1" x14ac:dyDescent="0.25">
      <c r="A20" s="2975" t="s">
        <v>520</v>
      </c>
      <c r="B20" s="2976"/>
      <c r="C20" s="1971">
        <v>0</v>
      </c>
      <c r="D20" s="132"/>
      <c r="E20" s="132"/>
      <c r="F20" s="132"/>
    </row>
    <row r="21" spans="1:6" ht="13.5" thickBot="1" x14ac:dyDescent="0.25">
      <c r="A21" s="2131" t="s">
        <v>522</v>
      </c>
      <c r="B21" s="2132" t="s">
        <v>555</v>
      </c>
      <c r="C21" s="2133">
        <v>0</v>
      </c>
      <c r="D21" s="132"/>
      <c r="E21" s="132"/>
      <c r="F21" s="132"/>
    </row>
    <row r="22" spans="1:6" x14ac:dyDescent="0.2">
      <c r="A22" s="2996" t="s">
        <v>526</v>
      </c>
      <c r="B22" s="1999" t="s">
        <v>718</v>
      </c>
      <c r="C22" s="2060"/>
      <c r="D22" s="132"/>
      <c r="E22" s="132"/>
      <c r="F22" s="132"/>
    </row>
    <row r="23" spans="1:6" x14ac:dyDescent="0.2">
      <c r="A23" s="2997"/>
      <c r="B23" s="2134"/>
      <c r="C23" s="2002"/>
      <c r="D23" s="132"/>
      <c r="E23" s="132"/>
      <c r="F23" s="132"/>
    </row>
    <row r="24" spans="1:6" x14ac:dyDescent="0.2">
      <c r="A24" s="2997"/>
      <c r="B24" s="2135"/>
      <c r="C24" s="2002"/>
      <c r="D24" s="132"/>
      <c r="E24" s="132"/>
      <c r="F24" s="132"/>
    </row>
    <row r="25" spans="1:6" x14ac:dyDescent="0.2">
      <c r="A25" s="2997"/>
      <c r="B25" s="2135"/>
      <c r="C25" s="2002"/>
      <c r="D25" s="132"/>
      <c r="E25" s="132"/>
      <c r="F25" s="132"/>
    </row>
    <row r="26" spans="1:6" ht="13.5" thickBot="1" x14ac:dyDescent="0.25">
      <c r="A26" s="2997"/>
      <c r="B26" s="2136"/>
      <c r="C26" s="2005"/>
    </row>
    <row r="27" spans="1:6" ht="13.5" thickBot="1" x14ac:dyDescent="0.25">
      <c r="A27" s="2998"/>
      <c r="B27" s="2137" t="s">
        <v>504</v>
      </c>
      <c r="C27" s="2138">
        <f>SUM(C22:C26)</f>
        <v>0</v>
      </c>
    </row>
    <row r="28" spans="1:6" ht="13.5" thickBot="1" x14ac:dyDescent="0.25">
      <c r="A28" s="2975" t="s">
        <v>521</v>
      </c>
      <c r="B28" s="2976"/>
      <c r="C28" s="2139">
        <f>C20+C21-C27</f>
        <v>0</v>
      </c>
    </row>
    <row r="29" spans="1:6" x14ac:dyDescent="0.2">
      <c r="A29" s="2140"/>
      <c r="B29" s="2140"/>
      <c r="C29" s="2141"/>
    </row>
    <row r="30" spans="1:6" x14ac:dyDescent="0.2">
      <c r="A30" s="2140" t="s">
        <v>638</v>
      </c>
      <c r="B30" s="2140"/>
      <c r="C30" s="2141"/>
    </row>
    <row r="31" spans="1:6" x14ac:dyDescent="0.2">
      <c r="A31" s="727" t="s">
        <v>1890</v>
      </c>
      <c r="B31" s="2140"/>
      <c r="C31" s="2141"/>
    </row>
    <row r="32" spans="1:6" x14ac:dyDescent="0.2">
      <c r="A32" s="2127"/>
      <c r="B32" s="2140"/>
      <c r="C32" s="2141"/>
    </row>
    <row r="33" spans="1:3" ht="15.75" x14ac:dyDescent="0.2">
      <c r="A33" s="1128" t="s">
        <v>1325</v>
      </c>
      <c r="B33" s="1129"/>
      <c r="C33" s="2141"/>
    </row>
    <row r="34" spans="1:3" x14ac:dyDescent="0.2">
      <c r="A34" s="1131" t="s">
        <v>1327</v>
      </c>
      <c r="B34" s="1131"/>
      <c r="C34" s="2141"/>
    </row>
    <row r="35" spans="1:3" x14ac:dyDescent="0.2">
      <c r="A35" s="1131" t="s">
        <v>1328</v>
      </c>
      <c r="B35" s="1131"/>
      <c r="C35" s="2141"/>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6">
    <mergeCell ref="A28:B28"/>
    <mergeCell ref="A5:A10"/>
    <mergeCell ref="A3:B3"/>
    <mergeCell ref="A11:B11"/>
    <mergeCell ref="A20:B20"/>
    <mergeCell ref="A22:A27"/>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zoomScaleNormal="100" workbookViewId="0">
      <selection activeCell="F67" sqref="F67"/>
    </sheetView>
  </sheetViews>
  <sheetFormatPr defaultRowHeight="12.75" x14ac:dyDescent="0.2"/>
  <cols>
    <col min="1" max="1" width="12.7109375" style="60" customWidth="1"/>
    <col min="2" max="2" width="44.85546875" style="60" customWidth="1"/>
    <col min="3" max="3" width="11.5703125" style="101" customWidth="1"/>
    <col min="4" max="4" width="9.140625" style="60"/>
    <col min="5" max="5" width="10" style="60" customWidth="1"/>
    <col min="6" max="16384" width="9.140625" style="60"/>
  </cols>
  <sheetData>
    <row r="1" spans="1:7" ht="15.75" x14ac:dyDescent="0.25">
      <c r="A1" s="137"/>
    </row>
    <row r="2" spans="1:7" ht="13.5" hidden="1" thickBot="1" x14ac:dyDescent="0.25">
      <c r="A2" s="62"/>
      <c r="B2" s="62"/>
      <c r="C2" s="138" t="s">
        <v>499</v>
      </c>
    </row>
    <row r="3" spans="1:7" ht="13.5" hidden="1" thickBot="1" x14ac:dyDescent="0.25">
      <c r="A3" s="2982" t="s">
        <v>520</v>
      </c>
      <c r="B3" s="2983"/>
      <c r="C3" s="320">
        <v>29062</v>
      </c>
      <c r="D3" s="104"/>
      <c r="E3" s="105"/>
      <c r="F3" s="104"/>
    </row>
    <row r="4" spans="1:7" hidden="1" x14ac:dyDescent="0.2">
      <c r="A4" s="3018" t="s">
        <v>522</v>
      </c>
      <c r="B4" s="759" t="s">
        <v>556</v>
      </c>
      <c r="C4" s="271">
        <v>10558</v>
      </c>
      <c r="D4" s="104"/>
      <c r="E4" s="105"/>
      <c r="F4" s="104"/>
    </row>
    <row r="5" spans="1:7" hidden="1" x14ac:dyDescent="0.2">
      <c r="A5" s="3019"/>
      <c r="B5" s="795" t="s">
        <v>1161</v>
      </c>
      <c r="C5" s="195">
        <v>6674</v>
      </c>
      <c r="D5" s="104"/>
      <c r="E5" s="104"/>
      <c r="F5" s="104"/>
      <c r="G5" s="103"/>
    </row>
    <row r="6" spans="1:7" hidden="1" x14ac:dyDescent="0.2">
      <c r="A6" s="3019"/>
      <c r="B6" s="764" t="s">
        <v>523</v>
      </c>
      <c r="C6" s="195"/>
      <c r="D6" s="107"/>
      <c r="E6" s="103"/>
      <c r="F6" s="103"/>
      <c r="G6" s="103"/>
    </row>
    <row r="7" spans="1:7" hidden="1" x14ac:dyDescent="0.2">
      <c r="A7" s="3019"/>
      <c r="B7" s="764" t="s">
        <v>524</v>
      </c>
      <c r="C7" s="195"/>
      <c r="D7" s="107"/>
      <c r="E7" s="107"/>
      <c r="F7" s="107"/>
      <c r="G7" s="107"/>
    </row>
    <row r="8" spans="1:7" hidden="1" x14ac:dyDescent="0.2">
      <c r="A8" s="3019"/>
      <c r="B8" s="764" t="s">
        <v>546</v>
      </c>
      <c r="C8" s="195"/>
      <c r="D8" s="107"/>
      <c r="E8" s="107"/>
      <c r="F8" s="107"/>
      <c r="G8" s="107"/>
    </row>
    <row r="9" spans="1:7" ht="13.5" hidden="1" thickBot="1" x14ac:dyDescent="0.25">
      <c r="A9" s="3019"/>
      <c r="B9" s="764" t="s">
        <v>716</v>
      </c>
      <c r="C9" s="195">
        <v>1596</v>
      </c>
      <c r="D9" s="107"/>
      <c r="E9" s="103"/>
      <c r="F9" s="103"/>
      <c r="G9" s="103"/>
    </row>
    <row r="10" spans="1:7" ht="13.5" hidden="1" thickBot="1" x14ac:dyDescent="0.25">
      <c r="A10" s="3020"/>
      <c r="B10" s="765" t="s">
        <v>504</v>
      </c>
      <c r="C10" s="272">
        <f>SUM(C4:C9)</f>
        <v>18828</v>
      </c>
      <c r="D10" s="110"/>
      <c r="E10" s="110"/>
      <c r="F10" s="110"/>
      <c r="G10" s="110"/>
    </row>
    <row r="11" spans="1:7" hidden="1" x14ac:dyDescent="0.2">
      <c r="A11" s="2990" t="s">
        <v>526</v>
      </c>
      <c r="B11" s="759" t="s">
        <v>557</v>
      </c>
      <c r="C11" s="271">
        <v>12467</v>
      </c>
      <c r="D11" s="111"/>
      <c r="E11" s="111"/>
      <c r="F11" s="111"/>
      <c r="G11" s="112"/>
    </row>
    <row r="12" spans="1:7" hidden="1" x14ac:dyDescent="0.2">
      <c r="A12" s="2991"/>
      <c r="B12" s="764" t="s">
        <v>528</v>
      </c>
      <c r="C12" s="195"/>
      <c r="D12" s="112"/>
      <c r="E12" s="112"/>
      <c r="F12" s="111"/>
      <c r="G12" s="112"/>
    </row>
    <row r="13" spans="1:7" hidden="1" x14ac:dyDescent="0.2">
      <c r="A13" s="2991"/>
      <c r="B13" s="764" t="s">
        <v>529</v>
      </c>
      <c r="C13" s="195"/>
      <c r="D13" s="112"/>
      <c r="E13" s="112"/>
      <c r="F13" s="112"/>
      <c r="G13" s="112"/>
    </row>
    <row r="14" spans="1:7" hidden="1" x14ac:dyDescent="0.2">
      <c r="A14" s="2991"/>
      <c r="B14" s="764" t="s">
        <v>548</v>
      </c>
      <c r="C14" s="195"/>
      <c r="D14" s="113"/>
      <c r="E14" s="113"/>
      <c r="F14" s="113"/>
      <c r="G14" s="113"/>
    </row>
    <row r="15" spans="1:7" ht="13.5" hidden="1" thickBot="1" x14ac:dyDescent="0.25">
      <c r="A15" s="2991"/>
      <c r="B15" s="766" t="s">
        <v>717</v>
      </c>
      <c r="C15" s="197"/>
      <c r="D15" s="113"/>
      <c r="E15" s="113"/>
      <c r="F15" s="113"/>
      <c r="G15" s="113"/>
    </row>
    <row r="16" spans="1:7" ht="13.5" hidden="1" thickBot="1" x14ac:dyDescent="0.25">
      <c r="A16" s="2992"/>
      <c r="B16" s="765" t="s">
        <v>504</v>
      </c>
      <c r="C16" s="272">
        <f>SUM(C11:C15)</f>
        <v>12467</v>
      </c>
      <c r="D16" s="110"/>
      <c r="E16" s="110"/>
      <c r="F16" s="110"/>
      <c r="G16" s="110"/>
    </row>
    <row r="17" spans="1:7" ht="13.5" hidden="1" thickBot="1" x14ac:dyDescent="0.25">
      <c r="A17" s="2982" t="s">
        <v>521</v>
      </c>
      <c r="B17" s="2983"/>
      <c r="C17" s="272">
        <f>C3+C10-C16</f>
        <v>35423</v>
      </c>
      <c r="D17" s="110"/>
      <c r="E17" s="110"/>
      <c r="F17" s="110"/>
      <c r="G17" s="110"/>
    </row>
    <row r="18" spans="1:7" hidden="1" x14ac:dyDescent="0.2">
      <c r="A18" s="108"/>
      <c r="B18" s="108"/>
      <c r="C18" s="109"/>
      <c r="D18" s="108"/>
      <c r="E18" s="110"/>
      <c r="F18" s="110"/>
      <c r="G18" s="110"/>
    </row>
    <row r="19" spans="1:7" hidden="1" x14ac:dyDescent="0.2">
      <c r="A19" s="12" t="s">
        <v>638</v>
      </c>
      <c r="B19" s="108"/>
      <c r="C19" s="109"/>
      <c r="D19" s="108"/>
      <c r="E19" s="110"/>
      <c r="F19" s="110"/>
      <c r="G19" s="110"/>
    </row>
    <row r="20" spans="1:7" hidden="1" x14ac:dyDescent="0.2">
      <c r="A20" s="17" t="s">
        <v>1160</v>
      </c>
      <c r="B20" s="108"/>
      <c r="C20" s="109"/>
      <c r="D20" s="108"/>
      <c r="E20" s="110"/>
      <c r="F20" s="110"/>
      <c r="G20" s="110"/>
    </row>
    <row r="21" spans="1:7" hidden="1" x14ac:dyDescent="0.2">
      <c r="A21" s="108"/>
      <c r="B21" s="108"/>
      <c r="C21" s="109"/>
      <c r="D21" s="108"/>
      <c r="E21" s="110"/>
      <c r="F21" s="110"/>
      <c r="G21" s="110"/>
    </row>
    <row r="22" spans="1:7" hidden="1" x14ac:dyDescent="0.2">
      <c r="A22" s="108"/>
      <c r="B22" s="108"/>
      <c r="C22" s="109"/>
      <c r="D22" s="108"/>
      <c r="E22" s="110"/>
      <c r="F22" s="110"/>
      <c r="G22" s="110"/>
    </row>
    <row r="23" spans="1:7" hidden="1" x14ac:dyDescent="0.2">
      <c r="A23" s="110"/>
      <c r="B23" s="110"/>
      <c r="C23" s="114"/>
      <c r="D23" s="110"/>
      <c r="E23" s="110"/>
      <c r="F23" s="110"/>
      <c r="G23" s="110"/>
    </row>
    <row r="24" spans="1:7" hidden="1" x14ac:dyDescent="0.2">
      <c r="A24" s="110"/>
      <c r="B24" s="110"/>
      <c r="C24" s="114"/>
      <c r="D24" s="110"/>
      <c r="E24" s="110"/>
      <c r="F24" s="110"/>
      <c r="G24" s="110"/>
    </row>
    <row r="25" spans="1:7" ht="18.75" x14ac:dyDescent="0.3">
      <c r="A25" s="2009"/>
      <c r="B25" s="110"/>
      <c r="C25" s="114"/>
      <c r="D25" s="110"/>
      <c r="E25" s="110"/>
      <c r="F25" s="110"/>
      <c r="G25" s="110"/>
    </row>
    <row r="26" spans="1:7" ht="18.75" x14ac:dyDescent="0.2">
      <c r="A26" s="910" t="s">
        <v>1278</v>
      </c>
      <c r="B26" s="1997"/>
      <c r="D26" s="110"/>
      <c r="E26" s="110"/>
      <c r="F26" s="110"/>
      <c r="G26" s="110"/>
    </row>
    <row r="27" spans="1:7" ht="15.75" x14ac:dyDescent="0.25">
      <c r="A27" s="1998" t="s">
        <v>1158</v>
      </c>
      <c r="B27" s="1997"/>
      <c r="D27" s="110"/>
      <c r="E27" s="110"/>
      <c r="F27" s="110"/>
      <c r="G27" s="110"/>
    </row>
    <row r="28" spans="1:7" ht="13.5" thickBot="1" x14ac:dyDescent="0.25">
      <c r="A28" s="62"/>
      <c r="B28" s="62"/>
      <c r="C28" s="138" t="s">
        <v>499</v>
      </c>
      <c r="D28" s="110"/>
      <c r="E28" s="110"/>
      <c r="F28" s="110"/>
      <c r="G28" s="110"/>
    </row>
    <row r="29" spans="1:7" ht="13.5" thickBot="1" x14ac:dyDescent="0.25">
      <c r="A29" s="2975" t="s">
        <v>520</v>
      </c>
      <c r="B29" s="2976"/>
      <c r="C29" s="1971">
        <v>29062</v>
      </c>
      <c r="D29" s="110"/>
      <c r="E29" s="110"/>
      <c r="F29" s="110"/>
      <c r="G29" s="110"/>
    </row>
    <row r="30" spans="1:7" x14ac:dyDescent="0.2">
      <c r="A30" s="3021" t="s">
        <v>522</v>
      </c>
      <c r="B30" s="1999" t="s">
        <v>556</v>
      </c>
      <c r="C30" s="2000">
        <f>10558</f>
        <v>10558</v>
      </c>
    </row>
    <row r="31" spans="1:7" x14ac:dyDescent="0.2">
      <c r="A31" s="3022"/>
      <c r="B31" s="2001" t="s">
        <v>1161</v>
      </c>
      <c r="C31" s="2002">
        <f>18828-10558-1596</f>
        <v>6674</v>
      </c>
    </row>
    <row r="32" spans="1:7" x14ac:dyDescent="0.2">
      <c r="A32" s="3022"/>
      <c r="B32" s="2001" t="s">
        <v>523</v>
      </c>
      <c r="C32" s="2002"/>
    </row>
    <row r="33" spans="1:3" x14ac:dyDescent="0.2">
      <c r="A33" s="3022"/>
      <c r="B33" s="2001" t="s">
        <v>524</v>
      </c>
      <c r="C33" s="2002"/>
    </row>
    <row r="34" spans="1:3" x14ac:dyDescent="0.2">
      <c r="A34" s="3022"/>
      <c r="B34" s="2001" t="s">
        <v>546</v>
      </c>
      <c r="C34" s="2002"/>
    </row>
    <row r="35" spans="1:3" ht="13.5" thickBot="1" x14ac:dyDescent="0.25">
      <c r="A35" s="3022"/>
      <c r="B35" s="2016" t="s">
        <v>1884</v>
      </c>
      <c r="C35" s="2002">
        <v>1596</v>
      </c>
    </row>
    <row r="36" spans="1:3" ht="13.5" thickBot="1" x14ac:dyDescent="0.25">
      <c r="A36" s="3023"/>
      <c r="B36" s="2003" t="s">
        <v>504</v>
      </c>
      <c r="C36" s="2338">
        <f>SUM(C30:C35)</f>
        <v>18828</v>
      </c>
    </row>
    <row r="37" spans="1:3" x14ac:dyDescent="0.2">
      <c r="A37" s="2996" t="s">
        <v>526</v>
      </c>
      <c r="B37" s="1999" t="s">
        <v>557</v>
      </c>
      <c r="C37" s="2339">
        <f>12467+1596</f>
        <v>14063</v>
      </c>
    </row>
    <row r="38" spans="1:3" x14ac:dyDescent="0.2">
      <c r="A38" s="2997"/>
      <c r="B38" s="2001" t="s">
        <v>528</v>
      </c>
      <c r="C38" s="2340"/>
    </row>
    <row r="39" spans="1:3" x14ac:dyDescent="0.2">
      <c r="A39" s="2997"/>
      <c r="B39" s="2001" t="s">
        <v>529</v>
      </c>
      <c r="C39" s="2340"/>
    </row>
    <row r="40" spans="1:3" x14ac:dyDescent="0.2">
      <c r="A40" s="2997"/>
      <c r="B40" s="2001" t="s">
        <v>548</v>
      </c>
      <c r="C40" s="2340"/>
    </row>
    <row r="41" spans="1:3" ht="16.5" thickBot="1" x14ac:dyDescent="0.25">
      <c r="A41" s="2997"/>
      <c r="B41" s="2004" t="s">
        <v>1882</v>
      </c>
      <c r="C41" s="2341">
        <v>-1596</v>
      </c>
    </row>
    <row r="42" spans="1:3" ht="13.5" thickBot="1" x14ac:dyDescent="0.25">
      <c r="A42" s="2998"/>
      <c r="B42" s="2003" t="s">
        <v>504</v>
      </c>
      <c r="C42" s="2338">
        <f>SUM(C37:C41)</f>
        <v>12467</v>
      </c>
    </row>
    <row r="43" spans="1:3" ht="13.5" thickBot="1" x14ac:dyDescent="0.25">
      <c r="A43" s="2975" t="s">
        <v>521</v>
      </c>
      <c r="B43" s="2976"/>
      <c r="C43" s="2342">
        <f>C29+C36-C42</f>
        <v>35423</v>
      </c>
    </row>
    <row r="44" spans="1:3" x14ac:dyDescent="0.2">
      <c r="A44" s="108"/>
      <c r="B44" s="108"/>
      <c r="C44" s="109"/>
    </row>
    <row r="45" spans="1:3" x14ac:dyDescent="0.2">
      <c r="A45" s="12" t="s">
        <v>638</v>
      </c>
      <c r="B45" s="108"/>
      <c r="C45" s="109"/>
    </row>
    <row r="46" spans="1:3" x14ac:dyDescent="0.2">
      <c r="A46" s="17" t="s">
        <v>1160</v>
      </c>
      <c r="B46" s="108"/>
      <c r="C46" s="109"/>
    </row>
    <row r="47" spans="1:3" x14ac:dyDescent="0.2">
      <c r="A47" s="17"/>
      <c r="B47" s="108"/>
      <c r="C47" s="109"/>
    </row>
    <row r="48" spans="1:3" ht="15" x14ac:dyDescent="0.2">
      <c r="A48" s="2006" t="s">
        <v>1711</v>
      </c>
      <c r="B48" s="1996"/>
      <c r="C48" s="109"/>
    </row>
    <row r="49" spans="1:3" ht="24.95" customHeight="1" x14ac:dyDescent="0.2">
      <c r="A49" s="3001" t="s">
        <v>1919</v>
      </c>
      <c r="B49" s="2460"/>
      <c r="C49" s="2460"/>
    </row>
    <row r="50" spans="1:3" ht="24.95" customHeight="1" x14ac:dyDescent="0.2">
      <c r="A50" s="2460"/>
      <c r="B50" s="2460"/>
      <c r="C50" s="2460"/>
    </row>
    <row r="51" spans="1:3" ht="24.95" customHeight="1" x14ac:dyDescent="0.2">
      <c r="A51" s="2460"/>
      <c r="B51" s="2460"/>
      <c r="C51" s="2460"/>
    </row>
    <row r="52" spans="1:3" ht="24.95" customHeight="1" x14ac:dyDescent="0.2">
      <c r="A52" s="2460"/>
      <c r="B52" s="2460"/>
      <c r="C52" s="2460"/>
    </row>
    <row r="53" spans="1:3" ht="24.95" customHeight="1" x14ac:dyDescent="0.2">
      <c r="A53" s="2460"/>
      <c r="B53" s="2460"/>
      <c r="C53" s="2460"/>
    </row>
    <row r="54" spans="1:3" ht="24.95" customHeight="1" x14ac:dyDescent="0.2">
      <c r="A54" s="2460"/>
      <c r="B54" s="2460"/>
      <c r="C54" s="2460"/>
    </row>
    <row r="55" spans="1:3" ht="24.95" customHeight="1" x14ac:dyDescent="0.2">
      <c r="A55" s="2460"/>
      <c r="B55" s="2460"/>
      <c r="C55" s="2460"/>
    </row>
    <row r="56" spans="1:3" ht="20.100000000000001" customHeight="1" x14ac:dyDescent="0.25">
      <c r="A56" s="2343"/>
      <c r="B56" s="2343"/>
      <c r="C56" s="2343"/>
    </row>
    <row r="57" spans="1:3" ht="15.75" x14ac:dyDescent="0.2">
      <c r="A57" s="1128" t="s">
        <v>1325</v>
      </c>
      <c r="B57" s="1129"/>
      <c r="C57" s="2007"/>
    </row>
    <row r="58" spans="1:3" x14ac:dyDescent="0.2">
      <c r="A58" s="1131" t="s">
        <v>1327</v>
      </c>
      <c r="B58" s="1131"/>
      <c r="C58" s="2008"/>
    </row>
    <row r="59" spans="1:3" x14ac:dyDescent="0.2">
      <c r="A59" s="1131" t="s">
        <v>1328</v>
      </c>
      <c r="B59" s="1131"/>
      <c r="C59" s="2008"/>
    </row>
    <row r="60" spans="1:3" x14ac:dyDescent="0.2">
      <c r="A60" s="1134" t="s">
        <v>1329</v>
      </c>
      <c r="B60" s="110"/>
      <c r="C60" s="114"/>
    </row>
    <row r="61" spans="1:3" x14ac:dyDescent="0.2">
      <c r="A61" s="110"/>
      <c r="B61" s="110"/>
      <c r="C61" s="114"/>
    </row>
    <row r="64" spans="1:3" x14ac:dyDescent="0.2">
      <c r="A64" s="3001"/>
      <c r="B64" s="2460"/>
      <c r="C64" s="2460"/>
    </row>
    <row r="65" spans="1:3" x14ac:dyDescent="0.2">
      <c r="A65" s="2460"/>
      <c r="B65" s="2460"/>
      <c r="C65" s="2460"/>
    </row>
    <row r="66" spans="1:3" x14ac:dyDescent="0.2">
      <c r="A66" s="2460"/>
      <c r="B66" s="2460"/>
      <c r="C66" s="2460"/>
    </row>
    <row r="67" spans="1:3" x14ac:dyDescent="0.2">
      <c r="A67" s="2460"/>
      <c r="B67" s="2460"/>
      <c r="C67" s="2460"/>
    </row>
    <row r="68" spans="1:3" x14ac:dyDescent="0.2">
      <c r="A68" s="2460"/>
      <c r="B68" s="2460"/>
      <c r="C68" s="2460"/>
    </row>
    <row r="69" spans="1:3" x14ac:dyDescent="0.2">
      <c r="A69" s="2460"/>
      <c r="B69" s="2460"/>
      <c r="C69" s="2460"/>
    </row>
    <row r="70" spans="1:3" x14ac:dyDescent="0.2">
      <c r="A70" s="2460"/>
      <c r="B70" s="2460"/>
      <c r="C70" s="2460"/>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10">
    <mergeCell ref="A3:B3"/>
    <mergeCell ref="A17:B17"/>
    <mergeCell ref="A29:B29"/>
    <mergeCell ref="A30:A36"/>
    <mergeCell ref="A37:A42"/>
    <mergeCell ref="A64:C70"/>
    <mergeCell ref="A49:C55"/>
    <mergeCell ref="A43:B43"/>
    <mergeCell ref="A4:A10"/>
    <mergeCell ref="A11:A16"/>
  </mergeCells>
  <printOptions horizontalCentered="1"/>
  <pageMargins left="0.78740157480314965" right="0.78740157480314965" top="0.98425196850393704" bottom="0.98425196850393704" header="0.51181102362204722" footer="0.51181102362204722"/>
  <pageSetup paperSize="9" orientation="portrait" horizontalDpi="300" verticalDpi="3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pageSetUpPr fitToPage="1"/>
  </sheetPr>
  <dimension ref="A3:L110"/>
  <sheetViews>
    <sheetView workbookViewId="0">
      <selection activeCell="A3" sqref="A3"/>
    </sheetView>
  </sheetViews>
  <sheetFormatPr defaultRowHeight="15" x14ac:dyDescent="0.25"/>
  <cols>
    <col min="1" max="1" width="38" bestFit="1" customWidth="1"/>
    <col min="2" max="6" width="15.7109375" customWidth="1"/>
    <col min="9" max="9" width="13.5703125" bestFit="1" customWidth="1"/>
  </cols>
  <sheetData>
    <row r="3" spans="1:12" ht="18.75" x14ac:dyDescent="0.25">
      <c r="A3" s="809" t="s">
        <v>1203</v>
      </c>
      <c r="B3" s="139"/>
      <c r="C3" s="139"/>
      <c r="D3" s="139"/>
      <c r="E3" s="139"/>
      <c r="F3" s="139"/>
      <c r="G3" s="139"/>
      <c r="H3" s="139"/>
      <c r="I3" s="139"/>
      <c r="J3" s="139"/>
      <c r="K3" s="139"/>
      <c r="L3" s="139"/>
    </row>
    <row r="4" spans="1:12" x14ac:dyDescent="0.25">
      <c r="A4" s="139"/>
      <c r="B4" s="139"/>
      <c r="C4" s="139"/>
      <c r="D4" s="139"/>
      <c r="E4" s="139"/>
      <c r="F4" s="139"/>
      <c r="G4" s="139"/>
      <c r="H4" s="139"/>
      <c r="I4" s="139"/>
      <c r="J4" s="139"/>
      <c r="K4" s="139"/>
      <c r="L4" s="139"/>
    </row>
    <row r="5" spans="1:12" ht="21" x14ac:dyDescent="0.35">
      <c r="A5" s="1931" t="s">
        <v>1871</v>
      </c>
      <c r="B5" s="1931"/>
      <c r="C5" s="139"/>
      <c r="D5" s="139"/>
      <c r="E5" s="139"/>
      <c r="F5" s="139"/>
      <c r="G5" s="139"/>
      <c r="H5" s="139"/>
      <c r="I5" s="139"/>
      <c r="J5" s="139"/>
      <c r="K5" s="139"/>
      <c r="L5" s="139"/>
    </row>
    <row r="6" spans="1:12" ht="26.25" x14ac:dyDescent="0.4">
      <c r="A6" s="1878" t="s">
        <v>1853</v>
      </c>
      <c r="B6" s="139"/>
      <c r="C6" s="139"/>
      <c r="D6" s="139"/>
      <c r="E6" s="139"/>
      <c r="F6" s="139"/>
      <c r="G6" s="139"/>
      <c r="H6" s="139"/>
      <c r="I6" s="139"/>
      <c r="J6" s="139"/>
      <c r="K6" s="139"/>
      <c r="L6" s="139"/>
    </row>
    <row r="7" spans="1:12" x14ac:dyDescent="0.25">
      <c r="A7" s="139"/>
      <c r="B7" s="139"/>
      <c r="C7" s="139"/>
      <c r="D7" s="139"/>
      <c r="E7" s="139"/>
      <c r="F7" s="139"/>
      <c r="G7" s="139"/>
      <c r="H7" s="139"/>
      <c r="I7" s="139"/>
      <c r="J7" s="139"/>
      <c r="K7" s="139"/>
      <c r="L7" s="139"/>
    </row>
    <row r="8" spans="1:12" x14ac:dyDescent="0.25">
      <c r="A8" s="139"/>
      <c r="B8" s="139"/>
      <c r="C8" s="139"/>
      <c r="D8" s="139"/>
      <c r="E8" s="139"/>
      <c r="F8" s="139"/>
      <c r="G8" s="139"/>
      <c r="H8" s="139"/>
      <c r="I8" s="139"/>
      <c r="J8" s="139"/>
      <c r="K8" s="139"/>
      <c r="L8" s="139"/>
    </row>
    <row r="9" spans="1:12" ht="15.75" x14ac:dyDescent="0.25">
      <c r="A9" s="1879">
        <v>2014</v>
      </c>
      <c r="B9" s="1037"/>
      <c r="C9" s="139"/>
      <c r="D9" s="139"/>
      <c r="E9" s="139"/>
      <c r="F9" s="139"/>
      <c r="G9" s="139"/>
      <c r="H9" s="139"/>
      <c r="I9" s="139"/>
      <c r="J9" s="139"/>
      <c r="K9" s="139"/>
      <c r="L9" s="139"/>
    </row>
    <row r="10" spans="1:12" ht="15.75" thickBot="1" x14ac:dyDescent="0.3">
      <c r="A10" s="139"/>
      <c r="B10" s="139"/>
      <c r="C10" s="139"/>
      <c r="D10" s="139"/>
      <c r="E10" s="1932" t="s">
        <v>1873</v>
      </c>
      <c r="F10" s="139"/>
      <c r="G10" s="139"/>
      <c r="H10" s="139"/>
      <c r="I10" s="139"/>
      <c r="J10" s="139"/>
      <c r="K10" s="139"/>
      <c r="L10" s="139"/>
    </row>
    <row r="11" spans="1:12" ht="30.75" thickBot="1" x14ac:dyDescent="0.3">
      <c r="A11" s="1880" t="s">
        <v>1854</v>
      </c>
      <c r="B11" s="1881" t="s">
        <v>500</v>
      </c>
      <c r="C11" s="1882" t="s">
        <v>501</v>
      </c>
      <c r="D11" s="1883" t="s">
        <v>502</v>
      </c>
      <c r="E11" s="1883" t="s">
        <v>1855</v>
      </c>
      <c r="F11" s="139"/>
      <c r="G11" s="139"/>
      <c r="H11" s="139"/>
      <c r="I11" s="139"/>
      <c r="J11" s="139"/>
      <c r="K11" s="139"/>
      <c r="L11" s="139"/>
    </row>
    <row r="12" spans="1:12" x14ac:dyDescent="0.25">
      <c r="A12" s="1884" t="s">
        <v>1856</v>
      </c>
      <c r="B12" s="1885">
        <v>1070</v>
      </c>
      <c r="C12" s="1886">
        <v>1940</v>
      </c>
      <c r="D12" s="1887">
        <f>SUM(B12:C12)</f>
        <v>3010</v>
      </c>
      <c r="E12" s="1888">
        <f>D12/D22</f>
        <v>0.86172344689378755</v>
      </c>
      <c r="F12" s="139"/>
      <c r="G12" s="139"/>
      <c r="H12" s="139"/>
      <c r="I12" s="139"/>
      <c r="J12" s="139"/>
      <c r="K12" s="139"/>
      <c r="L12" s="139"/>
    </row>
    <row r="13" spans="1:12" x14ac:dyDescent="0.25">
      <c r="A13" s="1884" t="s">
        <v>1857</v>
      </c>
      <c r="B13" s="1885">
        <v>1674</v>
      </c>
      <c r="C13" s="1889">
        <v>10540</v>
      </c>
      <c r="D13" s="1887">
        <f>SUM(B13:C13)</f>
        <v>12214</v>
      </c>
      <c r="E13" s="1888">
        <f t="shared" ref="E13:E17" si="0">D13/D23</f>
        <v>1.0103399784928446</v>
      </c>
      <c r="F13" s="139"/>
      <c r="G13" s="139"/>
      <c r="H13" s="139"/>
      <c r="I13" s="139"/>
      <c r="J13" s="139"/>
      <c r="K13" s="139"/>
      <c r="L13" s="139"/>
    </row>
    <row r="14" spans="1:12" x14ac:dyDescent="0.25">
      <c r="A14" s="1884" t="s">
        <v>1858</v>
      </c>
      <c r="B14" s="1885">
        <v>741</v>
      </c>
      <c r="C14" s="1890">
        <v>2204</v>
      </c>
      <c r="D14" s="1887">
        <f>SUM(B14:C14)</f>
        <v>2945</v>
      </c>
      <c r="E14" s="1888">
        <f t="shared" si="0"/>
        <v>1.4063992359121298</v>
      </c>
      <c r="F14" s="139"/>
      <c r="G14" s="139"/>
      <c r="H14" s="139"/>
      <c r="I14" s="139"/>
      <c r="J14" s="139"/>
      <c r="K14" s="139"/>
      <c r="L14" s="139"/>
    </row>
    <row r="15" spans="1:12" x14ac:dyDescent="0.25">
      <c r="A15" s="1884" t="s">
        <v>1859</v>
      </c>
      <c r="B15" s="1891" t="s">
        <v>1466</v>
      </c>
      <c r="C15" s="1885">
        <v>305</v>
      </c>
      <c r="D15" s="1887">
        <f>SUM(B15:C15)</f>
        <v>305</v>
      </c>
      <c r="E15" s="1888">
        <f t="shared" si="0"/>
        <v>1.2655601659751037</v>
      </c>
      <c r="F15" s="139"/>
      <c r="G15" s="139"/>
      <c r="H15" s="139"/>
      <c r="I15" s="139"/>
      <c r="J15" s="139"/>
      <c r="K15" s="139"/>
      <c r="L15" s="139"/>
    </row>
    <row r="16" spans="1:12" ht="15.75" thickBot="1" x14ac:dyDescent="0.3">
      <c r="A16" s="1892" t="s">
        <v>1872</v>
      </c>
      <c r="B16" s="1885">
        <f>9700-SUM(B12:B15)</f>
        <v>6215</v>
      </c>
      <c r="C16" s="1885">
        <f>16994-SUM(C12:C15)</f>
        <v>2005</v>
      </c>
      <c r="D16" s="1887">
        <f>SUM(B16:C16)</f>
        <v>8220</v>
      </c>
      <c r="E16" s="1888">
        <f t="shared" si="0"/>
        <v>1.6896197327852005</v>
      </c>
      <c r="F16" s="139"/>
      <c r="G16" s="139"/>
      <c r="H16" s="139"/>
      <c r="I16" s="139"/>
      <c r="J16" s="139"/>
      <c r="K16" s="139"/>
      <c r="L16" s="139"/>
    </row>
    <row r="17" spans="1:12" ht="15.75" thickBot="1" x14ac:dyDescent="0.3">
      <c r="A17" s="1893" t="s">
        <v>503</v>
      </c>
      <c r="B17" s="1894">
        <f>SUM(B12:B16)</f>
        <v>9700</v>
      </c>
      <c r="C17" s="1894">
        <f>SUM(C12:C16)</f>
        <v>16994</v>
      </c>
      <c r="D17" s="1895">
        <f>SUM(D12:D16)</f>
        <v>26694</v>
      </c>
      <c r="E17" s="1896">
        <f t="shared" si="0"/>
        <v>1.1717145114564129</v>
      </c>
      <c r="F17" s="139"/>
      <c r="G17" s="139"/>
      <c r="H17" s="139"/>
      <c r="I17" s="139"/>
      <c r="J17" s="139"/>
      <c r="K17" s="139"/>
      <c r="L17" s="139"/>
    </row>
    <row r="18" spans="1:12" x14ac:dyDescent="0.25">
      <c r="A18" s="139"/>
      <c r="B18" s="1897">
        <f>B17/D17</f>
        <v>0.3633775380235259</v>
      </c>
      <c r="C18" s="1897">
        <f>C17/D17</f>
        <v>0.6366224619764741</v>
      </c>
      <c r="D18" s="1897">
        <f>D17/D17</f>
        <v>1</v>
      </c>
      <c r="E18" s="139"/>
      <c r="F18" s="139"/>
      <c r="G18" s="139"/>
      <c r="H18" s="139"/>
      <c r="I18" s="139"/>
      <c r="J18" s="139"/>
      <c r="K18" s="139"/>
      <c r="L18" s="139"/>
    </row>
    <row r="19" spans="1:12" ht="15.75" x14ac:dyDescent="0.25">
      <c r="A19" s="1879">
        <v>2015</v>
      </c>
      <c r="B19" s="1037"/>
      <c r="C19" s="139"/>
      <c r="D19" s="139"/>
      <c r="E19" s="139"/>
      <c r="F19" s="139"/>
      <c r="G19" s="139"/>
      <c r="H19" s="139"/>
      <c r="I19" s="139"/>
      <c r="J19" s="139"/>
      <c r="K19" s="139"/>
      <c r="L19" s="139"/>
    </row>
    <row r="20" spans="1:12" ht="15.75" thickBot="1" x14ac:dyDescent="0.3">
      <c r="A20" s="139"/>
      <c r="B20" s="139"/>
      <c r="C20" s="139"/>
      <c r="D20" s="139"/>
      <c r="E20" s="1932" t="s">
        <v>1874</v>
      </c>
      <c r="F20" s="139"/>
      <c r="G20" s="139"/>
      <c r="H20" s="139"/>
      <c r="I20" s="139"/>
      <c r="J20" s="139"/>
      <c r="K20" s="139"/>
      <c r="L20" s="139"/>
    </row>
    <row r="21" spans="1:12" ht="30.75" thickBot="1" x14ac:dyDescent="0.3">
      <c r="A21" s="1880" t="s">
        <v>1854</v>
      </c>
      <c r="B21" s="1881" t="s">
        <v>500</v>
      </c>
      <c r="C21" s="1882" t="s">
        <v>501</v>
      </c>
      <c r="D21" s="1883" t="s">
        <v>502</v>
      </c>
      <c r="E21" s="1883" t="s">
        <v>1855</v>
      </c>
      <c r="F21" s="139"/>
      <c r="G21" s="139"/>
      <c r="H21" s="139"/>
      <c r="I21" s="139"/>
      <c r="J21" s="139"/>
      <c r="K21" s="139"/>
      <c r="L21" s="139"/>
    </row>
    <row r="22" spans="1:12" x14ac:dyDescent="0.25">
      <c r="A22" s="1884" t="s">
        <v>1856</v>
      </c>
      <c r="B22" s="1885">
        <v>1434</v>
      </c>
      <c r="C22" s="1886">
        <v>2059</v>
      </c>
      <c r="D22" s="1887">
        <f>SUM(B22:C22)</f>
        <v>3493</v>
      </c>
      <c r="E22" s="1888">
        <f>D22/D12</f>
        <v>1.1604651162790698</v>
      </c>
      <c r="F22" s="1897">
        <f>E22+(E32*-1)</f>
        <v>1</v>
      </c>
      <c r="G22" s="139"/>
      <c r="H22" s="139"/>
      <c r="I22" s="139"/>
      <c r="J22" s="139"/>
      <c r="K22" s="139"/>
      <c r="L22" s="139"/>
    </row>
    <row r="23" spans="1:12" x14ac:dyDescent="0.25">
      <c r="A23" s="1884" t="s">
        <v>1857</v>
      </c>
      <c r="B23" s="1885">
        <v>515</v>
      </c>
      <c r="C23" s="1889">
        <v>11574</v>
      </c>
      <c r="D23" s="1887">
        <f>SUM(B23:C23)</f>
        <v>12089</v>
      </c>
      <c r="E23" s="1888">
        <f t="shared" ref="E23:E27" si="1">D23/D13</f>
        <v>0.98976584247584742</v>
      </c>
      <c r="F23" s="1897">
        <f t="shared" ref="F23:F27" si="2">E23+(E33*-1)</f>
        <v>1</v>
      </c>
      <c r="G23" s="139"/>
      <c r="H23" s="139"/>
      <c r="I23" s="139"/>
      <c r="J23" s="139"/>
      <c r="K23" s="139"/>
      <c r="L23" s="139"/>
    </row>
    <row r="24" spans="1:12" x14ac:dyDescent="0.25">
      <c r="A24" s="1884" t="s">
        <v>1858</v>
      </c>
      <c r="B24" s="1885">
        <v>206</v>
      </c>
      <c r="C24" s="1890">
        <v>1888</v>
      </c>
      <c r="D24" s="1887">
        <f>SUM(B24:C24)</f>
        <v>2094</v>
      </c>
      <c r="E24" s="1888">
        <f t="shared" si="1"/>
        <v>0.71103565365025467</v>
      </c>
      <c r="F24" s="1897">
        <f t="shared" si="2"/>
        <v>1</v>
      </c>
      <c r="G24" s="139"/>
      <c r="H24" s="139"/>
      <c r="I24" s="139"/>
      <c r="J24" s="139"/>
      <c r="K24" s="139"/>
      <c r="L24" s="139"/>
    </row>
    <row r="25" spans="1:12" x14ac:dyDescent="0.25">
      <c r="A25" s="1884" t="s">
        <v>1859</v>
      </c>
      <c r="B25" s="1891" t="s">
        <v>1466</v>
      </c>
      <c r="C25" s="1885">
        <v>241</v>
      </c>
      <c r="D25" s="1887">
        <f>SUM(B25:C25)</f>
        <v>241</v>
      </c>
      <c r="E25" s="1888">
        <f t="shared" si="1"/>
        <v>0.79016393442622945</v>
      </c>
      <c r="F25" s="1897">
        <f t="shared" si="2"/>
        <v>1</v>
      </c>
      <c r="G25" s="139"/>
      <c r="H25" s="139"/>
      <c r="I25" s="139"/>
      <c r="J25" s="139"/>
      <c r="K25" s="139"/>
      <c r="L25" s="139"/>
    </row>
    <row r="26" spans="1:12" ht="15.75" thickBot="1" x14ac:dyDescent="0.3">
      <c r="A26" s="1892" t="s">
        <v>1872</v>
      </c>
      <c r="B26" s="1885">
        <f>5434-SUM(B22:B25)</f>
        <v>3279</v>
      </c>
      <c r="C26" s="1885">
        <f>17348-SUM(C22:C25)</f>
        <v>1586</v>
      </c>
      <c r="D26" s="1887">
        <f>SUM(B26:C26)</f>
        <v>4865</v>
      </c>
      <c r="E26" s="1888">
        <f t="shared" si="1"/>
        <v>0.59184914841849146</v>
      </c>
      <c r="F26" s="1897">
        <f t="shared" si="2"/>
        <v>1</v>
      </c>
      <c r="G26" s="139"/>
      <c r="H26" s="139"/>
      <c r="I26" s="139"/>
      <c r="J26" s="139"/>
      <c r="K26" s="139"/>
      <c r="L26" s="139"/>
    </row>
    <row r="27" spans="1:12" ht="15.75" thickBot="1" x14ac:dyDescent="0.3">
      <c r="A27" s="1893" t="s">
        <v>503</v>
      </c>
      <c r="B27" s="1894">
        <f>SUM(B22:B26)</f>
        <v>5434</v>
      </c>
      <c r="C27" s="1894">
        <f>SUM(C22:C26)</f>
        <v>17348</v>
      </c>
      <c r="D27" s="1895">
        <f>SUM(D22:D26)</f>
        <v>22782</v>
      </c>
      <c r="E27" s="1896">
        <f t="shared" si="1"/>
        <v>0.8534502135311306</v>
      </c>
      <c r="F27" s="1897">
        <f t="shared" si="2"/>
        <v>1</v>
      </c>
      <c r="G27" s="139"/>
      <c r="H27" s="139"/>
      <c r="I27" s="139"/>
      <c r="J27" s="139"/>
      <c r="K27" s="139"/>
      <c r="L27" s="139"/>
    </row>
    <row r="28" spans="1:12" x14ac:dyDescent="0.25">
      <c r="A28" s="139"/>
      <c r="B28" s="1898">
        <f>B27/D27</f>
        <v>0.23852163989114214</v>
      </c>
      <c r="C28" s="1898">
        <f>C27/D27</f>
        <v>0.76147836010885783</v>
      </c>
      <c r="D28" s="1898">
        <f>D27/D27</f>
        <v>1</v>
      </c>
      <c r="E28" s="139"/>
      <c r="F28" s="139"/>
      <c r="G28" s="139"/>
      <c r="H28" s="139"/>
      <c r="I28" s="139"/>
      <c r="J28" s="139"/>
      <c r="K28" s="139"/>
      <c r="L28" s="139"/>
    </row>
    <row r="29" spans="1:12" x14ac:dyDescent="0.25">
      <c r="A29" s="992" t="s">
        <v>1299</v>
      </c>
      <c r="B29" s="139"/>
      <c r="C29" s="139"/>
      <c r="D29" s="139"/>
      <c r="E29" s="139"/>
      <c r="F29" s="139"/>
      <c r="G29" s="139"/>
      <c r="H29" s="139"/>
      <c r="I29" s="139"/>
      <c r="J29" s="139"/>
      <c r="K29" s="139"/>
      <c r="L29" s="139"/>
    </row>
    <row r="30" spans="1:12" ht="45.75" thickBot="1" x14ac:dyDescent="0.3">
      <c r="A30" s="139"/>
      <c r="B30" s="139"/>
      <c r="C30" s="139"/>
      <c r="D30" s="139"/>
      <c r="E30" s="1933" t="s">
        <v>1875</v>
      </c>
      <c r="F30" s="139"/>
      <c r="G30" s="139"/>
      <c r="H30" s="139"/>
      <c r="I30" s="139"/>
      <c r="J30" s="139"/>
      <c r="K30" s="139"/>
      <c r="L30" s="139"/>
    </row>
    <row r="31" spans="1:12" ht="30.75" thickBot="1" x14ac:dyDescent="0.3">
      <c r="A31" s="1880" t="s">
        <v>1854</v>
      </c>
      <c r="B31" s="1881" t="s">
        <v>500</v>
      </c>
      <c r="C31" s="1882" t="s">
        <v>501</v>
      </c>
      <c r="D31" s="1883" t="s">
        <v>502</v>
      </c>
      <c r="E31" s="1883" t="s">
        <v>1855</v>
      </c>
      <c r="F31" s="139"/>
      <c r="G31" s="139"/>
      <c r="H31" s="139"/>
      <c r="I31" s="139"/>
      <c r="J31" s="139"/>
      <c r="K31" s="139"/>
      <c r="L31" s="139"/>
    </row>
    <row r="32" spans="1:12" x14ac:dyDescent="0.25">
      <c r="A32" s="1884" t="s">
        <v>1856</v>
      </c>
      <c r="B32" s="1903">
        <f t="shared" ref="B32:C36" si="3">B22-B12</f>
        <v>364</v>
      </c>
      <c r="C32" s="2163">
        <f t="shared" si="3"/>
        <v>119</v>
      </c>
      <c r="D32" s="1905">
        <f>SUM(B32:C32)</f>
        <v>483</v>
      </c>
      <c r="E32" s="1906">
        <f t="shared" ref="E32:E37" si="4">D32/D12</f>
        <v>0.16046511627906976</v>
      </c>
      <c r="F32" s="1902"/>
      <c r="G32" s="1902"/>
      <c r="H32" s="139"/>
      <c r="I32" s="139"/>
      <c r="J32" s="139"/>
      <c r="K32" s="139"/>
      <c r="L32" s="139"/>
    </row>
    <row r="33" spans="1:12" x14ac:dyDescent="0.25">
      <c r="A33" s="1884" t="s">
        <v>1857</v>
      </c>
      <c r="B33" s="1899">
        <f t="shared" si="3"/>
        <v>-1159</v>
      </c>
      <c r="C33" s="1904">
        <f t="shared" si="3"/>
        <v>1034</v>
      </c>
      <c r="D33" s="1900">
        <f>SUM(B33:C33)</f>
        <v>-125</v>
      </c>
      <c r="E33" s="1901">
        <f t="shared" si="4"/>
        <v>-1.0234157524152613E-2</v>
      </c>
      <c r="F33" s="1907"/>
      <c r="G33" s="1907"/>
      <c r="H33" s="139"/>
      <c r="I33" s="139"/>
      <c r="J33" s="139"/>
      <c r="K33" s="139"/>
      <c r="L33" s="139"/>
    </row>
    <row r="34" spans="1:12" x14ac:dyDescent="0.25">
      <c r="A34" s="1884" t="s">
        <v>1858</v>
      </c>
      <c r="B34" s="1899">
        <f t="shared" si="3"/>
        <v>-535</v>
      </c>
      <c r="C34" s="1908">
        <f t="shared" si="3"/>
        <v>-316</v>
      </c>
      <c r="D34" s="1900">
        <f>SUM(B34:C34)</f>
        <v>-851</v>
      </c>
      <c r="E34" s="1901">
        <f t="shared" si="4"/>
        <v>-0.28896434634974533</v>
      </c>
      <c r="F34" s="1909"/>
      <c r="G34" s="1909"/>
      <c r="H34" s="139"/>
      <c r="I34" s="139"/>
      <c r="J34" s="139"/>
      <c r="K34" s="139"/>
      <c r="L34" s="139"/>
    </row>
    <row r="35" spans="1:12" x14ac:dyDescent="0.25">
      <c r="A35" s="1884" t="s">
        <v>1859</v>
      </c>
      <c r="B35" s="1903">
        <f t="shared" si="3"/>
        <v>0</v>
      </c>
      <c r="C35" s="1899">
        <f t="shared" si="3"/>
        <v>-64</v>
      </c>
      <c r="D35" s="1900">
        <f>SUM(B35:C35)</f>
        <v>-64</v>
      </c>
      <c r="E35" s="1901">
        <f t="shared" si="4"/>
        <v>-0.20983606557377049</v>
      </c>
      <c r="F35" s="1897"/>
      <c r="G35" s="139"/>
      <c r="H35" s="139"/>
      <c r="I35" s="139"/>
      <c r="J35" s="139"/>
      <c r="K35" s="139"/>
      <c r="L35" s="139"/>
    </row>
    <row r="36" spans="1:12" ht="15.75" thickBot="1" x14ac:dyDescent="0.3">
      <c r="A36" s="1910" t="s">
        <v>1860</v>
      </c>
      <c r="B36" s="2162">
        <f t="shared" si="3"/>
        <v>-2936</v>
      </c>
      <c r="C36" s="2162">
        <f t="shared" si="3"/>
        <v>-419</v>
      </c>
      <c r="D36" s="2161">
        <f>SUM(B36:C36)</f>
        <v>-3355</v>
      </c>
      <c r="E36" s="1934">
        <f t="shared" si="4"/>
        <v>-0.40815085158150849</v>
      </c>
      <c r="F36" s="1897"/>
      <c r="G36" s="139"/>
      <c r="H36" s="139"/>
      <c r="I36" s="139"/>
      <c r="J36" s="139"/>
      <c r="K36" s="139"/>
      <c r="L36" s="139"/>
    </row>
    <row r="37" spans="1:12" ht="16.5" thickBot="1" x14ac:dyDescent="0.3">
      <c r="A37" s="1893" t="s">
        <v>503</v>
      </c>
      <c r="B37" s="1936">
        <f>SUM(B32:B36)</f>
        <v>-4266</v>
      </c>
      <c r="C37" s="1894">
        <f>SUM(C32:C36)</f>
        <v>354</v>
      </c>
      <c r="D37" s="1937">
        <f>SUM(D32:D36)</f>
        <v>-3912</v>
      </c>
      <c r="E37" s="1935">
        <f t="shared" si="4"/>
        <v>-0.1465497864688694</v>
      </c>
      <c r="F37" s="1897"/>
      <c r="G37" s="139"/>
      <c r="H37" s="139"/>
      <c r="I37" s="139"/>
      <c r="J37" s="139"/>
      <c r="K37" s="139"/>
      <c r="L37" s="139"/>
    </row>
    <row r="38" spans="1:12" x14ac:dyDescent="0.25">
      <c r="A38" s="139"/>
      <c r="B38" s="1911">
        <f>B37/D37</f>
        <v>1.0904907975460123</v>
      </c>
      <c r="C38" s="1898">
        <f>C37/D37</f>
        <v>-9.0490797546012275E-2</v>
      </c>
      <c r="D38" s="1898">
        <f>D37/D37</f>
        <v>1</v>
      </c>
      <c r="E38" s="139"/>
      <c r="F38" s="139"/>
      <c r="G38" s="139"/>
      <c r="H38" s="139"/>
      <c r="I38" s="139"/>
      <c r="J38" s="139"/>
      <c r="K38" s="139"/>
      <c r="L38" s="139"/>
    </row>
    <row r="39" spans="1:12" x14ac:dyDescent="0.25">
      <c r="A39" s="139"/>
      <c r="B39" s="1920">
        <f>B28-B18</f>
        <v>-0.12485589813238376</v>
      </c>
      <c r="C39" s="2165">
        <f>C28-C18</f>
        <v>0.12485589813238374</v>
      </c>
      <c r="D39" s="2165">
        <f>D28-D18</f>
        <v>0</v>
      </c>
      <c r="E39" s="139"/>
      <c r="F39" s="139"/>
      <c r="G39" s="139"/>
      <c r="H39" s="139"/>
      <c r="I39" s="139"/>
      <c r="J39" s="139"/>
      <c r="K39" s="139"/>
      <c r="L39" s="139"/>
    </row>
    <row r="40" spans="1:12" s="139" customFormat="1" ht="15.75" x14ac:dyDescent="0.25">
      <c r="B40" s="1897"/>
      <c r="C40" s="1897"/>
      <c r="D40" s="1912"/>
    </row>
    <row r="41" spans="1:12" s="139" customFormat="1" ht="26.25" x14ac:dyDescent="0.4">
      <c r="A41" s="2158" t="s">
        <v>1896</v>
      </c>
    </row>
    <row r="42" spans="1:12" s="139" customFormat="1" ht="15.75" x14ac:dyDescent="0.25">
      <c r="A42" s="1913"/>
      <c r="B42" s="1914">
        <v>2015</v>
      </c>
      <c r="C42" s="1914">
        <v>2014</v>
      </c>
      <c r="D42" s="1915" t="s">
        <v>1299</v>
      </c>
      <c r="E42" s="1915" t="s">
        <v>1855</v>
      </c>
    </row>
    <row r="43" spans="1:12" s="139" customFormat="1" x14ac:dyDescent="0.25">
      <c r="A43" s="1822"/>
      <c r="B43" s="1823"/>
      <c r="C43" s="1823"/>
      <c r="D43" s="1842"/>
      <c r="E43" s="1913"/>
    </row>
    <row r="44" spans="1:12" s="139" customFormat="1" x14ac:dyDescent="0.25">
      <c r="A44" s="1822"/>
      <c r="B44" s="1823"/>
      <c r="C44" s="1823"/>
      <c r="D44" s="1842"/>
      <c r="E44" s="1913"/>
    </row>
    <row r="45" spans="1:12" s="139" customFormat="1" x14ac:dyDescent="0.25">
      <c r="A45" s="1916" t="s">
        <v>1862</v>
      </c>
      <c r="B45" s="1917">
        <f>254579000</f>
        <v>254579000</v>
      </c>
      <c r="C45" s="1917">
        <v>250071000</v>
      </c>
      <c r="D45" s="1918">
        <f>B45-C45</f>
        <v>4508000</v>
      </c>
      <c r="E45" s="1919">
        <f>B45/C45</f>
        <v>1.018026880365976</v>
      </c>
      <c r="F45" s="1920">
        <f>100/100-E45</f>
        <v>-1.8026880365975995E-2</v>
      </c>
    </row>
    <row r="46" spans="1:12" s="139" customFormat="1" x14ac:dyDescent="0.25">
      <c r="A46" s="1921" t="s">
        <v>1863</v>
      </c>
      <c r="B46" s="1823"/>
      <c r="C46" s="1823"/>
      <c r="D46" s="1842"/>
      <c r="E46" s="1922"/>
    </row>
    <row r="47" spans="1:12" s="139" customFormat="1" x14ac:dyDescent="0.25">
      <c r="A47" s="1822"/>
      <c r="B47" s="1823"/>
      <c r="C47" s="1823"/>
      <c r="D47" s="1842"/>
      <c r="E47" s="1922"/>
    </row>
    <row r="48" spans="1:12" s="139" customFormat="1" x14ac:dyDescent="0.25">
      <c r="A48" s="1822"/>
      <c r="B48" s="1823"/>
      <c r="C48" s="1823"/>
      <c r="D48" s="1842"/>
      <c r="E48" s="1922"/>
    </row>
    <row r="49" spans="1:12" s="139" customFormat="1" x14ac:dyDescent="0.25">
      <c r="A49" s="1916" t="s">
        <v>1862</v>
      </c>
      <c r="B49" s="1917">
        <f>254579000+9116339</f>
        <v>263695339</v>
      </c>
      <c r="C49" s="1917">
        <v>248294200</v>
      </c>
      <c r="D49" s="1918">
        <f>B49-C49</f>
        <v>15401139</v>
      </c>
      <c r="E49" s="1919">
        <f>B49/C49</f>
        <v>1.0620277839756225</v>
      </c>
      <c r="F49" s="1920">
        <f>100/100-E49</f>
        <v>-6.2027783975622475E-2</v>
      </c>
    </row>
    <row r="50" spans="1:12" s="139" customFormat="1" x14ac:dyDescent="0.25">
      <c r="A50" s="1921" t="s">
        <v>1864</v>
      </c>
      <c r="B50" s="1823">
        <f>B49-B45</f>
        <v>9116339</v>
      </c>
      <c r="C50" s="1823">
        <f>C49-C45</f>
        <v>-1776800</v>
      </c>
      <c r="D50" s="1823">
        <f>D49-D45</f>
        <v>10893139</v>
      </c>
      <c r="E50" s="1922"/>
    </row>
    <row r="51" spans="1:12" s="139" customFormat="1" x14ac:dyDescent="0.25">
      <c r="A51" s="1822" t="s">
        <v>1865</v>
      </c>
      <c r="B51" s="1823">
        <v>0</v>
      </c>
      <c r="C51" s="1823">
        <v>2423000</v>
      </c>
      <c r="D51" s="1842"/>
      <c r="E51" s="1922"/>
    </row>
    <row r="52" spans="1:12" s="139" customFormat="1" x14ac:dyDescent="0.25">
      <c r="A52" s="1822" t="s">
        <v>1866</v>
      </c>
      <c r="B52" s="1823">
        <f>SUM(B50:B51)</f>
        <v>9116339</v>
      </c>
      <c r="C52" s="1823">
        <f>SUM(C50:C51)</f>
        <v>646200</v>
      </c>
      <c r="D52" s="1823"/>
      <c r="E52" s="1922"/>
    </row>
    <row r="53" spans="1:12" s="139" customFormat="1" x14ac:dyDescent="0.25">
      <c r="A53" s="1916" t="s">
        <v>1862</v>
      </c>
      <c r="B53" s="1917">
        <f>254579000+9116339</f>
        <v>263695339</v>
      </c>
      <c r="C53" s="1917">
        <f>248294200-646200</f>
        <v>247648000</v>
      </c>
      <c r="D53" s="1918">
        <f>B53-C53</f>
        <v>16047339</v>
      </c>
      <c r="E53" s="1919">
        <f>B53/C53</f>
        <v>1.0647989848494637</v>
      </c>
      <c r="F53" s="1920">
        <f>100/100-E53</f>
        <v>-6.479898484946367E-2</v>
      </c>
    </row>
    <row r="54" spans="1:12" s="139" customFormat="1" x14ac:dyDescent="0.25">
      <c r="A54" s="1921" t="s">
        <v>1867</v>
      </c>
      <c r="B54" s="1823">
        <v>9116339</v>
      </c>
      <c r="C54" s="1823">
        <v>646200</v>
      </c>
      <c r="D54" s="2160">
        <f>B54-C54</f>
        <v>8470139</v>
      </c>
      <c r="E54" s="1919">
        <f>B54/C54</f>
        <v>14.10761219436707</v>
      </c>
      <c r="F54" s="1920">
        <f>100/100-E54</f>
        <v>-13.10761219436707</v>
      </c>
      <c r="G54" s="1037" t="s">
        <v>754</v>
      </c>
    </row>
    <row r="55" spans="1:12" s="139" customFormat="1" x14ac:dyDescent="0.25">
      <c r="A55" s="1822"/>
      <c r="B55" s="1823">
        <f>B45-B53</f>
        <v>-9116339</v>
      </c>
      <c r="C55" s="1823">
        <f>C45-C53</f>
        <v>2423000</v>
      </c>
      <c r="D55" s="1823">
        <f>D45-D53</f>
        <v>-11539339</v>
      </c>
      <c r="E55" s="1922"/>
    </row>
    <row r="56" spans="1:12" s="139" customFormat="1" x14ac:dyDescent="0.25">
      <c r="A56" s="1822"/>
      <c r="B56" s="1823">
        <v>0</v>
      </c>
      <c r="C56" s="1823">
        <v>0</v>
      </c>
      <c r="D56" s="1842"/>
      <c r="E56" s="1922"/>
    </row>
    <row r="57" spans="1:12" s="139" customFormat="1" x14ac:dyDescent="0.25">
      <c r="A57" s="2159" t="s">
        <v>1897</v>
      </c>
      <c r="B57" s="1925">
        <f>SUM(B55:B56)</f>
        <v>-9116339</v>
      </c>
      <c r="C57" s="1925">
        <f>SUM(C55:C56)</f>
        <v>2423000</v>
      </c>
      <c r="D57" s="1926">
        <f>B57-C57</f>
        <v>-11539339</v>
      </c>
      <c r="E57" s="1919">
        <f>B57/C57/10</f>
        <v>-0.37624180767643417</v>
      </c>
    </row>
    <row r="58" spans="1:12" s="139" customFormat="1" x14ac:dyDescent="0.25">
      <c r="A58" s="1226"/>
      <c r="B58" s="1639"/>
      <c r="C58" s="1927"/>
      <c r="D58" s="829"/>
    </row>
    <row r="59" spans="1:12" s="139" customFormat="1" x14ac:dyDescent="0.25">
      <c r="A59" s="1226"/>
      <c r="B59" s="1928"/>
      <c r="C59" s="829"/>
      <c r="D59" s="829"/>
    </row>
    <row r="60" spans="1:12" x14ac:dyDescent="0.25">
      <c r="A60" s="1226"/>
      <c r="B60" s="1639"/>
      <c r="C60" s="1929"/>
      <c r="D60" s="829"/>
      <c r="E60" s="139"/>
      <c r="F60" s="139"/>
      <c r="G60" s="139"/>
      <c r="H60" s="139"/>
      <c r="I60" s="139"/>
      <c r="J60" s="139"/>
      <c r="K60" s="139"/>
      <c r="L60" s="139"/>
    </row>
    <row r="61" spans="1:12" ht="26.25" x14ac:dyDescent="0.4">
      <c r="A61" s="1878" t="s">
        <v>1861</v>
      </c>
      <c r="B61" s="139"/>
      <c r="C61" s="139"/>
      <c r="D61" s="139"/>
      <c r="E61" s="139"/>
      <c r="F61" s="139"/>
      <c r="G61" s="139"/>
      <c r="H61" s="139"/>
      <c r="I61" s="139"/>
      <c r="J61" s="139"/>
      <c r="K61" s="139"/>
      <c r="L61" s="139"/>
    </row>
    <row r="62" spans="1:12" ht="15.75" x14ac:dyDescent="0.25">
      <c r="A62" s="1913"/>
      <c r="B62" s="1914">
        <v>2014</v>
      </c>
      <c r="C62" s="1914">
        <v>2013</v>
      </c>
      <c r="D62" s="1915" t="s">
        <v>1299</v>
      </c>
      <c r="E62" s="1915" t="s">
        <v>1855</v>
      </c>
      <c r="F62" s="139"/>
      <c r="G62" s="139"/>
      <c r="H62" s="139"/>
      <c r="I62" s="829"/>
      <c r="J62" s="139"/>
      <c r="K62" s="139"/>
      <c r="L62" s="139"/>
    </row>
    <row r="63" spans="1:12" x14ac:dyDescent="0.25">
      <c r="A63" s="1822"/>
      <c r="B63" s="1823"/>
      <c r="C63" s="1823"/>
      <c r="D63" s="1842"/>
      <c r="E63" s="1913"/>
      <c r="F63" s="139"/>
      <c r="G63" s="139"/>
      <c r="H63" s="139"/>
      <c r="I63" s="829"/>
      <c r="J63" s="139"/>
      <c r="K63" s="139"/>
      <c r="L63" s="139"/>
    </row>
    <row r="64" spans="1:12" x14ac:dyDescent="0.25">
      <c r="A64" s="1822"/>
      <c r="B64" s="1823"/>
      <c r="C64" s="1823"/>
      <c r="D64" s="1842"/>
      <c r="E64" s="1913"/>
      <c r="F64" s="139"/>
      <c r="G64" s="139"/>
      <c r="H64" s="139"/>
      <c r="I64" s="829"/>
      <c r="J64" s="139"/>
      <c r="K64" s="139"/>
      <c r="L64" s="139"/>
    </row>
    <row r="65" spans="1:12" x14ac:dyDescent="0.25">
      <c r="A65" s="1916" t="s">
        <v>1862</v>
      </c>
      <c r="B65" s="1917">
        <v>250071000</v>
      </c>
      <c r="C65" s="1917">
        <v>252000000</v>
      </c>
      <c r="D65" s="1918">
        <f>B65-C65</f>
        <v>-1929000</v>
      </c>
      <c r="E65" s="1919">
        <f>B65/C65</f>
        <v>0.99234523809523811</v>
      </c>
      <c r="F65" s="1920">
        <f>100/100-E65</f>
        <v>7.6547619047618864E-3</v>
      </c>
      <c r="G65" s="139"/>
      <c r="H65" s="139"/>
      <c r="I65" s="139"/>
      <c r="J65" s="139"/>
      <c r="K65" s="139"/>
      <c r="L65" s="139"/>
    </row>
    <row r="66" spans="1:12" x14ac:dyDescent="0.25">
      <c r="A66" s="1921" t="s">
        <v>1863</v>
      </c>
      <c r="B66" s="1823"/>
      <c r="C66" s="1823"/>
      <c r="D66" s="1842"/>
      <c r="E66" s="1913"/>
      <c r="F66" s="139"/>
      <c r="G66" s="139"/>
      <c r="H66" s="139"/>
      <c r="I66" s="139"/>
      <c r="J66" s="139"/>
      <c r="K66" s="139"/>
      <c r="L66" s="139"/>
    </row>
    <row r="67" spans="1:12" x14ac:dyDescent="0.25">
      <c r="A67" s="1822"/>
      <c r="B67" s="1823"/>
      <c r="C67" s="1823"/>
      <c r="D67" s="1842"/>
      <c r="E67" s="1913"/>
      <c r="F67" s="139"/>
      <c r="G67" s="139"/>
      <c r="H67" s="139"/>
      <c r="I67" s="139"/>
      <c r="J67" s="139"/>
      <c r="K67" s="139"/>
      <c r="L67" s="139"/>
    </row>
    <row r="68" spans="1:12" x14ac:dyDescent="0.25">
      <c r="A68" s="1822"/>
      <c r="B68" s="1823"/>
      <c r="C68" s="1823"/>
      <c r="D68" s="1842"/>
      <c r="E68" s="1913"/>
      <c r="F68" s="139"/>
      <c r="G68" s="139"/>
      <c r="H68" s="139"/>
      <c r="I68" s="139"/>
      <c r="J68" s="139"/>
      <c r="K68" s="139"/>
      <c r="L68" s="139"/>
    </row>
    <row r="69" spans="1:12" x14ac:dyDescent="0.25">
      <c r="A69" s="1916" t="s">
        <v>1862</v>
      </c>
      <c r="B69" s="1917">
        <v>248294200</v>
      </c>
      <c r="C69" s="1917">
        <f>252000000+2514000</f>
        <v>254514000</v>
      </c>
      <c r="D69" s="1918">
        <f>B69-C69</f>
        <v>-6219800</v>
      </c>
      <c r="E69" s="1919">
        <f>B69/C69</f>
        <v>0.97556205159637588</v>
      </c>
      <c r="F69" s="1920">
        <f>100/100-E69</f>
        <v>2.4437948403624121E-2</v>
      </c>
      <c r="G69" s="139"/>
      <c r="H69" s="139"/>
      <c r="I69" s="139"/>
      <c r="J69" s="139"/>
      <c r="K69" s="139"/>
      <c r="L69" s="139"/>
    </row>
    <row r="70" spans="1:12" x14ac:dyDescent="0.25">
      <c r="A70" s="1921" t="s">
        <v>1864</v>
      </c>
      <c r="B70" s="1823">
        <f>B69-B65</f>
        <v>-1776800</v>
      </c>
      <c r="C70" s="1823">
        <f>C69-C65</f>
        <v>2514000</v>
      </c>
      <c r="D70" s="1823">
        <f>D69-D65</f>
        <v>-4290800</v>
      </c>
      <c r="E70" s="1922"/>
      <c r="F70" s="139"/>
      <c r="G70" s="139"/>
      <c r="H70" s="139"/>
      <c r="I70" s="139"/>
      <c r="J70" s="139"/>
      <c r="K70" s="139"/>
      <c r="L70" s="139"/>
    </row>
    <row r="71" spans="1:12" x14ac:dyDescent="0.25">
      <c r="A71" s="1822" t="s">
        <v>1865</v>
      </c>
      <c r="B71" s="1823">
        <v>2423000</v>
      </c>
      <c r="C71" s="1823"/>
      <c r="D71" s="1842"/>
      <c r="E71" s="1913"/>
      <c r="F71" s="139"/>
      <c r="G71" s="139"/>
      <c r="H71" s="139"/>
      <c r="I71" s="139"/>
      <c r="J71" s="139"/>
      <c r="K71" s="139"/>
      <c r="L71" s="139"/>
    </row>
    <row r="72" spans="1:12" x14ac:dyDescent="0.25">
      <c r="A72" s="1822" t="s">
        <v>1866</v>
      </c>
      <c r="B72" s="1823">
        <f>SUM(B70:B71)</f>
        <v>646200</v>
      </c>
      <c r="C72" s="1823"/>
      <c r="D72" s="1823"/>
      <c r="E72" s="1913"/>
      <c r="F72" s="139"/>
      <c r="G72" s="139"/>
      <c r="H72" s="139"/>
      <c r="I72" s="139"/>
      <c r="J72" s="139"/>
      <c r="K72" s="139"/>
      <c r="L72" s="139"/>
    </row>
    <row r="73" spans="1:12" x14ac:dyDescent="0.25">
      <c r="A73" s="1916" t="s">
        <v>1862</v>
      </c>
      <c r="B73" s="1917">
        <f>248294200-646200</f>
        <v>247648000</v>
      </c>
      <c r="C73" s="1917">
        <f>248902000</f>
        <v>248902000</v>
      </c>
      <c r="D73" s="1918">
        <f>B73-C73</f>
        <v>-1254000</v>
      </c>
      <c r="E73" s="1919">
        <f>B73/C73</f>
        <v>0.9949618725442142</v>
      </c>
      <c r="F73" s="1920">
        <f>100/100-E73</f>
        <v>5.0381274557858013E-3</v>
      </c>
      <c r="G73" s="139"/>
      <c r="H73" s="139"/>
      <c r="I73" s="139"/>
      <c r="J73" s="139"/>
      <c r="K73" s="139"/>
      <c r="L73" s="139"/>
    </row>
    <row r="74" spans="1:12" x14ac:dyDescent="0.25">
      <c r="A74" s="1921" t="s">
        <v>1867</v>
      </c>
      <c r="B74" s="1823">
        <v>646200</v>
      </c>
      <c r="C74" s="1823">
        <v>2514000</v>
      </c>
      <c r="D74" s="1923">
        <f>B74-C74</f>
        <v>-1867800</v>
      </c>
      <c r="E74" s="1919">
        <f>B74/C74</f>
        <v>0.25704057279236275</v>
      </c>
      <c r="F74" s="1920">
        <f>100/100-E74</f>
        <v>0.74295942720763719</v>
      </c>
      <c r="G74" s="1037" t="s">
        <v>754</v>
      </c>
      <c r="H74" s="139"/>
      <c r="I74" s="139"/>
      <c r="J74" s="139"/>
      <c r="K74" s="139"/>
      <c r="L74" s="139"/>
    </row>
    <row r="75" spans="1:12" x14ac:dyDescent="0.25">
      <c r="A75" s="1822"/>
      <c r="B75" s="1823">
        <f>B65-B73</f>
        <v>2423000</v>
      </c>
      <c r="C75" s="1823">
        <f>C65-C73</f>
        <v>3098000</v>
      </c>
      <c r="D75" s="1823">
        <f>D65-D73</f>
        <v>-675000</v>
      </c>
      <c r="E75" s="1913"/>
      <c r="F75" s="139"/>
      <c r="G75" s="139"/>
      <c r="H75" s="139"/>
      <c r="I75" s="139"/>
      <c r="J75" s="139"/>
      <c r="K75" s="139"/>
      <c r="L75" s="139"/>
    </row>
    <row r="76" spans="1:12" x14ac:dyDescent="0.25">
      <c r="A76" s="1822"/>
      <c r="B76" s="1823">
        <v>0</v>
      </c>
      <c r="C76" s="1823">
        <v>0</v>
      </c>
      <c r="D76" s="1842"/>
      <c r="E76" s="1913"/>
      <c r="F76" s="139"/>
      <c r="G76" s="139"/>
      <c r="H76" s="139"/>
      <c r="I76" s="139"/>
      <c r="J76" s="139"/>
      <c r="K76" s="139"/>
      <c r="L76" s="139"/>
    </row>
    <row r="77" spans="1:12" x14ac:dyDescent="0.25">
      <c r="A77" s="1924" t="s">
        <v>1868</v>
      </c>
      <c r="B77" s="1925">
        <f>SUM(B75:B76)</f>
        <v>2423000</v>
      </c>
      <c r="C77" s="1925">
        <f>SUM(C75:C76)</f>
        <v>3098000</v>
      </c>
      <c r="D77" s="1926">
        <f>B77-C77</f>
        <v>-675000</v>
      </c>
      <c r="E77" s="1919">
        <f>B77/C77/10</f>
        <v>7.821174951581665E-2</v>
      </c>
      <c r="F77" s="139"/>
      <c r="G77" s="139"/>
      <c r="H77" s="139"/>
      <c r="I77" s="139"/>
      <c r="J77" s="139"/>
      <c r="K77" s="139"/>
      <c r="L77" s="139"/>
    </row>
    <row r="78" spans="1:12" x14ac:dyDescent="0.25">
      <c r="A78" s="1226"/>
      <c r="B78" s="1639"/>
      <c r="C78" s="1927" t="s">
        <v>1869</v>
      </c>
      <c r="D78" s="829"/>
      <c r="E78" s="139"/>
      <c r="F78" s="139"/>
      <c r="G78" s="139"/>
      <c r="H78" s="139"/>
      <c r="I78" s="139"/>
      <c r="J78" s="139"/>
      <c r="K78" s="139"/>
      <c r="L78" s="139"/>
    </row>
    <row r="79" spans="1:12" x14ac:dyDescent="0.25">
      <c r="A79" s="1226"/>
      <c r="B79" s="1928"/>
      <c r="C79" s="829"/>
      <c r="D79" s="829"/>
      <c r="E79" s="139"/>
      <c r="F79" s="139"/>
      <c r="G79" s="139"/>
      <c r="H79" s="139"/>
      <c r="I79" s="139"/>
      <c r="J79" s="139"/>
      <c r="K79" s="139"/>
      <c r="L79" s="139"/>
    </row>
    <row r="80" spans="1:12" x14ac:dyDescent="0.25">
      <c r="A80" s="1226"/>
      <c r="B80" s="1639"/>
      <c r="C80" s="1929"/>
      <c r="D80" s="829"/>
      <c r="E80" s="139"/>
      <c r="F80" s="139"/>
      <c r="G80" s="139"/>
      <c r="H80" s="139"/>
      <c r="I80" s="139"/>
      <c r="J80" s="139"/>
      <c r="K80" s="139"/>
      <c r="L80" s="139"/>
    </row>
    <row r="81" spans="1:12" x14ac:dyDescent="0.25">
      <c r="A81" s="1226"/>
      <c r="B81" s="1639"/>
      <c r="C81" s="829"/>
      <c r="D81" s="829"/>
      <c r="E81" s="139"/>
      <c r="F81" s="139"/>
      <c r="G81" s="139"/>
      <c r="H81" s="139"/>
      <c r="I81" s="139"/>
      <c r="J81" s="139"/>
      <c r="K81" s="139"/>
      <c r="L81" s="139"/>
    </row>
    <row r="82" spans="1:12" x14ac:dyDescent="0.25">
      <c r="A82" s="139"/>
      <c r="B82" s="139"/>
      <c r="C82" s="139"/>
      <c r="D82" s="139"/>
      <c r="E82" s="139"/>
      <c r="F82" s="139"/>
      <c r="G82" s="139"/>
      <c r="H82" s="139"/>
      <c r="I82" s="139"/>
      <c r="J82" s="139"/>
      <c r="K82" s="139"/>
      <c r="L82" s="139"/>
    </row>
    <row r="83" spans="1:12" x14ac:dyDescent="0.25">
      <c r="A83" s="139"/>
      <c r="B83" s="139"/>
      <c r="C83" s="139"/>
      <c r="D83" s="139"/>
      <c r="E83" s="139"/>
      <c r="F83" s="139"/>
      <c r="G83" s="139"/>
      <c r="H83" s="139"/>
      <c r="I83" s="139"/>
      <c r="J83" s="139"/>
      <c r="K83" s="139"/>
      <c r="L83" s="139"/>
    </row>
    <row r="84" spans="1:12" x14ac:dyDescent="0.25">
      <c r="A84" s="139"/>
      <c r="B84" s="139"/>
      <c r="C84" s="139"/>
      <c r="D84" s="139"/>
      <c r="E84" s="139"/>
      <c r="F84" s="139"/>
      <c r="G84" s="139"/>
      <c r="H84" s="139"/>
      <c r="I84" s="139"/>
      <c r="J84" s="139"/>
      <c r="K84" s="139"/>
      <c r="L84" s="139"/>
    </row>
    <row r="85" spans="1:12" x14ac:dyDescent="0.25">
      <c r="A85" s="139"/>
      <c r="B85" s="139"/>
      <c r="C85" s="139"/>
      <c r="D85" s="139"/>
      <c r="E85" s="139"/>
      <c r="F85" s="139"/>
      <c r="G85" s="139"/>
      <c r="H85" s="139"/>
      <c r="I85" s="139"/>
      <c r="J85" s="139"/>
      <c r="K85" s="139"/>
      <c r="L85" s="139"/>
    </row>
    <row r="86" spans="1:12" ht="26.25" x14ac:dyDescent="0.4">
      <c r="A86" s="1878" t="s">
        <v>1870</v>
      </c>
      <c r="B86" s="139"/>
      <c r="C86" s="139"/>
      <c r="D86" s="139"/>
      <c r="E86" s="139"/>
      <c r="F86" s="139"/>
      <c r="G86" s="139"/>
      <c r="H86" s="139"/>
      <c r="I86" s="139"/>
      <c r="J86" s="139"/>
      <c r="K86" s="139"/>
      <c r="L86" s="139"/>
    </row>
    <row r="87" spans="1:12" ht="15.75" x14ac:dyDescent="0.25">
      <c r="A87" s="1913"/>
      <c r="B87" s="1914">
        <v>2013</v>
      </c>
      <c r="C87" s="1914">
        <v>2012</v>
      </c>
      <c r="D87" s="1915" t="s">
        <v>1299</v>
      </c>
      <c r="E87" s="1915" t="s">
        <v>1855</v>
      </c>
      <c r="F87" s="139"/>
      <c r="G87" s="139"/>
      <c r="H87" s="139"/>
      <c r="I87" s="139"/>
      <c r="J87" s="139"/>
      <c r="K87" s="139"/>
      <c r="L87" s="139"/>
    </row>
    <row r="88" spans="1:12" x14ac:dyDescent="0.25">
      <c r="A88" s="1822"/>
      <c r="B88" s="1823"/>
      <c r="C88" s="1842"/>
      <c r="D88" s="1842"/>
      <c r="E88" s="1913"/>
      <c r="F88" s="139"/>
      <c r="G88" s="139"/>
      <c r="H88" s="139"/>
      <c r="I88" s="139"/>
      <c r="J88" s="139"/>
      <c r="K88" s="139"/>
      <c r="L88" s="139"/>
    </row>
    <row r="89" spans="1:12" x14ac:dyDescent="0.25">
      <c r="A89" s="1822"/>
      <c r="B89" s="1823"/>
      <c r="C89" s="1842"/>
      <c r="D89" s="1842"/>
      <c r="E89" s="1913"/>
      <c r="F89" s="139"/>
      <c r="G89" s="139"/>
      <c r="H89" s="139"/>
      <c r="I89" s="139"/>
      <c r="J89" s="139"/>
      <c r="K89" s="139"/>
      <c r="L89" s="139"/>
    </row>
    <row r="90" spans="1:12" x14ac:dyDescent="0.25">
      <c r="A90" s="1916" t="s">
        <v>1862</v>
      </c>
      <c r="B90" s="1917">
        <v>252000000</v>
      </c>
      <c r="C90" s="1917">
        <v>225378000</v>
      </c>
      <c r="D90" s="1930">
        <f>B90-C90</f>
        <v>26622000</v>
      </c>
      <c r="E90" s="1919">
        <f>B90/C90/10</f>
        <v>0.11181215557862792</v>
      </c>
      <c r="F90" s="139"/>
      <c r="G90" s="139"/>
      <c r="H90" s="139"/>
      <c r="I90" s="139"/>
      <c r="J90" s="139"/>
      <c r="K90" s="139"/>
      <c r="L90" s="139"/>
    </row>
    <row r="91" spans="1:12" x14ac:dyDescent="0.25">
      <c r="A91" s="1921" t="s">
        <v>1863</v>
      </c>
      <c r="B91" s="1823"/>
      <c r="C91" s="1842"/>
      <c r="D91" s="1842"/>
      <c r="E91" s="1913"/>
      <c r="F91" s="139"/>
      <c r="G91" s="139"/>
      <c r="H91" s="139"/>
      <c r="I91" s="139"/>
      <c r="J91" s="139"/>
      <c r="K91" s="139"/>
      <c r="L91" s="139"/>
    </row>
    <row r="92" spans="1:12" x14ac:dyDescent="0.25">
      <c r="A92" s="1822"/>
      <c r="B92" s="1823"/>
      <c r="C92" s="1842"/>
      <c r="D92" s="1842"/>
      <c r="E92" s="1913"/>
      <c r="F92" s="139"/>
      <c r="G92" s="139"/>
      <c r="H92" s="139"/>
      <c r="I92" s="139"/>
      <c r="J92" s="139"/>
      <c r="K92" s="139"/>
      <c r="L92" s="139"/>
    </row>
    <row r="93" spans="1:12" x14ac:dyDescent="0.25">
      <c r="A93" s="1822"/>
      <c r="B93" s="1823"/>
      <c r="C93" s="1842"/>
      <c r="D93" s="1842"/>
      <c r="E93" s="1913"/>
      <c r="F93" s="139"/>
      <c r="G93" s="139"/>
      <c r="H93" s="139"/>
      <c r="I93" s="139"/>
      <c r="J93" s="139"/>
      <c r="K93" s="139"/>
      <c r="L93" s="139"/>
    </row>
    <row r="94" spans="1:12" x14ac:dyDescent="0.25">
      <c r="A94" s="1916" t="s">
        <v>1862</v>
      </c>
      <c r="B94" s="1917">
        <f>252000000+2514000</f>
        <v>254514000</v>
      </c>
      <c r="C94" s="1917">
        <f>225378000+1650000-295000</f>
        <v>226733000</v>
      </c>
      <c r="D94" s="1930">
        <f>B94-C94</f>
        <v>27781000</v>
      </c>
      <c r="E94" s="1919">
        <f>B94/C94/10</f>
        <v>0.11225273780173155</v>
      </c>
      <c r="F94" s="139"/>
      <c r="G94" s="139"/>
      <c r="H94" s="139"/>
      <c r="I94" s="139"/>
      <c r="J94" s="139"/>
      <c r="K94" s="139"/>
      <c r="L94" s="139"/>
    </row>
    <row r="95" spans="1:12" x14ac:dyDescent="0.25">
      <c r="A95" s="1921" t="s">
        <v>1864</v>
      </c>
      <c r="B95" s="1823">
        <f>B94-B90</f>
        <v>2514000</v>
      </c>
      <c r="C95" s="1823">
        <f>C94-C90</f>
        <v>1355000</v>
      </c>
      <c r="D95" s="1823">
        <f>D94-D90</f>
        <v>1159000</v>
      </c>
      <c r="E95" s="1922"/>
      <c r="F95" s="139"/>
      <c r="G95" s="139"/>
      <c r="H95" s="139"/>
      <c r="I95" s="139"/>
      <c r="J95" s="139"/>
      <c r="K95" s="139"/>
      <c r="L95" s="139"/>
    </row>
    <row r="96" spans="1:12" x14ac:dyDescent="0.25">
      <c r="A96" s="1822"/>
      <c r="B96" s="1823"/>
      <c r="C96" s="1842"/>
      <c r="D96" s="1842"/>
      <c r="E96" s="1913"/>
      <c r="F96" s="139"/>
      <c r="G96" s="139"/>
      <c r="H96" s="139"/>
      <c r="I96" s="139"/>
      <c r="J96" s="139"/>
      <c r="K96" s="139"/>
      <c r="L96" s="139"/>
    </row>
    <row r="97" spans="1:12" x14ac:dyDescent="0.25">
      <c r="A97" s="1822"/>
      <c r="B97" s="1823"/>
      <c r="C97" s="1823"/>
      <c r="D97" s="1823"/>
      <c r="E97" s="1913"/>
      <c r="F97" s="139"/>
      <c r="G97" s="139"/>
      <c r="H97" s="139"/>
      <c r="I97" s="139"/>
      <c r="J97" s="139"/>
      <c r="K97" s="139"/>
      <c r="L97" s="139"/>
    </row>
    <row r="98" spans="1:12" x14ac:dyDescent="0.25">
      <c r="A98" s="1916" t="s">
        <v>1862</v>
      </c>
      <c r="B98" s="1917">
        <f>248902000</f>
        <v>248902000</v>
      </c>
      <c r="C98" s="1917">
        <v>223093000</v>
      </c>
      <c r="D98" s="1930">
        <f>B98-C98</f>
        <v>25809000</v>
      </c>
      <c r="E98" s="1919">
        <f>B98/C98/10</f>
        <v>0.11156871797860086</v>
      </c>
      <c r="F98" s="139"/>
      <c r="G98" s="139"/>
      <c r="H98" s="139"/>
      <c r="I98" s="139"/>
      <c r="J98" s="139"/>
      <c r="K98" s="139"/>
      <c r="L98" s="139"/>
    </row>
    <row r="99" spans="1:12" x14ac:dyDescent="0.25">
      <c r="A99" s="1921" t="s">
        <v>1867</v>
      </c>
      <c r="B99" s="1823">
        <v>2514000</v>
      </c>
      <c r="C99" s="1842">
        <v>1650000</v>
      </c>
      <c r="D99" s="1842">
        <f>B99-C99</f>
        <v>864000</v>
      </c>
      <c r="E99" s="1919">
        <f>B99/C99/10</f>
        <v>0.15236363636363637</v>
      </c>
      <c r="F99" s="139" t="s">
        <v>754</v>
      </c>
      <c r="G99" s="139"/>
      <c r="H99" s="139"/>
      <c r="I99" s="139"/>
      <c r="J99" s="139"/>
      <c r="K99" s="139"/>
      <c r="L99" s="139"/>
    </row>
    <row r="100" spans="1:12" x14ac:dyDescent="0.25">
      <c r="A100" s="1822"/>
      <c r="B100" s="1823">
        <f>B90-B98</f>
        <v>3098000</v>
      </c>
      <c r="C100" s="1823">
        <f>C90-C98</f>
        <v>2285000</v>
      </c>
      <c r="D100" s="1823">
        <f>D90-D98</f>
        <v>813000</v>
      </c>
      <c r="E100" s="1913"/>
      <c r="F100" s="139"/>
      <c r="G100" s="139"/>
      <c r="H100" s="139"/>
      <c r="I100" s="139"/>
      <c r="J100" s="139"/>
      <c r="K100" s="139"/>
      <c r="L100" s="139"/>
    </row>
    <row r="101" spans="1:12" x14ac:dyDescent="0.25">
      <c r="A101" s="1822"/>
      <c r="B101" s="1823">
        <v>0</v>
      </c>
      <c r="C101" s="1842">
        <v>-295000</v>
      </c>
      <c r="D101" s="1842"/>
      <c r="E101" s="1913"/>
      <c r="F101" s="139"/>
      <c r="G101" s="139"/>
      <c r="H101" s="139"/>
      <c r="I101" s="139"/>
      <c r="J101" s="139"/>
      <c r="K101" s="139"/>
      <c r="L101" s="139"/>
    </row>
    <row r="102" spans="1:12" x14ac:dyDescent="0.25">
      <c r="A102" s="1924" t="s">
        <v>1868</v>
      </c>
      <c r="B102" s="1925">
        <f>SUM(B100:B101)</f>
        <v>3098000</v>
      </c>
      <c r="C102" s="1926">
        <f>SUM(C100:C101)</f>
        <v>1990000</v>
      </c>
      <c r="D102" s="1926">
        <f>B102-C102</f>
        <v>1108000</v>
      </c>
      <c r="E102" s="1919">
        <f>B102/C102/10</f>
        <v>0.15567839195979899</v>
      </c>
      <c r="F102" s="139"/>
      <c r="G102" s="139"/>
      <c r="H102" s="139"/>
      <c r="I102" s="139"/>
      <c r="J102" s="139"/>
      <c r="K102" s="139"/>
      <c r="L102" s="139"/>
    </row>
    <row r="103" spans="1:12" x14ac:dyDescent="0.25">
      <c r="A103" s="1226"/>
      <c r="B103" s="1639"/>
      <c r="C103" s="829"/>
      <c r="D103" s="829"/>
      <c r="E103" s="139"/>
      <c r="F103" s="139"/>
      <c r="G103" s="139"/>
      <c r="H103" s="139"/>
      <c r="I103" s="139"/>
      <c r="J103" s="139"/>
      <c r="K103" s="139"/>
      <c r="L103" s="139"/>
    </row>
    <row r="104" spans="1:12" x14ac:dyDescent="0.25">
      <c r="A104" s="1226"/>
      <c r="B104" s="1928"/>
      <c r="C104" s="829">
        <v>224742000</v>
      </c>
      <c r="D104" s="829"/>
      <c r="E104" s="139"/>
      <c r="F104" s="139"/>
      <c r="G104" s="139"/>
      <c r="H104" s="139"/>
      <c r="I104" s="139"/>
      <c r="J104" s="139"/>
      <c r="K104" s="139"/>
      <c r="L104" s="139"/>
    </row>
    <row r="105" spans="1:12" x14ac:dyDescent="0.25">
      <c r="A105" s="1226"/>
      <c r="B105" s="1639"/>
      <c r="C105" s="1929">
        <v>-223093000</v>
      </c>
      <c r="D105" s="829"/>
      <c r="E105" s="139"/>
      <c r="F105" s="139"/>
      <c r="G105" s="139"/>
      <c r="H105" s="139"/>
      <c r="I105" s="139"/>
      <c r="J105" s="139"/>
      <c r="K105" s="139"/>
      <c r="L105" s="139"/>
    </row>
    <row r="106" spans="1:12" x14ac:dyDescent="0.25">
      <c r="A106" s="1226"/>
      <c r="B106" s="1639"/>
      <c r="C106" s="829">
        <f>SUM(C104:C105)</f>
        <v>1649000</v>
      </c>
      <c r="D106" s="829"/>
      <c r="E106" s="139"/>
      <c r="F106" s="139"/>
      <c r="G106" s="139"/>
      <c r="H106" s="139"/>
      <c r="I106" s="139"/>
      <c r="J106" s="139"/>
      <c r="K106" s="139"/>
      <c r="L106" s="139"/>
    </row>
    <row r="107" spans="1:12" x14ac:dyDescent="0.25">
      <c r="A107" s="1226"/>
      <c r="B107" s="1639"/>
      <c r="C107" s="829"/>
      <c r="D107" s="829"/>
      <c r="E107" s="139"/>
      <c r="F107" s="139"/>
      <c r="G107" s="139"/>
      <c r="H107" s="139"/>
      <c r="I107" s="139"/>
      <c r="J107" s="139"/>
      <c r="K107" s="139"/>
      <c r="L107" s="139"/>
    </row>
    <row r="108" spans="1:12" x14ac:dyDescent="0.25">
      <c r="A108" s="139"/>
      <c r="B108" s="829"/>
      <c r="C108" s="829"/>
      <c r="D108" s="829"/>
      <c r="E108" s="139"/>
      <c r="F108" s="139"/>
      <c r="G108" s="139"/>
      <c r="H108" s="139"/>
      <c r="I108" s="139"/>
      <c r="J108" s="139"/>
      <c r="K108" s="139"/>
      <c r="L108" s="139"/>
    </row>
    <row r="109" spans="1:12" x14ac:dyDescent="0.25">
      <c r="A109" s="139"/>
      <c r="B109" s="829"/>
      <c r="C109" s="829"/>
      <c r="D109" s="829"/>
      <c r="E109" s="139"/>
      <c r="F109" s="139"/>
      <c r="G109" s="139"/>
      <c r="H109" s="139"/>
      <c r="I109" s="139"/>
      <c r="J109" s="139"/>
      <c r="K109" s="139"/>
      <c r="L109" s="139"/>
    </row>
    <row r="110" spans="1:12" x14ac:dyDescent="0.25">
      <c r="A110" s="139"/>
      <c r="B110" s="829"/>
      <c r="C110" s="829"/>
      <c r="D110" s="829"/>
      <c r="E110" s="139"/>
      <c r="F110" s="139"/>
      <c r="G110" s="139"/>
      <c r="H110" s="139"/>
      <c r="I110" s="139"/>
      <c r="J110" s="139"/>
      <c r="K110" s="139"/>
      <c r="L110" s="139"/>
    </row>
  </sheetData>
  <printOptions horizontalCentered="1" verticalCentered="1"/>
  <pageMargins left="0.70866141732283472" right="0.70866141732283472" top="0.78740157480314965" bottom="0.78740157480314965" header="0.31496062992125984" footer="0.31496062992125984"/>
  <pageSetup paperSize="9" scale="2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35"/>
  <sheetViews>
    <sheetView workbookViewId="0">
      <selection activeCell="A48" sqref="A48"/>
    </sheetView>
  </sheetViews>
  <sheetFormatPr defaultRowHeight="12.75" x14ac:dyDescent="0.25"/>
  <cols>
    <col min="1" max="1" width="46.85546875" style="16" customWidth="1"/>
    <col min="2" max="2" width="14.5703125" style="16" customWidth="1"/>
    <col min="3" max="3" width="15" style="16" customWidth="1"/>
    <col min="4" max="4" width="17.42578125" style="16" customWidth="1"/>
    <col min="5" max="16384" width="9.140625" style="16"/>
  </cols>
  <sheetData>
    <row r="2" spans="1:7" ht="15.75" hidden="1" x14ac:dyDescent="0.25">
      <c r="A2" s="11" t="s">
        <v>1142</v>
      </c>
      <c r="B2" s="12"/>
      <c r="C2" s="12"/>
      <c r="E2" s="141"/>
      <c r="F2" s="12"/>
      <c r="G2" s="12"/>
    </row>
    <row r="3" spans="1:7" ht="13.5" hidden="1" thickBot="1" x14ac:dyDescent="0.25">
      <c r="A3" s="62"/>
      <c r="B3" s="62"/>
      <c r="C3" s="62"/>
      <c r="D3" s="13" t="s">
        <v>499</v>
      </c>
      <c r="E3" s="62"/>
      <c r="F3" s="12"/>
      <c r="G3" s="12"/>
    </row>
    <row r="4" spans="1:7" s="28" customFormat="1" ht="26.25" hidden="1" thickBot="1" x14ac:dyDescent="0.3">
      <c r="A4" s="63" t="s">
        <v>709</v>
      </c>
      <c r="B4" s="64" t="s">
        <v>500</v>
      </c>
      <c r="C4" s="65" t="s">
        <v>501</v>
      </c>
      <c r="D4" s="66" t="s">
        <v>502</v>
      </c>
      <c r="E4" s="27"/>
      <c r="F4" s="27"/>
      <c r="G4" s="27"/>
    </row>
    <row r="5" spans="1:7" hidden="1" x14ac:dyDescent="0.25">
      <c r="A5" s="67"/>
      <c r="B5" s="387"/>
      <c r="C5" s="388"/>
      <c r="D5" s="389">
        <f>SUM(B5:C5)</f>
        <v>0</v>
      </c>
      <c r="E5" s="12"/>
      <c r="F5" s="12"/>
      <c r="G5" s="12"/>
    </row>
    <row r="6" spans="1:7" hidden="1" x14ac:dyDescent="0.25">
      <c r="A6" s="68"/>
      <c r="B6" s="390"/>
      <c r="C6" s="257"/>
      <c r="D6" s="389">
        <f t="shared" ref="D6:D11" si="0">SUM(B6:C6)</f>
        <v>0</v>
      </c>
      <c r="E6" s="12"/>
      <c r="F6" s="69"/>
      <c r="G6" s="12"/>
    </row>
    <row r="7" spans="1:7" hidden="1" x14ac:dyDescent="0.25">
      <c r="A7" s="68"/>
      <c r="B7" s="390"/>
      <c r="C7" s="257"/>
      <c r="D7" s="389">
        <f t="shared" si="0"/>
        <v>0</v>
      </c>
      <c r="E7" s="12"/>
      <c r="F7" s="70"/>
      <c r="G7" s="12"/>
    </row>
    <row r="8" spans="1:7" hidden="1" x14ac:dyDescent="0.25">
      <c r="A8" s="68"/>
      <c r="B8" s="390"/>
      <c r="C8" s="257"/>
      <c r="D8" s="389">
        <f t="shared" si="0"/>
        <v>0</v>
      </c>
      <c r="E8" s="12"/>
      <c r="F8" s="70"/>
      <c r="G8" s="12"/>
    </row>
    <row r="9" spans="1:7" hidden="1" x14ac:dyDescent="0.25">
      <c r="A9" s="792" t="s">
        <v>711</v>
      </c>
      <c r="B9" s="390"/>
      <c r="C9" s="257"/>
      <c r="D9" s="389">
        <f t="shared" si="0"/>
        <v>0</v>
      </c>
      <c r="E9" s="12"/>
      <c r="F9" s="70"/>
      <c r="G9" s="12"/>
    </row>
    <row r="10" spans="1:7" hidden="1" x14ac:dyDescent="0.25">
      <c r="A10" s="792" t="s">
        <v>712</v>
      </c>
      <c r="B10" s="390"/>
      <c r="C10" s="257"/>
      <c r="D10" s="389">
        <f t="shared" si="0"/>
        <v>0</v>
      </c>
      <c r="E10" s="12"/>
      <c r="F10" s="12"/>
      <c r="G10" s="12"/>
    </row>
    <row r="11" spans="1:7" ht="12.75" hidden="1" customHeight="1" thickBot="1" x14ac:dyDescent="0.3">
      <c r="A11" s="793" t="s">
        <v>714</v>
      </c>
      <c r="B11" s="391"/>
      <c r="C11" s="262"/>
      <c r="D11" s="389">
        <f t="shared" si="0"/>
        <v>0</v>
      </c>
      <c r="E11" s="12"/>
      <c r="F11" s="12"/>
      <c r="G11" s="12"/>
    </row>
    <row r="12" spans="1:7" ht="18.75" hidden="1" customHeight="1" thickBot="1" x14ac:dyDescent="0.3">
      <c r="A12" s="794" t="s">
        <v>503</v>
      </c>
      <c r="B12" s="392">
        <f>SUM(B5:B11)</f>
        <v>0</v>
      </c>
      <c r="C12" s="392">
        <f>SUM(C5:C11)</f>
        <v>0</v>
      </c>
      <c r="D12" s="393">
        <f>SUM(D5:D11)</f>
        <v>0</v>
      </c>
      <c r="E12" s="69"/>
      <c r="F12" s="12"/>
      <c r="G12" s="12"/>
    </row>
    <row r="13" spans="1:7" hidden="1" x14ac:dyDescent="0.25">
      <c r="A13" s="71"/>
      <c r="B13" s="12"/>
      <c r="C13" s="12"/>
      <c r="D13" s="12"/>
      <c r="E13" s="12"/>
      <c r="F13" s="12"/>
      <c r="G13" s="12"/>
    </row>
    <row r="14" spans="1:7" hidden="1" x14ac:dyDescent="0.25">
      <c r="A14" s="12" t="s">
        <v>638</v>
      </c>
      <c r="B14" s="25"/>
      <c r="C14" s="25"/>
      <c r="D14" s="25"/>
      <c r="E14" s="12"/>
      <c r="F14" s="12"/>
      <c r="G14" s="12"/>
    </row>
    <row r="15" spans="1:7" hidden="1" x14ac:dyDescent="0.25">
      <c r="A15" s="2506" t="s">
        <v>710</v>
      </c>
      <c r="B15" s="2506"/>
      <c r="C15" s="2506"/>
      <c r="D15" s="2506"/>
      <c r="E15" s="12"/>
      <c r="F15" s="12"/>
      <c r="G15" s="12"/>
    </row>
    <row r="16" spans="1:7" ht="18.75" x14ac:dyDescent="0.25">
      <c r="A16" s="910" t="s">
        <v>1278</v>
      </c>
      <c r="B16" s="12"/>
      <c r="C16" s="12"/>
      <c r="D16" s="12"/>
      <c r="E16" s="12"/>
      <c r="F16" s="12"/>
      <c r="G16" s="12"/>
    </row>
    <row r="17" spans="1:7" ht="15.75" x14ac:dyDescent="0.25">
      <c r="A17" s="11" t="s">
        <v>1142</v>
      </c>
      <c r="B17" s="12"/>
      <c r="C17" s="12"/>
      <c r="E17" s="69"/>
      <c r="F17" s="12"/>
      <c r="G17" s="12"/>
    </row>
    <row r="18" spans="1:7" ht="13.5" thickBot="1" x14ac:dyDescent="0.25">
      <c r="A18" s="62"/>
      <c r="B18" s="62"/>
      <c r="C18" s="62"/>
      <c r="D18" s="13" t="s">
        <v>499</v>
      </c>
      <c r="E18" s="12"/>
      <c r="F18" s="12"/>
      <c r="G18" s="12"/>
    </row>
    <row r="19" spans="1:7" ht="30.75" thickBot="1" x14ac:dyDescent="0.3">
      <c r="A19" s="1880" t="s">
        <v>1854</v>
      </c>
      <c r="B19" s="1881" t="s">
        <v>500</v>
      </c>
      <c r="C19" s="1882" t="s">
        <v>501</v>
      </c>
      <c r="D19" s="1883" t="s">
        <v>502</v>
      </c>
      <c r="E19" s="12"/>
      <c r="F19" s="12"/>
      <c r="G19" s="12"/>
    </row>
    <row r="20" spans="1:7" ht="15" x14ac:dyDescent="0.25">
      <c r="A20" s="1884" t="s">
        <v>1856</v>
      </c>
      <c r="B20" s="1885">
        <v>1434</v>
      </c>
      <c r="C20" s="1938">
        <v>2059</v>
      </c>
      <c r="D20" s="1887">
        <f>SUM(B20:C20)</f>
        <v>3493</v>
      </c>
      <c r="E20" s="12"/>
      <c r="F20" s="12"/>
      <c r="G20" s="12"/>
    </row>
    <row r="21" spans="1:7" ht="15" x14ac:dyDescent="0.25">
      <c r="A21" s="1884" t="s">
        <v>1857</v>
      </c>
      <c r="B21" s="1885">
        <v>515</v>
      </c>
      <c r="C21" s="1938">
        <v>11574</v>
      </c>
      <c r="D21" s="1887">
        <f>SUM(B21:C21)</f>
        <v>12089</v>
      </c>
      <c r="E21" s="12"/>
      <c r="F21" s="12"/>
      <c r="G21" s="12"/>
    </row>
    <row r="22" spans="1:7" ht="15" x14ac:dyDescent="0.25">
      <c r="A22" s="1884" t="s">
        <v>1858</v>
      </c>
      <c r="B22" s="1885">
        <v>206</v>
      </c>
      <c r="C22" s="1938">
        <v>1888</v>
      </c>
      <c r="D22" s="1887">
        <f>SUM(B22:C22)</f>
        <v>2094</v>
      </c>
      <c r="E22" s="12"/>
      <c r="F22" s="12"/>
      <c r="G22" s="12"/>
    </row>
    <row r="23" spans="1:7" ht="15" x14ac:dyDescent="0.25">
      <c r="A23" s="1884" t="s">
        <v>1859</v>
      </c>
      <c r="B23" s="1891" t="s">
        <v>1466</v>
      </c>
      <c r="C23" s="1885">
        <v>241</v>
      </c>
      <c r="D23" s="1887">
        <f>SUM(B23:C23)</f>
        <v>241</v>
      </c>
      <c r="E23" s="12"/>
      <c r="F23" s="12"/>
      <c r="G23" s="12"/>
    </row>
    <row r="24" spans="1:7" ht="15.75" thickBot="1" x14ac:dyDescent="0.3">
      <c r="A24" s="1892" t="s">
        <v>1876</v>
      </c>
      <c r="B24" s="1885">
        <f>5434-SUM(B20:B23)</f>
        <v>3279</v>
      </c>
      <c r="C24" s="1885">
        <f>17348-SUM(C20:C23)</f>
        <v>1586</v>
      </c>
      <c r="D24" s="1887">
        <f>SUM(B24:C24)</f>
        <v>4865</v>
      </c>
      <c r="E24" s="12"/>
      <c r="F24" s="12"/>
      <c r="G24" s="12"/>
    </row>
    <row r="25" spans="1:7" ht="13.5" thickBot="1" x14ac:dyDescent="0.3">
      <c r="A25" s="1893" t="s">
        <v>503</v>
      </c>
      <c r="B25" s="1894">
        <f>SUM(B20:B24)</f>
        <v>5434</v>
      </c>
      <c r="C25" s="1894">
        <f>SUM(C20:C24)</f>
        <v>17348</v>
      </c>
      <c r="D25" s="1895">
        <f>SUM(D20:D24)</f>
        <v>22782</v>
      </c>
      <c r="E25" s="12"/>
      <c r="F25" s="12"/>
      <c r="G25" s="12"/>
    </row>
    <row r="26" spans="1:7" x14ac:dyDescent="0.25">
      <c r="A26" s="12"/>
      <c r="B26" s="12"/>
      <c r="C26" s="12"/>
      <c r="D26" s="12"/>
      <c r="E26" s="12"/>
      <c r="F26" s="12"/>
      <c r="G26" s="12"/>
    </row>
    <row r="27" spans="1:7" x14ac:dyDescent="0.25">
      <c r="A27" s="12" t="s">
        <v>638</v>
      </c>
      <c r="B27" s="25"/>
      <c r="C27" s="25"/>
      <c r="D27" s="25"/>
      <c r="E27" s="12"/>
      <c r="F27" s="12"/>
      <c r="G27" s="12"/>
    </row>
    <row r="28" spans="1:7" x14ac:dyDescent="0.25">
      <c r="A28" s="2506" t="s">
        <v>710</v>
      </c>
      <c r="B28" s="2506"/>
      <c r="C28" s="2506"/>
      <c r="D28" s="2506"/>
    </row>
    <row r="32" spans="1:7" ht="15.75" x14ac:dyDescent="0.25">
      <c r="B32" s="1128" t="s">
        <v>1325</v>
      </c>
      <c r="C32" s="1129"/>
      <c r="D32" s="1130"/>
    </row>
    <row r="33" spans="2:4" x14ac:dyDescent="0.25">
      <c r="B33" s="1131" t="s">
        <v>1327</v>
      </c>
      <c r="C33" s="1131"/>
      <c r="D33" s="1132"/>
    </row>
    <row r="34" spans="2:4" x14ac:dyDescent="0.25">
      <c r="B34" s="1131" t="s">
        <v>1328</v>
      </c>
      <c r="C34" s="1131"/>
      <c r="D34" s="1132"/>
    </row>
    <row r="35" spans="2:4" x14ac:dyDescent="0.25">
      <c r="B35" s="1134" t="s">
        <v>1329</v>
      </c>
    </row>
  </sheetData>
  <sheetProtection formatRows="0" insertRows="0" deleteRows="0"/>
  <customSheetViews>
    <customSheetView guid="{2AF6EA2A-E5C5-45EB-B6C4-875AD1E4E056}">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2">
    <mergeCell ref="A15:D15"/>
    <mergeCell ref="A28:D28"/>
  </mergeCells>
  <printOptions horizontalCentered="1"/>
  <pageMargins left="0.78740157480314965" right="0.78740157480314965" top="0.98425196850393704" bottom="0.98425196850393704" header="0.51181102362204722" footer="0.51181102362204722"/>
  <pageSetup paperSize="9" orientation="portrait" cellComments="asDisplayed" horizontalDpi="300" verticalDpi="300"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89"/>
  <sheetViews>
    <sheetView topLeftCell="A257" workbookViewId="0">
      <selection activeCell="I258" sqref="I258:I271"/>
    </sheetView>
  </sheetViews>
  <sheetFormatPr defaultRowHeight="15" x14ac:dyDescent="0.25"/>
  <cols>
    <col min="1" max="1" width="4" customWidth="1"/>
    <col min="2" max="2" width="7.5703125" customWidth="1"/>
    <col min="3" max="3" width="8" customWidth="1"/>
    <col min="4" max="4" width="26.85546875" bestFit="1" customWidth="1"/>
    <col min="5" max="5" width="11.42578125" customWidth="1"/>
    <col min="6" max="6" width="13.42578125" hidden="1" customWidth="1"/>
    <col min="7" max="7" width="11.42578125" customWidth="1"/>
    <col min="8" max="8" width="12.28515625" hidden="1" customWidth="1"/>
    <col min="9" max="9" width="10.85546875" customWidth="1"/>
    <col min="10" max="10" width="7.42578125" customWidth="1"/>
    <col min="11" max="11" width="4" hidden="1" customWidth="1"/>
    <col min="12" max="12" width="8" hidden="1" customWidth="1"/>
    <col min="13" max="13" width="13.85546875" hidden="1" customWidth="1"/>
    <col min="14" max="14" width="7" hidden="1" customWidth="1"/>
    <col min="15" max="15" width="12.7109375" hidden="1" customWidth="1"/>
    <col min="16" max="16" width="8.140625" customWidth="1"/>
    <col min="17" max="17" width="8.140625" style="139" customWidth="1"/>
    <col min="18" max="18" width="5.7109375" style="139" customWidth="1"/>
    <col min="19" max="19" width="4" customWidth="1"/>
    <col min="20" max="20" width="7" customWidth="1"/>
    <col min="21" max="21" width="21" customWidth="1"/>
    <col min="22" max="22" width="6.42578125" customWidth="1"/>
    <col min="23" max="23" width="12.42578125" customWidth="1"/>
    <col min="24" max="24" width="2" hidden="1" customWidth="1"/>
    <col min="25" max="25" width="4.42578125" hidden="1" customWidth="1"/>
    <col min="26" max="26" width="5.42578125" hidden="1" customWidth="1"/>
    <col min="27" max="27" width="0" hidden="1" customWidth="1"/>
    <col min="28" max="28" width="4" hidden="1" customWidth="1"/>
    <col min="29" max="29" width="7" hidden="1" customWidth="1"/>
    <col min="30" max="30" width="12.42578125" hidden="1" customWidth="1"/>
    <col min="31" max="32" width="0" hidden="1" customWidth="1"/>
  </cols>
  <sheetData>
    <row r="2" spans="1:28" ht="18.75" x14ac:dyDescent="0.25">
      <c r="A2" s="809" t="s">
        <v>1203</v>
      </c>
    </row>
    <row r="4" spans="1:28" ht="15.75" x14ac:dyDescent="0.25">
      <c r="A4" s="1528" t="s">
        <v>1520</v>
      </c>
      <c r="B4" s="1529"/>
      <c r="C4" s="1529"/>
      <c r="D4" s="1529"/>
      <c r="E4" s="1529"/>
      <c r="F4" s="1530"/>
      <c r="G4" s="1530"/>
      <c r="H4" s="1530"/>
      <c r="I4" s="1530"/>
      <c r="J4" s="1530"/>
      <c r="K4" s="1530"/>
      <c r="L4" s="1530"/>
      <c r="M4" s="1227"/>
      <c r="N4" s="1227"/>
      <c r="O4" s="1227"/>
      <c r="P4" s="1227"/>
      <c r="Q4" s="1227"/>
      <c r="R4" s="1227"/>
      <c r="S4" s="1227"/>
      <c r="T4" s="139"/>
      <c r="U4" s="139"/>
      <c r="V4" s="139"/>
      <c r="W4" s="139"/>
      <c r="X4" s="139"/>
      <c r="Y4" s="139"/>
      <c r="Z4" s="139"/>
      <c r="AA4" s="139"/>
      <c r="AB4" s="139"/>
    </row>
    <row r="5" spans="1:28" x14ac:dyDescent="0.25">
      <c r="A5" s="1226"/>
      <c r="B5" s="1529"/>
      <c r="C5" s="1529"/>
      <c r="D5" s="1529"/>
      <c r="E5" s="1529"/>
      <c r="F5" s="1530"/>
      <c r="G5" s="1530"/>
      <c r="H5" s="1530"/>
      <c r="I5" s="1530"/>
      <c r="J5" s="1530"/>
      <c r="K5" s="1530"/>
      <c r="L5" s="1530"/>
      <c r="M5" s="1227"/>
      <c r="N5" s="1227"/>
      <c r="O5" s="1227"/>
      <c r="P5" s="1227"/>
      <c r="Q5" s="1227"/>
      <c r="R5" s="1227"/>
      <c r="S5" s="1227"/>
      <c r="T5" s="139"/>
      <c r="U5" s="139"/>
      <c r="V5" s="139"/>
      <c r="W5" s="139"/>
      <c r="X5" s="139"/>
      <c r="Y5" s="139"/>
      <c r="Z5" s="139"/>
      <c r="AA5" s="139"/>
      <c r="AB5" s="139"/>
    </row>
    <row r="6" spans="1:28" ht="26.25" x14ac:dyDescent="0.25">
      <c r="A6" s="1811" t="s">
        <v>1824</v>
      </c>
      <c r="B6" s="1226"/>
      <c r="C6" s="1226"/>
      <c r="D6" s="1226"/>
      <c r="E6" s="1226"/>
      <c r="F6" s="1227"/>
      <c r="G6" s="1227"/>
      <c r="H6" s="1227"/>
      <c r="I6" s="1227"/>
      <c r="J6" s="1227"/>
      <c r="K6" s="1530"/>
      <c r="L6" s="1530"/>
      <c r="M6" s="1227"/>
      <c r="N6" s="1227"/>
      <c r="O6" s="1227"/>
      <c r="P6" s="1227"/>
      <c r="Q6" s="1227"/>
      <c r="R6" s="1227"/>
      <c r="S6" s="1227"/>
      <c r="T6" s="139"/>
      <c r="U6" s="139"/>
      <c r="V6" s="139"/>
      <c r="W6" s="139"/>
      <c r="X6" s="139"/>
      <c r="Y6" s="139"/>
      <c r="Z6" s="139"/>
      <c r="AA6" s="139"/>
      <c r="AB6" s="139"/>
    </row>
    <row r="7" spans="1:28" x14ac:dyDescent="0.25">
      <c r="A7" s="1226"/>
      <c r="B7" s="1226"/>
      <c r="C7" s="1226"/>
      <c r="D7" s="1226"/>
      <c r="E7" s="1226"/>
      <c r="F7" s="1227"/>
      <c r="G7" s="1227"/>
      <c r="H7" s="1227"/>
      <c r="I7" s="1227"/>
      <c r="J7" s="1227"/>
      <c r="K7" s="1530"/>
      <c r="L7" s="1530"/>
      <c r="M7" s="1227"/>
      <c r="N7" s="1227"/>
      <c r="O7" s="1227"/>
      <c r="P7" s="1227"/>
      <c r="Q7" s="1227"/>
      <c r="R7" s="1227"/>
      <c r="S7" s="1227"/>
      <c r="T7" s="139"/>
      <c r="U7" s="139"/>
      <c r="V7" s="139"/>
      <c r="W7" s="139"/>
      <c r="X7" s="139"/>
      <c r="Y7" s="139"/>
      <c r="Z7" s="139"/>
      <c r="AA7" s="139"/>
      <c r="AB7" s="139"/>
    </row>
    <row r="8" spans="1:28" ht="26.25" x14ac:dyDescent="0.25">
      <c r="A8" s="2507" t="s">
        <v>1521</v>
      </c>
      <c r="B8" s="2507"/>
      <c r="C8" s="2507"/>
      <c r="D8" s="2507"/>
      <c r="E8" s="2507"/>
      <c r="F8" s="2507"/>
      <c r="G8" s="2507"/>
      <c r="H8" s="2507"/>
      <c r="I8" s="2507"/>
      <c r="J8" s="1531"/>
      <c r="K8" s="1530"/>
      <c r="L8" s="1530"/>
      <c r="M8" s="1227"/>
      <c r="N8" s="1227"/>
      <c r="O8" s="1227"/>
      <c r="P8" s="1227"/>
      <c r="Q8" s="1227"/>
      <c r="R8" s="1227"/>
      <c r="S8" s="1227"/>
      <c r="T8" s="139"/>
      <c r="U8" s="139"/>
      <c r="V8" s="139"/>
      <c r="W8" s="139"/>
      <c r="X8" s="139"/>
      <c r="Y8" s="139"/>
      <c r="Z8" s="139"/>
      <c r="AA8" s="139"/>
      <c r="AB8" s="139"/>
    </row>
    <row r="9" spans="1:28" ht="15.75" thickBot="1" x14ac:dyDescent="0.3">
      <c r="A9" s="1532"/>
      <c r="B9" s="1532"/>
      <c r="C9" s="1532"/>
      <c r="D9" s="1532"/>
      <c r="E9" s="1532"/>
      <c r="F9" s="1533" t="s">
        <v>1522</v>
      </c>
      <c r="G9" s="1533"/>
      <c r="H9" s="1533" t="s">
        <v>1523</v>
      </c>
      <c r="I9" s="1533"/>
      <c r="J9" s="1533"/>
      <c r="K9" s="1530"/>
      <c r="L9" s="1530"/>
      <c r="M9" s="1227"/>
      <c r="N9" s="1227"/>
      <c r="O9" s="1227"/>
      <c r="P9" s="1813">
        <v>397570</v>
      </c>
      <c r="Q9" s="1813">
        <v>45477</v>
      </c>
      <c r="R9" s="2217" t="s">
        <v>1902</v>
      </c>
      <c r="S9" s="2218"/>
      <c r="T9" s="2201"/>
      <c r="U9" s="2201"/>
      <c r="V9" s="139"/>
      <c r="W9" s="139"/>
      <c r="X9" s="139"/>
      <c r="Y9" s="139"/>
      <c r="Z9" s="139"/>
      <c r="AA9" s="139"/>
      <c r="AB9" s="139"/>
    </row>
    <row r="10" spans="1:28" ht="16.5" thickTop="1" thickBot="1" x14ac:dyDescent="0.3">
      <c r="A10" s="1534" t="s">
        <v>1524</v>
      </c>
      <c r="B10" s="1535" t="s">
        <v>1525</v>
      </c>
      <c r="C10" s="1535" t="s">
        <v>1526</v>
      </c>
      <c r="D10" s="1536" t="s">
        <v>1527</v>
      </c>
      <c r="E10" s="1536" t="s">
        <v>1522</v>
      </c>
      <c r="F10" s="1537"/>
      <c r="G10" s="1538" t="s">
        <v>1523</v>
      </c>
      <c r="H10" s="1538"/>
      <c r="I10" s="1539" t="s">
        <v>1528</v>
      </c>
      <c r="J10" s="1812"/>
      <c r="K10" s="1530"/>
      <c r="L10" s="1530"/>
      <c r="M10" s="1227"/>
      <c r="N10" s="1227"/>
      <c r="O10" s="1227"/>
      <c r="P10" s="2189" t="s">
        <v>1522</v>
      </c>
      <c r="Q10" s="2190" t="s">
        <v>1523</v>
      </c>
      <c r="R10" s="1227"/>
      <c r="S10" s="1227"/>
      <c r="T10" s="139"/>
      <c r="U10" s="1530"/>
      <c r="V10" s="1227"/>
      <c r="W10" s="1227"/>
      <c r="X10" s="1227"/>
      <c r="Y10" s="1227"/>
      <c r="Z10" s="1227"/>
      <c r="AA10" s="1228"/>
      <c r="AB10" s="1228"/>
    </row>
    <row r="11" spans="1:28" ht="15.75" thickTop="1" x14ac:dyDescent="0.25">
      <c r="A11" s="1540"/>
      <c r="B11" s="1541" t="s">
        <v>558</v>
      </c>
      <c r="C11" s="1541" t="s">
        <v>559</v>
      </c>
      <c r="D11" s="1541" t="s">
        <v>560</v>
      </c>
      <c r="E11" s="1541" t="s">
        <v>561</v>
      </c>
      <c r="F11" s="1542"/>
      <c r="G11" s="1542" t="s">
        <v>562</v>
      </c>
      <c r="H11" s="1542"/>
      <c r="I11" s="1543" t="s">
        <v>563</v>
      </c>
      <c r="J11" s="1544"/>
      <c r="K11" s="1530"/>
      <c r="L11" s="1530"/>
      <c r="M11" s="1227"/>
      <c r="N11" s="1227"/>
      <c r="O11" s="1227"/>
      <c r="P11" s="2219"/>
      <c r="Q11" s="2219"/>
      <c r="R11" s="1227"/>
      <c r="S11" s="1227"/>
      <c r="T11" s="139"/>
      <c r="U11" s="1530"/>
      <c r="V11" s="1227"/>
      <c r="W11" s="1227"/>
      <c r="X11" s="1227"/>
      <c r="Y11" s="1227"/>
      <c r="Z11" s="1227"/>
      <c r="AA11" s="1228"/>
      <c r="AB11" s="1228"/>
    </row>
    <row r="12" spans="1:28" x14ac:dyDescent="0.25">
      <c r="A12" s="1545">
        <v>1</v>
      </c>
      <c r="B12" s="1546">
        <v>501</v>
      </c>
      <c r="C12" s="1547">
        <v>5011</v>
      </c>
      <c r="D12" s="1547" t="s">
        <v>1529</v>
      </c>
      <c r="E12" s="1548">
        <f>F12/1000</f>
        <v>89.565989999999999</v>
      </c>
      <c r="F12" s="1549">
        <f>M12</f>
        <v>89565.99</v>
      </c>
      <c r="G12" s="1548">
        <f>H12/1000</f>
        <v>3.3847199999999997</v>
      </c>
      <c r="H12" s="1550">
        <f>O12</f>
        <v>3384.72</v>
      </c>
      <c r="I12" s="1551">
        <f>E12+G12</f>
        <v>92.950710000000001</v>
      </c>
      <c r="J12" s="1552"/>
      <c r="K12" s="1822">
        <v>501</v>
      </c>
      <c r="L12" s="1822">
        <v>5011</v>
      </c>
      <c r="M12" s="1824">
        <v>89565.99</v>
      </c>
      <c r="N12" s="1822">
        <v>5011</v>
      </c>
      <c r="O12" s="2215">
        <v>3384.72</v>
      </c>
      <c r="P12" s="2219">
        <f>E12/397570</f>
        <v>2.2528357270417787E-4</v>
      </c>
      <c r="Q12" s="2219">
        <f>G12/45477</f>
        <v>7.4427073025925189E-5</v>
      </c>
      <c r="R12" s="1227"/>
      <c r="S12" s="1227"/>
      <c r="T12" s="139"/>
      <c r="U12" s="1530"/>
      <c r="V12" s="1227"/>
      <c r="W12" s="1227"/>
      <c r="X12" s="1227"/>
      <c r="Y12" s="1227"/>
      <c r="Z12" s="1227"/>
      <c r="AA12" s="1228"/>
      <c r="AB12" s="1228"/>
    </row>
    <row r="13" spans="1:28" x14ac:dyDescent="0.25">
      <c r="A13" s="1553">
        <f>A12+1</f>
        <v>2</v>
      </c>
      <c r="B13" s="1546">
        <v>501</v>
      </c>
      <c r="C13" s="1547">
        <v>50111</v>
      </c>
      <c r="D13" s="1547" t="s">
        <v>1530</v>
      </c>
      <c r="E13" s="1548">
        <f t="shared" ref="E13:E19" si="0">F13/1000</f>
        <v>595.16543999999999</v>
      </c>
      <c r="F13" s="1549">
        <f t="shared" ref="F13:F19" si="1">M13</f>
        <v>595165.43999999994</v>
      </c>
      <c r="G13" s="1548">
        <f t="shared" ref="G13:G19" si="2">H13/1000</f>
        <v>42.753860000000003</v>
      </c>
      <c r="H13" s="1550">
        <f t="shared" ref="H13:H19" si="3">O13</f>
        <v>42753.86</v>
      </c>
      <c r="I13" s="1551">
        <f t="shared" ref="I13:I19" si="4">E13+G13</f>
        <v>637.91930000000002</v>
      </c>
      <c r="J13" s="1552"/>
      <c r="K13" s="1822">
        <v>501</v>
      </c>
      <c r="L13" s="1822">
        <v>50111</v>
      </c>
      <c r="M13" s="1824">
        <v>595165.43999999994</v>
      </c>
      <c r="N13" s="1822">
        <v>50111</v>
      </c>
      <c r="O13" s="2215">
        <v>42753.86</v>
      </c>
      <c r="P13" s="2219">
        <f t="shared" ref="P13:P76" si="5">E13/397570</f>
        <v>1.4970079231330332E-3</v>
      </c>
      <c r="Q13" s="2219">
        <f t="shared" ref="Q13:Q76" si="6">G13/45477</f>
        <v>9.4012050047276655E-4</v>
      </c>
      <c r="R13" s="1227"/>
      <c r="S13" s="1227"/>
      <c r="T13" s="139"/>
      <c r="U13" s="1530"/>
      <c r="V13" s="1227"/>
      <c r="W13" s="1227"/>
      <c r="X13" s="1227"/>
      <c r="Y13" s="1227"/>
      <c r="Z13" s="1227"/>
      <c r="AA13" s="1228"/>
      <c r="AB13" s="1228"/>
    </row>
    <row r="14" spans="1:28" x14ac:dyDescent="0.25">
      <c r="A14" s="1553">
        <f t="shared" ref="A14:A77" si="7">A13+1</f>
        <v>3</v>
      </c>
      <c r="B14" s="1546">
        <v>501</v>
      </c>
      <c r="C14" s="1547">
        <v>50112</v>
      </c>
      <c r="D14" s="1547" t="s">
        <v>1531</v>
      </c>
      <c r="E14" s="1548">
        <f t="shared" si="0"/>
        <v>5404.1273799999999</v>
      </c>
      <c r="F14" s="1549">
        <f t="shared" si="1"/>
        <v>5404127.3799999999</v>
      </c>
      <c r="G14" s="1548">
        <f t="shared" si="2"/>
        <v>236.40125</v>
      </c>
      <c r="H14" s="1550">
        <f t="shared" si="3"/>
        <v>236401.25</v>
      </c>
      <c r="I14" s="1551">
        <f t="shared" si="4"/>
        <v>5640.5286299999998</v>
      </c>
      <c r="J14" s="1552"/>
      <c r="K14" s="1822">
        <v>501</v>
      </c>
      <c r="L14" s="1822">
        <v>50112</v>
      </c>
      <c r="M14" s="1824">
        <v>5404127.3799999999</v>
      </c>
      <c r="N14" s="1822">
        <v>50112</v>
      </c>
      <c r="O14" s="2215">
        <v>236401.25</v>
      </c>
      <c r="P14" s="2219">
        <f t="shared" si="5"/>
        <v>1.3592895288879945E-2</v>
      </c>
      <c r="Q14" s="2219">
        <f t="shared" si="6"/>
        <v>5.1982595597774702E-3</v>
      </c>
      <c r="R14" s="1227"/>
      <c r="S14" s="1227"/>
      <c r="T14" s="139"/>
      <c r="U14" s="1530"/>
      <c r="V14" s="1227"/>
      <c r="W14" s="1227"/>
      <c r="X14" s="1227"/>
      <c r="Y14" s="1227"/>
      <c r="Z14" s="1227"/>
      <c r="AA14" s="1228"/>
      <c r="AB14" s="1228"/>
    </row>
    <row r="15" spans="1:28" x14ac:dyDescent="0.25">
      <c r="A15" s="1553">
        <f t="shared" si="7"/>
        <v>4</v>
      </c>
      <c r="B15" s="1554">
        <v>501</v>
      </c>
      <c r="C15" s="1555">
        <v>501122</v>
      </c>
      <c r="D15" s="1547" t="s">
        <v>1532</v>
      </c>
      <c r="E15" s="1548">
        <f t="shared" si="0"/>
        <v>31.398310000000002</v>
      </c>
      <c r="F15" s="1549">
        <f t="shared" si="1"/>
        <v>31398.31</v>
      </c>
      <c r="G15" s="1548">
        <f t="shared" si="2"/>
        <v>0</v>
      </c>
      <c r="H15" s="1550">
        <f t="shared" si="3"/>
        <v>0</v>
      </c>
      <c r="I15" s="1551">
        <f t="shared" si="4"/>
        <v>31.398310000000002</v>
      </c>
      <c r="J15" s="1552"/>
      <c r="K15" s="1822">
        <v>501</v>
      </c>
      <c r="L15" s="1822">
        <v>501122</v>
      </c>
      <c r="M15" s="1824">
        <v>31398.31</v>
      </c>
      <c r="N15" s="1822"/>
      <c r="O15" s="2215"/>
      <c r="P15" s="2219">
        <f t="shared" si="5"/>
        <v>7.8975551475211913E-5</v>
      </c>
      <c r="Q15" s="2219">
        <f t="shared" si="6"/>
        <v>0</v>
      </c>
      <c r="R15" s="1227"/>
      <c r="S15" s="1227"/>
      <c r="T15" s="139"/>
      <c r="U15" s="1530"/>
      <c r="V15" s="1227"/>
      <c r="W15" s="1227"/>
      <c r="X15" s="1227"/>
      <c r="Y15" s="1227"/>
      <c r="Z15" s="1227"/>
      <c r="AA15" s="1228"/>
      <c r="AB15" s="1228"/>
    </row>
    <row r="16" spans="1:28" x14ac:dyDescent="0.25">
      <c r="A16" s="1553">
        <f t="shared" si="7"/>
        <v>5</v>
      </c>
      <c r="B16" s="1546">
        <v>501</v>
      </c>
      <c r="C16" s="1547">
        <v>5012</v>
      </c>
      <c r="D16" s="1547" t="s">
        <v>1533</v>
      </c>
      <c r="E16" s="1548">
        <f t="shared" si="0"/>
        <v>8653.8283499999998</v>
      </c>
      <c r="F16" s="1549">
        <f t="shared" si="1"/>
        <v>8653828.3499999996</v>
      </c>
      <c r="G16" s="1548">
        <f t="shared" si="2"/>
        <v>2239.7550899999997</v>
      </c>
      <c r="H16" s="1550">
        <f t="shared" si="3"/>
        <v>2239755.09</v>
      </c>
      <c r="I16" s="1551">
        <f t="shared" si="4"/>
        <v>10893.583439999999</v>
      </c>
      <c r="J16" s="1552"/>
      <c r="K16" s="1822">
        <v>501</v>
      </c>
      <c r="L16" s="1822">
        <v>5012</v>
      </c>
      <c r="M16" s="1824">
        <v>8653828.3499999996</v>
      </c>
      <c r="N16" s="1822">
        <v>5012</v>
      </c>
      <c r="O16" s="2215">
        <v>2239755.09</v>
      </c>
      <c r="P16" s="2219">
        <f t="shared" si="5"/>
        <v>2.176680421057927E-2</v>
      </c>
      <c r="Q16" s="2219">
        <f t="shared" si="6"/>
        <v>4.9250282340523775E-2</v>
      </c>
      <c r="R16" s="1227"/>
      <c r="S16" s="1227"/>
      <c r="T16" s="139"/>
      <c r="U16" s="1530"/>
      <c r="V16" s="1227"/>
      <c r="W16" s="1227"/>
      <c r="X16" s="1227"/>
      <c r="Y16" s="1227"/>
      <c r="Z16" s="1227"/>
      <c r="AA16" s="1228"/>
      <c r="AB16" s="1228"/>
    </row>
    <row r="17" spans="1:28" x14ac:dyDescent="0.25">
      <c r="A17" s="1553">
        <f t="shared" si="7"/>
        <v>6</v>
      </c>
      <c r="B17" s="1546">
        <v>501</v>
      </c>
      <c r="C17" s="1547">
        <v>50121</v>
      </c>
      <c r="D17" s="1547" t="s">
        <v>1534</v>
      </c>
      <c r="E17" s="1548">
        <f t="shared" si="0"/>
        <v>597.86916000000008</v>
      </c>
      <c r="F17" s="1549">
        <f t="shared" si="1"/>
        <v>597869.16</v>
      </c>
      <c r="G17" s="1548">
        <f t="shared" si="2"/>
        <v>413.42664000000002</v>
      </c>
      <c r="H17" s="1550">
        <f t="shared" si="3"/>
        <v>413426.64</v>
      </c>
      <c r="I17" s="1551">
        <f t="shared" si="4"/>
        <v>1011.2958000000001</v>
      </c>
      <c r="J17" s="1552"/>
      <c r="K17" s="1822">
        <v>501</v>
      </c>
      <c r="L17" s="1822">
        <v>50121</v>
      </c>
      <c r="M17" s="1824">
        <v>597869.16</v>
      </c>
      <c r="N17" s="1822">
        <v>50121</v>
      </c>
      <c r="O17" s="2215">
        <v>413426.64</v>
      </c>
      <c r="P17" s="2219">
        <f t="shared" si="5"/>
        <v>1.5038085368614335E-3</v>
      </c>
      <c r="Q17" s="2219">
        <f t="shared" si="6"/>
        <v>9.090895177782176E-3</v>
      </c>
      <c r="R17" s="1227"/>
      <c r="S17" s="1227"/>
      <c r="T17" s="139"/>
      <c r="U17" s="1530"/>
      <c r="V17" s="1227"/>
      <c r="W17" s="1227"/>
      <c r="X17" s="1227"/>
      <c r="Y17" s="1227"/>
      <c r="Z17" s="1227"/>
      <c r="AA17" s="1228"/>
      <c r="AB17" s="1228"/>
    </row>
    <row r="18" spans="1:28" x14ac:dyDescent="0.25">
      <c r="A18" s="1553">
        <f t="shared" si="7"/>
        <v>7</v>
      </c>
      <c r="B18" s="1546">
        <v>501</v>
      </c>
      <c r="C18" s="1547">
        <v>5013</v>
      </c>
      <c r="D18" s="1547" t="s">
        <v>1535</v>
      </c>
      <c r="E18" s="1548">
        <f t="shared" si="0"/>
        <v>1122.74945</v>
      </c>
      <c r="F18" s="1549">
        <f t="shared" si="1"/>
        <v>1122749.45</v>
      </c>
      <c r="G18" s="1548">
        <f t="shared" si="2"/>
        <v>50.986930000000001</v>
      </c>
      <c r="H18" s="1550">
        <f t="shared" si="3"/>
        <v>50986.93</v>
      </c>
      <c r="I18" s="1551">
        <f t="shared" si="4"/>
        <v>1173.7363800000001</v>
      </c>
      <c r="J18" s="1552"/>
      <c r="K18" s="1822">
        <v>501</v>
      </c>
      <c r="L18" s="1822">
        <v>5013</v>
      </c>
      <c r="M18" s="1824">
        <v>1122749.45</v>
      </c>
      <c r="N18" s="1822">
        <v>5013</v>
      </c>
      <c r="O18" s="2215">
        <v>50986.93</v>
      </c>
      <c r="P18" s="2219">
        <f t="shared" si="5"/>
        <v>2.8240296048494605E-3</v>
      </c>
      <c r="Q18" s="2219">
        <f t="shared" si="6"/>
        <v>1.121158607647822E-3</v>
      </c>
      <c r="R18" s="1227"/>
      <c r="S18" s="1227"/>
      <c r="T18" s="139"/>
      <c r="U18" s="1530"/>
      <c r="V18" s="1227"/>
      <c r="W18" s="1227"/>
      <c r="X18" s="1227"/>
      <c r="Y18" s="1227"/>
      <c r="Z18" s="1227"/>
      <c r="AA18" s="139"/>
      <c r="AB18" s="139"/>
    </row>
    <row r="19" spans="1:28" x14ac:dyDescent="0.25">
      <c r="A19" s="1553">
        <f t="shared" si="7"/>
        <v>8</v>
      </c>
      <c r="B19" s="1546">
        <v>501</v>
      </c>
      <c r="C19" s="1547">
        <v>5014</v>
      </c>
      <c r="D19" s="1547" t="s">
        <v>1536</v>
      </c>
      <c r="E19" s="1548">
        <f t="shared" si="0"/>
        <v>25.549060000000001</v>
      </c>
      <c r="F19" s="1549">
        <f t="shared" si="1"/>
        <v>25549.06</v>
      </c>
      <c r="G19" s="1548">
        <f t="shared" si="2"/>
        <v>1.47031</v>
      </c>
      <c r="H19" s="1550">
        <f t="shared" si="3"/>
        <v>1470.31</v>
      </c>
      <c r="I19" s="1551">
        <f t="shared" si="4"/>
        <v>27.019370000000002</v>
      </c>
      <c r="J19" s="1552"/>
      <c r="K19" s="1822">
        <v>501</v>
      </c>
      <c r="L19" s="1822">
        <v>5014</v>
      </c>
      <c r="M19" s="1824">
        <v>25549.06</v>
      </c>
      <c r="N19" s="1822">
        <v>5014</v>
      </c>
      <c r="O19" s="2215">
        <v>1470.31</v>
      </c>
      <c r="P19" s="2219">
        <f t="shared" si="5"/>
        <v>6.4263048016701459E-5</v>
      </c>
      <c r="Q19" s="2219">
        <f t="shared" si="6"/>
        <v>3.2330848560810957E-5</v>
      </c>
      <c r="R19" s="1227"/>
      <c r="S19" s="1227"/>
      <c r="T19" s="139"/>
      <c r="U19" s="1530"/>
      <c r="V19" s="1227"/>
      <c r="W19" s="1227"/>
      <c r="X19" s="1227"/>
      <c r="Y19" s="1227"/>
      <c r="Z19" s="1227"/>
      <c r="AA19" s="139"/>
      <c r="AB19" s="139"/>
    </row>
    <row r="20" spans="1:28" x14ac:dyDescent="0.25">
      <c r="A20" s="1553">
        <f t="shared" si="7"/>
        <v>9</v>
      </c>
      <c r="B20" s="1558">
        <v>501</v>
      </c>
      <c r="C20" s="1559"/>
      <c r="D20" s="1559"/>
      <c r="E20" s="1560">
        <f>SUM(E12:E19)</f>
        <v>16520.253140000001</v>
      </c>
      <c r="F20" s="1561">
        <f>SUM(F12:F19)</f>
        <v>16520253.139999999</v>
      </c>
      <c r="G20" s="1560">
        <f>SUM(G12:G19)</f>
        <v>2988.1788000000001</v>
      </c>
      <c r="H20" s="1562">
        <f>SUM(H12:H19)</f>
        <v>2988178.8000000003</v>
      </c>
      <c r="I20" s="1563">
        <f>SUM(I12:I19)</f>
        <v>19508.431939999999</v>
      </c>
      <c r="J20" s="1564"/>
      <c r="K20" s="1822"/>
      <c r="L20" s="1822"/>
      <c r="M20" s="1823"/>
      <c r="N20" s="1822"/>
      <c r="O20" s="2215"/>
      <c r="P20" s="2219">
        <f t="shared" si="5"/>
        <v>4.1553067736499236E-2</v>
      </c>
      <c r="Q20" s="2219">
        <f t="shared" si="6"/>
        <v>6.570747410779075E-2</v>
      </c>
      <c r="R20" s="1227"/>
      <c r="S20" s="1227"/>
      <c r="T20" s="139"/>
      <c r="U20" s="1530"/>
      <c r="V20" s="1227"/>
      <c r="W20" s="1227"/>
      <c r="X20" s="1227"/>
      <c r="Y20" s="1227"/>
      <c r="Z20" s="1227"/>
      <c r="AA20" s="139"/>
      <c r="AB20" s="139"/>
    </row>
    <row r="21" spans="1:28" x14ac:dyDescent="0.25">
      <c r="A21" s="1553">
        <f t="shared" si="7"/>
        <v>10</v>
      </c>
      <c r="B21" s="1546">
        <v>502</v>
      </c>
      <c r="C21" s="1547">
        <v>50211</v>
      </c>
      <c r="D21" s="1547" t="s">
        <v>1537</v>
      </c>
      <c r="E21" s="1548">
        <f t="shared" ref="E21:E24" si="8">F21/1000</f>
        <v>5426.1738099999993</v>
      </c>
      <c r="F21" s="1556">
        <f>M21</f>
        <v>5426173.8099999996</v>
      </c>
      <c r="G21" s="1548">
        <f t="shared" ref="G21:G24" si="9">H21/1000</f>
        <v>394.75781999999998</v>
      </c>
      <c r="H21" s="1550">
        <f>O21</f>
        <v>394757.82</v>
      </c>
      <c r="I21" s="1551">
        <f>E21+G21</f>
        <v>5820.9316299999991</v>
      </c>
      <c r="J21" s="1552"/>
      <c r="K21" s="1822">
        <v>502</v>
      </c>
      <c r="L21" s="1822">
        <v>50211</v>
      </c>
      <c r="M21" s="1824">
        <v>5426173.8099999996</v>
      </c>
      <c r="N21" s="1822">
        <v>50211</v>
      </c>
      <c r="O21" s="2215">
        <v>394757.82</v>
      </c>
      <c r="P21" s="2219">
        <f t="shared" si="5"/>
        <v>1.3648348240561409E-2</v>
      </c>
      <c r="Q21" s="2219">
        <f t="shared" si="6"/>
        <v>8.6803839303384121E-3</v>
      </c>
      <c r="R21" s="1227"/>
      <c r="S21" s="1227"/>
      <c r="T21" s="139"/>
      <c r="U21" s="1530"/>
      <c r="V21" s="1227"/>
      <c r="W21" s="1227"/>
      <c r="X21" s="1227"/>
      <c r="Y21" s="1227"/>
      <c r="Z21" s="1227"/>
      <c r="AA21" s="139"/>
      <c r="AB21" s="139"/>
    </row>
    <row r="22" spans="1:28" x14ac:dyDescent="0.25">
      <c r="A22" s="1553">
        <f t="shared" si="7"/>
        <v>11</v>
      </c>
      <c r="B22" s="1546">
        <v>502</v>
      </c>
      <c r="C22" s="1547">
        <v>50212</v>
      </c>
      <c r="D22" s="1547" t="s">
        <v>1538</v>
      </c>
      <c r="E22" s="1548">
        <f t="shared" si="8"/>
        <v>3374.1259799999998</v>
      </c>
      <c r="F22" s="1556">
        <f t="shared" ref="F22:F23" si="10">M22</f>
        <v>3374125.98</v>
      </c>
      <c r="G22" s="1548">
        <f t="shared" si="9"/>
        <v>528.49598000000003</v>
      </c>
      <c r="H22" s="1550">
        <f t="shared" ref="H22:H24" si="11">O22</f>
        <v>528495.98</v>
      </c>
      <c r="I22" s="1551">
        <f t="shared" ref="I22:I24" si="12">E22+G22</f>
        <v>3902.6219599999999</v>
      </c>
      <c r="J22" s="1552"/>
      <c r="K22" s="1822">
        <v>502</v>
      </c>
      <c r="L22" s="1822">
        <v>50212</v>
      </c>
      <c r="M22" s="1824">
        <v>3374125.98</v>
      </c>
      <c r="N22" s="1822">
        <v>50212</v>
      </c>
      <c r="O22" s="2215">
        <v>528495.98</v>
      </c>
      <c r="P22" s="2219">
        <f t="shared" si="5"/>
        <v>8.486872701662599E-3</v>
      </c>
      <c r="Q22" s="2219">
        <f t="shared" si="6"/>
        <v>1.1621170701673374E-2</v>
      </c>
      <c r="R22" s="1227"/>
      <c r="S22" s="1227"/>
      <c r="T22" s="139"/>
      <c r="U22" s="1530"/>
      <c r="V22" s="1227"/>
      <c r="W22" s="1227"/>
      <c r="X22" s="1227"/>
      <c r="Y22" s="1227"/>
      <c r="Z22" s="1227"/>
      <c r="AA22" s="139"/>
      <c r="AB22" s="139"/>
    </row>
    <row r="23" spans="1:28" x14ac:dyDescent="0.25">
      <c r="A23" s="1553">
        <f t="shared" si="7"/>
        <v>12</v>
      </c>
      <c r="B23" s="1546">
        <v>502</v>
      </c>
      <c r="C23" s="1547">
        <v>50213</v>
      </c>
      <c r="D23" s="1547" t="s">
        <v>1539</v>
      </c>
      <c r="E23" s="1548">
        <f t="shared" si="8"/>
        <v>767.26946999999996</v>
      </c>
      <c r="F23" s="1556">
        <f t="shared" si="10"/>
        <v>767269.47</v>
      </c>
      <c r="G23" s="1548">
        <f t="shared" si="9"/>
        <v>271.80314000000004</v>
      </c>
      <c r="H23" s="1550">
        <f t="shared" si="11"/>
        <v>271803.14</v>
      </c>
      <c r="I23" s="1551">
        <f t="shared" si="12"/>
        <v>1039.0726099999999</v>
      </c>
      <c r="J23" s="1552"/>
      <c r="K23" s="1822">
        <v>502</v>
      </c>
      <c r="L23" s="1822">
        <v>50213</v>
      </c>
      <c r="M23" s="1824">
        <v>767269.47</v>
      </c>
      <c r="N23" s="1822">
        <v>50213</v>
      </c>
      <c r="O23" s="2215">
        <v>271803.14</v>
      </c>
      <c r="P23" s="2219">
        <f t="shared" si="5"/>
        <v>1.9298978041602736E-3</v>
      </c>
      <c r="Q23" s="2219">
        <f t="shared" si="6"/>
        <v>5.9767165820084891E-3</v>
      </c>
      <c r="R23" s="1227"/>
      <c r="S23" s="1227"/>
      <c r="T23" s="139"/>
      <c r="U23" s="1530"/>
      <c r="V23" s="1227"/>
      <c r="W23" s="1227"/>
      <c r="X23" s="1227"/>
      <c r="Y23" s="1227"/>
      <c r="Z23" s="1227"/>
      <c r="AA23" s="139"/>
      <c r="AB23" s="139"/>
    </row>
    <row r="24" spans="1:28" x14ac:dyDescent="0.25">
      <c r="A24" s="1553">
        <f t="shared" si="7"/>
        <v>13</v>
      </c>
      <c r="B24" s="1546">
        <v>502</v>
      </c>
      <c r="C24" s="1565" t="s">
        <v>1540</v>
      </c>
      <c r="D24" s="1547" t="s">
        <v>1541</v>
      </c>
      <c r="E24" s="1548">
        <f t="shared" si="8"/>
        <v>0</v>
      </c>
      <c r="F24" s="1556">
        <v>0</v>
      </c>
      <c r="G24" s="1548">
        <f t="shared" si="9"/>
        <v>0</v>
      </c>
      <c r="H24" s="1550">
        <f t="shared" si="11"/>
        <v>0</v>
      </c>
      <c r="I24" s="1551">
        <f t="shared" si="12"/>
        <v>0</v>
      </c>
      <c r="J24" s="1552"/>
      <c r="K24" s="1822"/>
      <c r="L24" s="1822"/>
      <c r="M24" s="1823"/>
      <c r="N24" s="1822"/>
      <c r="O24" s="2215"/>
      <c r="P24" s="2219">
        <f t="shared" si="5"/>
        <v>0</v>
      </c>
      <c r="Q24" s="2219">
        <f t="shared" si="6"/>
        <v>0</v>
      </c>
      <c r="R24" s="1227"/>
      <c r="S24" s="1227"/>
      <c r="T24" s="139"/>
      <c r="U24" s="1530"/>
      <c r="V24" s="1227"/>
      <c r="W24" s="1227"/>
      <c r="X24" s="1227"/>
      <c r="Y24" s="1227"/>
      <c r="Z24" s="1227"/>
      <c r="AA24" s="139"/>
      <c r="AB24" s="139"/>
    </row>
    <row r="25" spans="1:28" x14ac:dyDescent="0.25">
      <c r="A25" s="1553">
        <f t="shared" si="7"/>
        <v>14</v>
      </c>
      <c r="B25" s="1558">
        <v>502</v>
      </c>
      <c r="C25" s="1559"/>
      <c r="D25" s="1559"/>
      <c r="E25" s="1560">
        <f>SUM(E21:E24)</f>
        <v>9567.5692599999984</v>
      </c>
      <c r="F25" s="1561">
        <f>SUM(F21:F24)</f>
        <v>9567569.2599999998</v>
      </c>
      <c r="G25" s="1560">
        <f>SUM(G21:G24)</f>
        <v>1195.0569399999999</v>
      </c>
      <c r="H25" s="1562">
        <f>SUM(H21:H24)</f>
        <v>1195056.94</v>
      </c>
      <c r="I25" s="1563">
        <f>SUM(I21:I24)</f>
        <v>10762.626199999999</v>
      </c>
      <c r="J25" s="1564"/>
      <c r="K25" s="1822"/>
      <c r="L25" s="1822"/>
      <c r="M25" s="1823"/>
      <c r="N25" s="1822"/>
      <c r="O25" s="2215"/>
      <c r="P25" s="2219">
        <f t="shared" si="5"/>
        <v>2.4065118746384281E-2</v>
      </c>
      <c r="Q25" s="2219">
        <f t="shared" si="6"/>
        <v>2.6278271214020273E-2</v>
      </c>
      <c r="R25" s="1227"/>
      <c r="S25" s="1227"/>
      <c r="T25" s="139"/>
      <c r="U25" s="1530"/>
      <c r="V25" s="1227"/>
      <c r="W25" s="1227"/>
      <c r="X25" s="1227"/>
      <c r="Y25" s="1227"/>
      <c r="Z25" s="1227"/>
      <c r="AA25" s="139"/>
      <c r="AB25" s="139"/>
    </row>
    <row r="26" spans="1:28" x14ac:dyDescent="0.25">
      <c r="A26" s="1553">
        <f t="shared" si="7"/>
        <v>15</v>
      </c>
      <c r="B26" s="1546">
        <v>503</v>
      </c>
      <c r="C26" s="1547">
        <v>5033</v>
      </c>
      <c r="D26" s="1547" t="s">
        <v>1542</v>
      </c>
      <c r="E26" s="1548">
        <f t="shared" ref="E26:E28" si="13">F26/1000</f>
        <v>285.94578999999999</v>
      </c>
      <c r="F26" s="1556">
        <f>M26</f>
        <v>285945.78999999998</v>
      </c>
      <c r="G26" s="1548">
        <f t="shared" ref="G26:G28" si="14">H26/1000</f>
        <v>0.33056000000000002</v>
      </c>
      <c r="H26" s="1550">
        <f>O26</f>
        <v>330.56</v>
      </c>
      <c r="I26" s="1551">
        <f>E26+G26</f>
        <v>286.27634999999998</v>
      </c>
      <c r="J26" s="1552"/>
      <c r="K26" s="1822">
        <v>503</v>
      </c>
      <c r="L26" s="1822">
        <v>5033</v>
      </c>
      <c r="M26" s="1824">
        <v>285945.78999999998</v>
      </c>
      <c r="N26" s="1822">
        <v>5033</v>
      </c>
      <c r="O26" s="2215">
        <v>330.56</v>
      </c>
      <c r="P26" s="2219">
        <f t="shared" si="5"/>
        <v>7.1923382045929014E-4</v>
      </c>
      <c r="Q26" s="2219">
        <f t="shared" si="6"/>
        <v>7.2687292477516107E-6</v>
      </c>
      <c r="R26" s="1227"/>
      <c r="S26" s="1227"/>
      <c r="T26" s="139"/>
      <c r="U26" s="1530"/>
      <c r="V26" s="1227"/>
      <c r="W26" s="1227"/>
      <c r="X26" s="1227"/>
      <c r="Y26" s="1227"/>
      <c r="Z26" s="1227"/>
      <c r="AA26" s="139"/>
      <c r="AB26" s="139"/>
    </row>
    <row r="27" spans="1:28" x14ac:dyDescent="0.25">
      <c r="A27" s="1553">
        <f t="shared" si="7"/>
        <v>16</v>
      </c>
      <c r="B27" s="1546">
        <v>503</v>
      </c>
      <c r="C27" s="1547">
        <v>50331</v>
      </c>
      <c r="D27" s="1547" t="s">
        <v>1543</v>
      </c>
      <c r="E27" s="1548">
        <f t="shared" si="13"/>
        <v>30.918209999999998</v>
      </c>
      <c r="F27" s="1556">
        <f t="shared" ref="F27:F28" si="15">M27</f>
        <v>30918.21</v>
      </c>
      <c r="G27" s="1548">
        <f t="shared" si="14"/>
        <v>5.3958699999999995</v>
      </c>
      <c r="H27" s="1550">
        <f t="shared" ref="H27:H28" si="16">O27</f>
        <v>5395.87</v>
      </c>
      <c r="I27" s="1551">
        <f t="shared" ref="I27:I40" si="17">E27+G27</f>
        <v>36.314079999999997</v>
      </c>
      <c r="J27" s="1552"/>
      <c r="K27" s="1822">
        <v>503</v>
      </c>
      <c r="L27" s="1822">
        <v>50331</v>
      </c>
      <c r="M27" s="1824">
        <v>30918.21</v>
      </c>
      <c r="N27" s="1822">
        <v>504</v>
      </c>
      <c r="O27" s="2215">
        <v>5395.87</v>
      </c>
      <c r="P27" s="2219">
        <f t="shared" si="5"/>
        <v>7.7767965389742677E-5</v>
      </c>
      <c r="Q27" s="2219">
        <f t="shared" si="6"/>
        <v>1.186505266398399E-4</v>
      </c>
      <c r="R27" s="1227"/>
      <c r="S27" s="1227"/>
      <c r="T27" s="139"/>
      <c r="U27" s="1530"/>
      <c r="V27" s="1227"/>
      <c r="W27" s="1227"/>
      <c r="X27" s="1227"/>
      <c r="Y27" s="1227"/>
      <c r="Z27" s="1227"/>
      <c r="AA27" s="139"/>
      <c r="AB27" s="139"/>
    </row>
    <row r="28" spans="1:28" x14ac:dyDescent="0.25">
      <c r="A28" s="1553">
        <f t="shared" si="7"/>
        <v>17</v>
      </c>
      <c r="B28" s="1546">
        <v>503</v>
      </c>
      <c r="C28" s="1547">
        <v>5039</v>
      </c>
      <c r="D28" s="1547" t="s">
        <v>1544</v>
      </c>
      <c r="E28" s="1548">
        <f t="shared" si="13"/>
        <v>9.7128600000000009</v>
      </c>
      <c r="F28" s="1556">
        <f t="shared" si="15"/>
        <v>9712.86</v>
      </c>
      <c r="G28" s="1548">
        <f t="shared" si="14"/>
        <v>0</v>
      </c>
      <c r="H28" s="1550">
        <f t="shared" si="16"/>
        <v>0</v>
      </c>
      <c r="I28" s="1551">
        <f t="shared" si="17"/>
        <v>9.7128600000000009</v>
      </c>
      <c r="J28" s="1552"/>
      <c r="K28" s="1822">
        <v>503</v>
      </c>
      <c r="L28" s="1822">
        <v>5039</v>
      </c>
      <c r="M28" s="1824">
        <v>9712.86</v>
      </c>
      <c r="N28" s="1822"/>
      <c r="O28" s="2215"/>
      <c r="P28" s="2219">
        <f t="shared" si="5"/>
        <v>2.4430565686545768E-5</v>
      </c>
      <c r="Q28" s="2219">
        <f t="shared" si="6"/>
        <v>0</v>
      </c>
      <c r="R28" s="1227"/>
      <c r="S28" s="1227"/>
      <c r="T28" s="139"/>
      <c r="U28" s="1530"/>
      <c r="V28" s="1227"/>
      <c r="W28" s="1227"/>
      <c r="X28" s="1227"/>
      <c r="Y28" s="1227"/>
      <c r="Z28" s="1227"/>
      <c r="AA28" s="139"/>
      <c r="AB28" s="139"/>
    </row>
    <row r="29" spans="1:28" x14ac:dyDescent="0.25">
      <c r="A29" s="1553">
        <f t="shared" si="7"/>
        <v>18</v>
      </c>
      <c r="B29" s="1558">
        <v>503</v>
      </c>
      <c r="C29" s="1559"/>
      <c r="D29" s="1559"/>
      <c r="E29" s="1560">
        <f>SUM(E26:E28)</f>
        <v>326.57685999999995</v>
      </c>
      <c r="F29" s="1561">
        <f>SUM(F26:F28)</f>
        <v>326576.86</v>
      </c>
      <c r="G29" s="1560">
        <f>SUM(G26:G28)</f>
        <v>5.7264299999999997</v>
      </c>
      <c r="H29" s="1562">
        <f>SUM(H26:H28)</f>
        <v>5726.43</v>
      </c>
      <c r="I29" s="1551">
        <f t="shared" si="17"/>
        <v>332.30328999999995</v>
      </c>
      <c r="J29" s="1552"/>
      <c r="K29" s="1822"/>
      <c r="L29" s="1822"/>
      <c r="M29" s="1823"/>
      <c r="N29" s="1822"/>
      <c r="O29" s="2215"/>
      <c r="P29" s="2219">
        <f t="shared" si="5"/>
        <v>8.2143235153557851E-4</v>
      </c>
      <c r="Q29" s="2219">
        <f t="shared" si="6"/>
        <v>1.2591925588759152E-4</v>
      </c>
      <c r="R29" s="1227"/>
      <c r="S29" s="1227"/>
      <c r="T29" s="139"/>
      <c r="U29" s="1530"/>
      <c r="V29" s="1227"/>
      <c r="W29" s="1227"/>
      <c r="X29" s="1227"/>
      <c r="Y29" s="1227"/>
      <c r="Z29" s="1227"/>
      <c r="AA29" s="139"/>
      <c r="AB29" s="139"/>
    </row>
    <row r="30" spans="1:28" x14ac:dyDescent="0.25">
      <c r="A30" s="1553">
        <f t="shared" si="7"/>
        <v>19</v>
      </c>
      <c r="B30" s="1546">
        <v>511</v>
      </c>
      <c r="C30" s="1547">
        <v>5111</v>
      </c>
      <c r="D30" s="1547" t="s">
        <v>1545</v>
      </c>
      <c r="E30" s="1548">
        <f t="shared" ref="E30:E31" si="18">F30/1000</f>
        <v>2196.8742499999998</v>
      </c>
      <c r="F30" s="1556">
        <f>M30</f>
        <v>2196874.25</v>
      </c>
      <c r="G30" s="1548">
        <f t="shared" ref="G30:G31" si="19">H30/1000</f>
        <v>75.759919999999994</v>
      </c>
      <c r="H30" s="1550">
        <f>O30</f>
        <v>75759.92</v>
      </c>
      <c r="I30" s="1551">
        <f t="shared" si="17"/>
        <v>2272.6341699999998</v>
      </c>
      <c r="J30" s="1552"/>
      <c r="K30" s="1822">
        <v>511</v>
      </c>
      <c r="L30" s="1822">
        <v>5111</v>
      </c>
      <c r="M30" s="1824">
        <v>2196874.25</v>
      </c>
      <c r="N30" s="1822">
        <v>5111</v>
      </c>
      <c r="O30" s="2215">
        <v>75759.92</v>
      </c>
      <c r="P30" s="2219">
        <f t="shared" si="5"/>
        <v>5.5257545840983972E-3</v>
      </c>
      <c r="Q30" s="2219">
        <f t="shared" si="6"/>
        <v>1.6658952877278623E-3</v>
      </c>
      <c r="R30" s="1227"/>
      <c r="S30" s="1227"/>
      <c r="T30" s="139"/>
      <c r="U30" s="1530"/>
      <c r="V30" s="1227"/>
      <c r="W30" s="1227"/>
      <c r="X30" s="1227"/>
      <c r="Y30" s="1227"/>
      <c r="Z30" s="1227"/>
      <c r="AA30" s="139"/>
      <c r="AB30" s="139"/>
    </row>
    <row r="31" spans="1:28" x14ac:dyDescent="0.25">
      <c r="A31" s="1553">
        <f t="shared" si="7"/>
        <v>20</v>
      </c>
      <c r="B31" s="1546">
        <v>511</v>
      </c>
      <c r="C31" s="1547">
        <v>5112</v>
      </c>
      <c r="D31" s="1547" t="s">
        <v>1546</v>
      </c>
      <c r="E31" s="1548">
        <f t="shared" si="18"/>
        <v>5238.4189999999999</v>
      </c>
      <c r="F31" s="1556">
        <f>M31</f>
        <v>5238419</v>
      </c>
      <c r="G31" s="1548">
        <f t="shared" si="19"/>
        <v>1642.3415</v>
      </c>
      <c r="H31" s="1550">
        <f>O31</f>
        <v>1642341.5</v>
      </c>
      <c r="I31" s="1551">
        <f t="shared" si="17"/>
        <v>6880.7605000000003</v>
      </c>
      <c r="J31" s="1552"/>
      <c r="K31" s="1822">
        <v>511</v>
      </c>
      <c r="L31" s="1822">
        <v>5112</v>
      </c>
      <c r="M31" s="1824">
        <v>5238419</v>
      </c>
      <c r="N31" s="1822">
        <v>5112</v>
      </c>
      <c r="O31" s="2215">
        <v>1642341.5</v>
      </c>
      <c r="P31" s="2219">
        <f t="shared" si="5"/>
        <v>1.3176092260482431E-2</v>
      </c>
      <c r="Q31" s="2219">
        <f t="shared" si="6"/>
        <v>3.6113672845614266E-2</v>
      </c>
      <c r="R31" s="1227"/>
      <c r="S31" s="1227"/>
      <c r="T31" s="139"/>
      <c r="U31" s="1530"/>
      <c r="V31" s="1227"/>
      <c r="W31" s="1227"/>
      <c r="X31" s="1227"/>
      <c r="Y31" s="1227"/>
      <c r="Z31" s="1227"/>
      <c r="AA31" s="139"/>
      <c r="AB31" s="139"/>
    </row>
    <row r="32" spans="1:28" x14ac:dyDescent="0.25">
      <c r="A32" s="1553">
        <f t="shared" si="7"/>
        <v>21</v>
      </c>
      <c r="B32" s="1558">
        <v>511</v>
      </c>
      <c r="C32" s="1559"/>
      <c r="D32" s="1559"/>
      <c r="E32" s="1560">
        <f>SUM(E30:E31)</f>
        <v>7435.2932499999997</v>
      </c>
      <c r="F32" s="1561">
        <f>SUM(F30:F31)</f>
        <v>7435293.25</v>
      </c>
      <c r="G32" s="1560">
        <f>SUM(G30:G31)</f>
        <v>1718.10142</v>
      </c>
      <c r="H32" s="1562">
        <f>SUM(H30:H31)</f>
        <v>1718101.42</v>
      </c>
      <c r="I32" s="1563">
        <f t="shared" si="17"/>
        <v>9153.3946699999997</v>
      </c>
      <c r="J32" s="1564"/>
      <c r="K32" s="1822"/>
      <c r="L32" s="1822"/>
      <c r="M32" s="1823"/>
      <c r="N32" s="1822"/>
      <c r="O32" s="2215"/>
      <c r="P32" s="2219">
        <f t="shared" si="5"/>
        <v>1.8701846844580827E-2</v>
      </c>
      <c r="Q32" s="2219">
        <f t="shared" si="6"/>
        <v>3.7779568133342128E-2</v>
      </c>
      <c r="R32" s="1227"/>
      <c r="S32" s="1227"/>
      <c r="T32" s="139"/>
      <c r="U32" s="1530"/>
      <c r="V32" s="1227"/>
      <c r="W32" s="1227"/>
      <c r="X32" s="1227"/>
      <c r="Y32" s="1227"/>
      <c r="Z32" s="1227"/>
      <c r="AA32" s="139"/>
      <c r="AB32" s="139"/>
    </row>
    <row r="33" spans="1:28" x14ac:dyDescent="0.25">
      <c r="A33" s="1553">
        <f t="shared" si="7"/>
        <v>22</v>
      </c>
      <c r="B33" s="1546">
        <v>512</v>
      </c>
      <c r="C33" s="1547">
        <v>51211</v>
      </c>
      <c r="D33" s="1547" t="s">
        <v>1547</v>
      </c>
      <c r="E33" s="1548">
        <f t="shared" ref="E33:E36" si="20">F33/1000</f>
        <v>792.50387999999998</v>
      </c>
      <c r="F33" s="1556">
        <f>M33</f>
        <v>792503.88</v>
      </c>
      <c r="G33" s="1548">
        <f t="shared" ref="G33:G85" si="21">H33/1000</f>
        <v>17.960570000000001</v>
      </c>
      <c r="H33" s="1550">
        <f>O33</f>
        <v>17960.57</v>
      </c>
      <c r="I33" s="1551">
        <f t="shared" si="17"/>
        <v>810.46444999999994</v>
      </c>
      <c r="J33" s="1552"/>
      <c r="K33" s="1822">
        <v>512</v>
      </c>
      <c r="L33" s="1822">
        <v>51211</v>
      </c>
      <c r="M33" s="1824">
        <v>792503.88</v>
      </c>
      <c r="N33" s="1822">
        <v>51211</v>
      </c>
      <c r="O33" s="2215">
        <v>17960.57</v>
      </c>
      <c r="P33" s="2219">
        <f t="shared" si="5"/>
        <v>1.9933694192217724E-3</v>
      </c>
      <c r="Q33" s="2219">
        <f t="shared" si="6"/>
        <v>3.9493744090419335E-4</v>
      </c>
      <c r="R33" s="1227"/>
      <c r="S33" s="1227"/>
      <c r="T33" s="139"/>
      <c r="U33" s="1530"/>
      <c r="V33" s="1227"/>
      <c r="W33" s="1227"/>
      <c r="X33" s="1227"/>
      <c r="Y33" s="1227"/>
      <c r="Z33" s="1227"/>
      <c r="AA33" s="139"/>
      <c r="AB33" s="139"/>
    </row>
    <row r="34" spans="1:28" s="139" customFormat="1" x14ac:dyDescent="0.25">
      <c r="A34" s="1553">
        <f t="shared" si="7"/>
        <v>23</v>
      </c>
      <c r="B34" s="1828">
        <v>512</v>
      </c>
      <c r="C34" s="1657">
        <v>512111</v>
      </c>
      <c r="D34" s="1658" t="s">
        <v>1828</v>
      </c>
      <c r="E34" s="1548">
        <f t="shared" ref="E34" si="22">F34/1000</f>
        <v>0.52400000000000002</v>
      </c>
      <c r="F34" s="1556">
        <f>M34</f>
        <v>524</v>
      </c>
      <c r="G34" s="1548">
        <f t="shared" ref="G34" si="23">H34/1000</f>
        <v>0</v>
      </c>
      <c r="H34" s="1550">
        <f t="shared" ref="H34:H36" si="24">O34</f>
        <v>0</v>
      </c>
      <c r="I34" s="1551">
        <f t="shared" ref="I34" si="25">E34+G34</f>
        <v>0.52400000000000002</v>
      </c>
      <c r="J34" s="1552"/>
      <c r="K34" s="1822">
        <v>512</v>
      </c>
      <c r="L34" s="1822">
        <v>512111</v>
      </c>
      <c r="M34" s="1824">
        <v>524</v>
      </c>
      <c r="N34" s="1822"/>
      <c r="O34" s="2215"/>
      <c r="P34" s="2219">
        <f t="shared" si="5"/>
        <v>1.3180068918680987E-6</v>
      </c>
      <c r="Q34" s="2219">
        <f t="shared" si="6"/>
        <v>0</v>
      </c>
      <c r="R34" s="1227"/>
      <c r="S34" s="1227"/>
      <c r="U34" s="1530"/>
      <c r="V34" s="1227"/>
      <c r="W34" s="1227"/>
      <c r="X34" s="1227"/>
      <c r="Y34" s="1227"/>
      <c r="Z34" s="1227"/>
    </row>
    <row r="35" spans="1:28" x14ac:dyDescent="0.25">
      <c r="A35" s="1553">
        <f t="shared" si="7"/>
        <v>24</v>
      </c>
      <c r="B35" s="1546">
        <v>512</v>
      </c>
      <c r="C35" s="1547">
        <v>51212</v>
      </c>
      <c r="D35" s="1547" t="s">
        <v>1548</v>
      </c>
      <c r="E35" s="1548">
        <f t="shared" si="20"/>
        <v>4153.4264599999997</v>
      </c>
      <c r="F35" s="1556">
        <f>M35</f>
        <v>4153426.46</v>
      </c>
      <c r="G35" s="1548">
        <f t="shared" si="21"/>
        <v>460.79629</v>
      </c>
      <c r="H35" s="1550">
        <f t="shared" si="24"/>
        <v>460796.29</v>
      </c>
      <c r="I35" s="1551">
        <f t="shared" si="17"/>
        <v>4614.2227499999999</v>
      </c>
      <c r="J35" s="1552"/>
      <c r="K35" s="1822">
        <v>512</v>
      </c>
      <c r="L35" s="1822">
        <v>51212</v>
      </c>
      <c r="M35" s="1824">
        <v>4153426.46</v>
      </c>
      <c r="N35" s="1822">
        <v>51212</v>
      </c>
      <c r="O35" s="2215">
        <v>460796.29</v>
      </c>
      <c r="P35" s="2219">
        <f t="shared" si="5"/>
        <v>1.0447031868601755E-2</v>
      </c>
      <c r="Q35" s="2219">
        <f t="shared" si="6"/>
        <v>1.0132512918618202E-2</v>
      </c>
      <c r="R35" s="1227"/>
      <c r="S35" s="1227"/>
      <c r="T35" s="139"/>
      <c r="U35" s="1530"/>
      <c r="V35" s="1227"/>
      <c r="W35" s="1227"/>
      <c r="X35" s="1227"/>
      <c r="Y35" s="1227"/>
      <c r="Z35" s="1227"/>
      <c r="AA35" s="139"/>
      <c r="AB35" s="139"/>
    </row>
    <row r="36" spans="1:28" x14ac:dyDescent="0.25">
      <c r="A36" s="1553">
        <f t="shared" si="7"/>
        <v>25</v>
      </c>
      <c r="B36" s="1546">
        <v>512</v>
      </c>
      <c r="C36" s="1547">
        <v>51213</v>
      </c>
      <c r="D36" s="1547" t="s">
        <v>1549</v>
      </c>
      <c r="E36" s="1548">
        <f t="shared" si="20"/>
        <v>1053.1929299999999</v>
      </c>
      <c r="F36" s="1556">
        <f>M36</f>
        <v>1053192.93</v>
      </c>
      <c r="G36" s="1548">
        <f t="shared" si="21"/>
        <v>0</v>
      </c>
      <c r="H36" s="1550">
        <f t="shared" si="24"/>
        <v>0</v>
      </c>
      <c r="I36" s="1551">
        <f t="shared" si="17"/>
        <v>1053.1929299999999</v>
      </c>
      <c r="J36" s="1552"/>
      <c r="K36" s="1822">
        <v>512</v>
      </c>
      <c r="L36" s="1822">
        <v>51213</v>
      </c>
      <c r="M36" s="1824">
        <v>1053192.93</v>
      </c>
      <c r="N36" s="1822"/>
      <c r="O36" s="2215"/>
      <c r="P36" s="2219">
        <f t="shared" si="5"/>
        <v>2.6490754584098395E-3</v>
      </c>
      <c r="Q36" s="2219">
        <f t="shared" si="6"/>
        <v>0</v>
      </c>
      <c r="R36" s="1227"/>
      <c r="S36" s="1227"/>
      <c r="T36" s="139"/>
      <c r="U36" s="1530"/>
      <c r="V36" s="1227"/>
      <c r="W36" s="1227"/>
      <c r="X36" s="1227"/>
      <c r="Y36" s="1227"/>
      <c r="Z36" s="1227"/>
      <c r="AA36" s="139"/>
      <c r="AB36" s="139"/>
    </row>
    <row r="37" spans="1:28" x14ac:dyDescent="0.25">
      <c r="A37" s="1553">
        <f t="shared" si="7"/>
        <v>26</v>
      </c>
      <c r="B37" s="1558">
        <v>512</v>
      </c>
      <c r="C37" s="1559"/>
      <c r="D37" s="1559"/>
      <c r="E37" s="1560">
        <f>SUM(E33:E36)</f>
        <v>5999.6472699999995</v>
      </c>
      <c r="F37" s="1561">
        <f>SUM(F33:F36)</f>
        <v>5999647.2699999996</v>
      </c>
      <c r="G37" s="1560">
        <f t="shared" si="21"/>
        <v>478.75685999999996</v>
      </c>
      <c r="H37" s="1562">
        <f>SUM(H33:H36)</f>
        <v>478756.86</v>
      </c>
      <c r="I37" s="1563">
        <f t="shared" si="17"/>
        <v>6478.404129999999</v>
      </c>
      <c r="J37" s="1564"/>
      <c r="K37" s="1822"/>
      <c r="L37" s="1822"/>
      <c r="M37" s="1823"/>
      <c r="N37" s="1822"/>
      <c r="O37" s="2215"/>
      <c r="P37" s="2219">
        <f t="shared" si="5"/>
        <v>1.5090794753125235E-2</v>
      </c>
      <c r="Q37" s="2219">
        <f t="shared" si="6"/>
        <v>1.0527450359522395E-2</v>
      </c>
      <c r="R37" s="1227"/>
      <c r="S37" s="1227"/>
      <c r="T37" s="139"/>
      <c r="U37" s="1227"/>
      <c r="V37" s="1227"/>
      <c r="W37" s="1227"/>
      <c r="X37" s="1227"/>
      <c r="Y37" s="1227"/>
      <c r="Z37" s="1227"/>
      <c r="AA37" s="139"/>
      <c r="AB37" s="139"/>
    </row>
    <row r="38" spans="1:28" x14ac:dyDescent="0.25">
      <c r="A38" s="1553">
        <f t="shared" si="7"/>
        <v>27</v>
      </c>
      <c r="B38" s="1546">
        <v>513</v>
      </c>
      <c r="C38" s="1547">
        <v>513</v>
      </c>
      <c r="D38" s="1547" t="s">
        <v>1550</v>
      </c>
      <c r="E38" s="1548">
        <f t="shared" ref="E38:E85" si="26">F38/1000</f>
        <v>1320.9678000000001</v>
      </c>
      <c r="F38" s="1556">
        <f>M38</f>
        <v>1320967.8</v>
      </c>
      <c r="G38" s="1548">
        <f t="shared" si="21"/>
        <v>275.38678000000004</v>
      </c>
      <c r="H38" s="1550">
        <f>O38</f>
        <v>275386.78000000003</v>
      </c>
      <c r="I38" s="1551">
        <f t="shared" si="17"/>
        <v>1596.3545800000002</v>
      </c>
      <c r="J38" s="1552"/>
      <c r="K38" s="1822">
        <v>513</v>
      </c>
      <c r="L38" s="1822">
        <v>513</v>
      </c>
      <c r="M38" s="1824">
        <v>1320967.8</v>
      </c>
      <c r="N38" s="1822">
        <v>513</v>
      </c>
      <c r="O38" s="2215">
        <v>275386.78000000003</v>
      </c>
      <c r="P38" s="2219">
        <f t="shared" si="5"/>
        <v>3.3226043212516037E-3</v>
      </c>
      <c r="Q38" s="2219">
        <f t="shared" si="6"/>
        <v>6.0555177342392864E-3</v>
      </c>
      <c r="R38" s="1227"/>
      <c r="S38" s="1227"/>
      <c r="T38" s="139"/>
      <c r="U38" s="1227"/>
      <c r="V38" s="1227"/>
      <c r="W38" s="1227"/>
      <c r="X38" s="1227"/>
      <c r="Y38" s="1227"/>
      <c r="Z38" s="1227"/>
      <c r="AA38" s="139"/>
      <c r="AB38" s="139"/>
    </row>
    <row r="39" spans="1:28" x14ac:dyDescent="0.25">
      <c r="A39" s="1553">
        <f t="shared" si="7"/>
        <v>28</v>
      </c>
      <c r="B39" s="1546">
        <v>513</v>
      </c>
      <c r="C39" s="1547">
        <v>5131</v>
      </c>
      <c r="D39" s="1547" t="s">
        <v>1551</v>
      </c>
      <c r="E39" s="1548">
        <f t="shared" si="26"/>
        <v>179.22051000000002</v>
      </c>
      <c r="F39" s="1556">
        <f>M39</f>
        <v>179220.51</v>
      </c>
      <c r="G39" s="1548">
        <f t="shared" si="21"/>
        <v>5.8543000000000003</v>
      </c>
      <c r="H39" s="1550">
        <f>O39</f>
        <v>5854.3</v>
      </c>
      <c r="I39" s="1551">
        <f t="shared" si="17"/>
        <v>185.07481000000001</v>
      </c>
      <c r="J39" s="1552"/>
      <c r="K39" s="1822">
        <v>513</v>
      </c>
      <c r="L39" s="1822">
        <v>5131</v>
      </c>
      <c r="M39" s="1824">
        <v>179220.51</v>
      </c>
      <c r="N39" s="1822">
        <v>5131</v>
      </c>
      <c r="O39" s="2215">
        <v>5854.3</v>
      </c>
      <c r="P39" s="2219">
        <f t="shared" si="5"/>
        <v>4.5078982317579299E-4</v>
      </c>
      <c r="Q39" s="2219">
        <f t="shared" si="6"/>
        <v>1.287310068826E-4</v>
      </c>
      <c r="R39" s="1227"/>
      <c r="S39" s="1227"/>
      <c r="T39" s="139"/>
      <c r="U39" s="1227"/>
      <c r="V39" s="1227"/>
      <c r="W39" s="1227"/>
      <c r="X39" s="1227"/>
      <c r="Y39" s="1227"/>
      <c r="Z39" s="1227"/>
      <c r="AA39" s="139"/>
      <c r="AB39" s="139"/>
    </row>
    <row r="40" spans="1:28" x14ac:dyDescent="0.25">
      <c r="A40" s="1553">
        <f t="shared" si="7"/>
        <v>29</v>
      </c>
      <c r="B40" s="1558">
        <v>513</v>
      </c>
      <c r="C40" s="1559"/>
      <c r="D40" s="1559"/>
      <c r="E40" s="1560">
        <f t="shared" si="26"/>
        <v>1500.18831</v>
      </c>
      <c r="F40" s="1561">
        <f>SUM(F38:F39)</f>
        <v>1500188.31</v>
      </c>
      <c r="G40" s="1560">
        <f t="shared" si="21"/>
        <v>281.24108000000001</v>
      </c>
      <c r="H40" s="1562">
        <f>SUM(H38:H39)</f>
        <v>281241.08</v>
      </c>
      <c r="I40" s="1563">
        <f t="shared" si="17"/>
        <v>1781.42939</v>
      </c>
      <c r="J40" s="1564"/>
      <c r="K40" s="1822"/>
      <c r="L40" s="1822"/>
      <c r="M40" s="1823"/>
      <c r="N40" s="1822"/>
      <c r="O40" s="2215"/>
      <c r="P40" s="2219">
        <f t="shared" si="5"/>
        <v>3.7733941444273965E-3</v>
      </c>
      <c r="Q40" s="2219">
        <f t="shared" si="6"/>
        <v>6.1842487411218859E-3</v>
      </c>
      <c r="R40" s="1227"/>
      <c r="S40" s="1227"/>
      <c r="T40" s="139"/>
      <c r="U40" s="1227"/>
      <c r="V40" s="1227"/>
      <c r="W40" s="1227"/>
      <c r="X40" s="1227"/>
      <c r="Y40" s="1227"/>
      <c r="Z40" s="1227"/>
      <c r="AA40" s="139"/>
      <c r="AB40" s="139"/>
    </row>
    <row r="41" spans="1:28" x14ac:dyDescent="0.25">
      <c r="A41" s="1553">
        <f t="shared" si="7"/>
        <v>30</v>
      </c>
      <c r="B41" s="1546">
        <v>518</v>
      </c>
      <c r="C41" s="1547">
        <v>5181</v>
      </c>
      <c r="D41" s="1547" t="s">
        <v>1552</v>
      </c>
      <c r="E41" s="1548">
        <f t="shared" si="26"/>
        <v>136.51497000000001</v>
      </c>
      <c r="F41" s="1556">
        <f>M41</f>
        <v>136514.97</v>
      </c>
      <c r="G41" s="1548">
        <f t="shared" si="21"/>
        <v>11.0151</v>
      </c>
      <c r="H41" s="1550">
        <f>O41</f>
        <v>11015.1</v>
      </c>
      <c r="I41" s="1551">
        <f>E41+G41</f>
        <v>147.53006999999999</v>
      </c>
      <c r="J41" s="1552"/>
      <c r="K41" s="1822">
        <v>518</v>
      </c>
      <c r="L41" s="1822">
        <v>5181</v>
      </c>
      <c r="M41" s="1824">
        <v>136514.97</v>
      </c>
      <c r="N41" s="1822">
        <v>5181</v>
      </c>
      <c r="O41" s="2215">
        <v>11015.1</v>
      </c>
      <c r="P41" s="2219">
        <f t="shared" si="5"/>
        <v>3.4337341851749378E-4</v>
      </c>
      <c r="Q41" s="2219">
        <f t="shared" si="6"/>
        <v>2.4221254700178111E-4</v>
      </c>
      <c r="R41" s="1227"/>
      <c r="S41" s="1227"/>
      <c r="T41" s="139"/>
      <c r="U41" s="1227"/>
      <c r="V41" s="1227"/>
      <c r="W41" s="1227"/>
      <c r="X41" s="1227"/>
      <c r="Y41" s="1227"/>
      <c r="Z41" s="1227"/>
      <c r="AA41" s="139"/>
      <c r="AB41" s="139"/>
    </row>
    <row r="42" spans="1:28" x14ac:dyDescent="0.25">
      <c r="A42" s="1553">
        <f t="shared" si="7"/>
        <v>31</v>
      </c>
      <c r="B42" s="1546">
        <v>518</v>
      </c>
      <c r="C42" s="1547">
        <v>51811</v>
      </c>
      <c r="D42" s="1547" t="s">
        <v>1553</v>
      </c>
      <c r="E42" s="1548">
        <f t="shared" si="26"/>
        <v>233.66315</v>
      </c>
      <c r="F42" s="1556">
        <f>M42</f>
        <v>233663.15</v>
      </c>
      <c r="G42" s="1548">
        <f t="shared" si="21"/>
        <v>15.015739999999999</v>
      </c>
      <c r="H42" s="1550">
        <f t="shared" ref="H42:H86" si="27">O42</f>
        <v>15015.74</v>
      </c>
      <c r="I42" s="1551">
        <f t="shared" ref="I42:I94" si="28">E42+G42</f>
        <v>248.67889</v>
      </c>
      <c r="J42" s="1552"/>
      <c r="K42" s="1822">
        <v>518</v>
      </c>
      <c r="L42" s="1822">
        <v>51811</v>
      </c>
      <c r="M42" s="1824">
        <v>233663.15</v>
      </c>
      <c r="N42" s="1822">
        <v>51811</v>
      </c>
      <c r="O42" s="2215">
        <v>15015.74</v>
      </c>
      <c r="P42" s="2219">
        <f t="shared" si="5"/>
        <v>5.8772832457177357E-4</v>
      </c>
      <c r="Q42" s="2219">
        <f t="shared" si="6"/>
        <v>3.3018316951425995E-4</v>
      </c>
      <c r="R42" s="1227"/>
      <c r="S42" s="1227"/>
      <c r="T42" s="139"/>
      <c r="U42" s="1227"/>
      <c r="V42" s="1227"/>
      <c r="W42" s="1227"/>
      <c r="X42" s="1227"/>
      <c r="Y42" s="1227"/>
      <c r="Z42" s="1227"/>
      <c r="AA42" s="139"/>
      <c r="AB42" s="139"/>
    </row>
    <row r="43" spans="1:28" s="139" customFormat="1" x14ac:dyDescent="0.25">
      <c r="A43" s="1553">
        <f t="shared" si="7"/>
        <v>32</v>
      </c>
      <c r="B43" s="1546">
        <v>518</v>
      </c>
      <c r="C43" s="1547">
        <v>51812</v>
      </c>
      <c r="D43" s="1658" t="s">
        <v>1829</v>
      </c>
      <c r="E43" s="1548">
        <f t="shared" ref="E43" si="29">F43/1000</f>
        <v>1.17</v>
      </c>
      <c r="F43" s="1556">
        <f>M43</f>
        <v>1170</v>
      </c>
      <c r="G43" s="1548">
        <f t="shared" ref="G43" si="30">H43/1000</f>
        <v>0</v>
      </c>
      <c r="H43" s="1550">
        <f t="shared" si="27"/>
        <v>0</v>
      </c>
      <c r="I43" s="1551">
        <f t="shared" ref="I43" si="31">E43+G43</f>
        <v>1.17</v>
      </c>
      <c r="J43" s="1552"/>
      <c r="K43" s="1822">
        <v>518</v>
      </c>
      <c r="L43" s="1822">
        <v>51812</v>
      </c>
      <c r="M43" s="1824">
        <v>1170</v>
      </c>
      <c r="N43" s="1822"/>
      <c r="O43" s="2215"/>
      <c r="P43" s="2219">
        <f t="shared" si="5"/>
        <v>2.9428779837512891E-6</v>
      </c>
      <c r="Q43" s="2219">
        <f t="shared" si="6"/>
        <v>0</v>
      </c>
      <c r="R43" s="1227"/>
      <c r="S43" s="1227"/>
      <c r="U43" s="1227"/>
      <c r="V43" s="1227"/>
      <c r="W43" s="1227"/>
      <c r="X43" s="1227"/>
      <c r="Y43" s="1227"/>
      <c r="Z43" s="1227"/>
    </row>
    <row r="44" spans="1:28" x14ac:dyDescent="0.25">
      <c r="A44" s="1553">
        <f t="shared" si="7"/>
        <v>33</v>
      </c>
      <c r="B44" s="1546">
        <v>518</v>
      </c>
      <c r="C44" s="1547">
        <v>518121</v>
      </c>
      <c r="D44" s="1547" t="s">
        <v>1554</v>
      </c>
      <c r="E44" s="1548">
        <f t="shared" si="26"/>
        <v>7.6049499999999997</v>
      </c>
      <c r="F44" s="1556">
        <f>M44</f>
        <v>7604.95</v>
      </c>
      <c r="G44" s="1548">
        <f t="shared" si="21"/>
        <v>55.777120000000004</v>
      </c>
      <c r="H44" s="1550">
        <f t="shared" si="27"/>
        <v>55777.120000000003</v>
      </c>
      <c r="I44" s="1551">
        <f t="shared" si="28"/>
        <v>63.382070000000006</v>
      </c>
      <c r="J44" s="1552"/>
      <c r="K44" s="1822">
        <v>518</v>
      </c>
      <c r="L44" s="1822">
        <v>518121</v>
      </c>
      <c r="M44" s="1824">
        <v>7604.95</v>
      </c>
      <c r="N44" s="1822">
        <v>518121</v>
      </c>
      <c r="O44" s="2215">
        <v>55777.120000000003</v>
      </c>
      <c r="P44" s="2219">
        <f t="shared" si="5"/>
        <v>1.912858113036698E-5</v>
      </c>
      <c r="Q44" s="2219">
        <f t="shared" si="6"/>
        <v>1.2264907535677375E-3</v>
      </c>
      <c r="R44" s="1227"/>
      <c r="S44" s="1227"/>
      <c r="T44" s="139"/>
      <c r="U44" s="1227"/>
      <c r="V44" s="1227"/>
      <c r="W44" s="1227"/>
      <c r="X44" s="1227"/>
      <c r="Y44" s="1227"/>
      <c r="Z44" s="1227"/>
      <c r="AA44" s="139"/>
      <c r="AB44" s="139"/>
    </row>
    <row r="45" spans="1:28" x14ac:dyDescent="0.25">
      <c r="A45" s="1553">
        <f t="shared" si="7"/>
        <v>34</v>
      </c>
      <c r="B45" s="1546">
        <v>518</v>
      </c>
      <c r="C45" s="1547">
        <v>518122</v>
      </c>
      <c r="D45" s="1547" t="s">
        <v>1555</v>
      </c>
      <c r="E45" s="1548">
        <f t="shared" si="26"/>
        <v>0</v>
      </c>
      <c r="F45" s="1556">
        <v>0</v>
      </c>
      <c r="G45" s="1548">
        <f t="shared" si="21"/>
        <v>1.0676600000000001</v>
      </c>
      <c r="H45" s="1550">
        <f t="shared" si="27"/>
        <v>1067.6600000000001</v>
      </c>
      <c r="I45" s="1551">
        <f t="shared" si="28"/>
        <v>1.0676600000000001</v>
      </c>
      <c r="J45" s="1552"/>
      <c r="K45" s="1822"/>
      <c r="L45" s="1822"/>
      <c r="M45" s="1823"/>
      <c r="N45" s="1822">
        <v>518122</v>
      </c>
      <c r="O45" s="2215">
        <v>1067.6600000000001</v>
      </c>
      <c r="P45" s="2219">
        <f t="shared" si="5"/>
        <v>0</v>
      </c>
      <c r="Q45" s="2219">
        <f t="shared" si="6"/>
        <v>2.3476922400334235E-5</v>
      </c>
      <c r="R45" s="1227"/>
      <c r="S45" s="1227"/>
      <c r="T45" s="139"/>
      <c r="U45" s="1227"/>
      <c r="V45" s="1227"/>
      <c r="W45" s="1227"/>
      <c r="X45" s="1227"/>
      <c r="Y45" s="1227"/>
      <c r="Z45" s="1227"/>
      <c r="AA45" s="139"/>
      <c r="AB45" s="139"/>
    </row>
    <row r="46" spans="1:28" x14ac:dyDescent="0.25">
      <c r="A46" s="1553">
        <f t="shared" si="7"/>
        <v>35</v>
      </c>
      <c r="B46" s="1546">
        <v>518</v>
      </c>
      <c r="C46" s="1547">
        <v>518123</v>
      </c>
      <c r="D46" s="1547" t="s">
        <v>1556</v>
      </c>
      <c r="E46" s="1548">
        <f t="shared" si="26"/>
        <v>116.44896</v>
      </c>
      <c r="F46" s="1556">
        <f>M46</f>
        <v>116448.96000000001</v>
      </c>
      <c r="G46" s="1548">
        <f t="shared" si="21"/>
        <v>96.823189999999997</v>
      </c>
      <c r="H46" s="1550">
        <f t="shared" si="27"/>
        <v>96823.19</v>
      </c>
      <c r="I46" s="1551">
        <f t="shared" si="28"/>
        <v>213.27215000000001</v>
      </c>
      <c r="J46" s="1552"/>
      <c r="K46" s="1822">
        <v>518</v>
      </c>
      <c r="L46" s="1822">
        <v>518123</v>
      </c>
      <c r="M46" s="1824">
        <v>116448.96000000001</v>
      </c>
      <c r="N46" s="1822">
        <v>518123</v>
      </c>
      <c r="O46" s="2215">
        <v>96823.19</v>
      </c>
      <c r="P46" s="2219">
        <f t="shared" si="5"/>
        <v>2.9290177830319189E-4</v>
      </c>
      <c r="Q46" s="2219">
        <f t="shared" si="6"/>
        <v>2.1290584251379818E-3</v>
      </c>
      <c r="R46" s="1227"/>
      <c r="S46" s="1227"/>
      <c r="T46" s="139"/>
      <c r="U46" s="1227"/>
      <c r="V46" s="1227"/>
      <c r="W46" s="1227"/>
      <c r="X46" s="1227"/>
      <c r="Y46" s="1227"/>
      <c r="Z46" s="1227"/>
      <c r="AA46" s="139"/>
      <c r="AB46" s="139"/>
    </row>
    <row r="47" spans="1:28" x14ac:dyDescent="0.25">
      <c r="A47" s="1553">
        <f t="shared" si="7"/>
        <v>36</v>
      </c>
      <c r="B47" s="1546">
        <v>518</v>
      </c>
      <c r="C47" s="1547">
        <v>518124</v>
      </c>
      <c r="D47" s="1547" t="s">
        <v>1557</v>
      </c>
      <c r="E47" s="1548">
        <f t="shared" si="26"/>
        <v>349.55626000000001</v>
      </c>
      <c r="F47" s="1556">
        <f>M47</f>
        <v>349556.26</v>
      </c>
      <c r="G47" s="1548">
        <f t="shared" si="21"/>
        <v>62.56832</v>
      </c>
      <c r="H47" s="1550">
        <f t="shared" si="27"/>
        <v>62568.32</v>
      </c>
      <c r="I47" s="1551">
        <f t="shared" si="28"/>
        <v>412.12458000000004</v>
      </c>
      <c r="J47" s="1552"/>
      <c r="K47" s="1822">
        <v>518</v>
      </c>
      <c r="L47" s="1822">
        <v>518124</v>
      </c>
      <c r="M47" s="1824">
        <v>349556.26</v>
      </c>
      <c r="N47" s="1822">
        <v>518124</v>
      </c>
      <c r="O47" s="2215">
        <v>62568.32</v>
      </c>
      <c r="P47" s="2219">
        <f t="shared" si="5"/>
        <v>8.7923198430465076E-4</v>
      </c>
      <c r="Q47" s="2219">
        <f t="shared" si="6"/>
        <v>1.3758233832486752E-3</v>
      </c>
      <c r="R47" s="1227"/>
      <c r="S47" s="1227"/>
      <c r="T47" s="139"/>
      <c r="U47" s="1227"/>
      <c r="V47" s="1227"/>
      <c r="W47" s="1227"/>
      <c r="X47" s="1227"/>
      <c r="Y47" s="1227"/>
      <c r="Z47" s="1227"/>
      <c r="AA47" s="139"/>
      <c r="AB47" s="139"/>
    </row>
    <row r="48" spans="1:28" x14ac:dyDescent="0.25">
      <c r="A48" s="1553">
        <f t="shared" si="7"/>
        <v>37</v>
      </c>
      <c r="B48" s="1546">
        <v>518</v>
      </c>
      <c r="C48" s="1547">
        <v>5181291</v>
      </c>
      <c r="D48" s="1547" t="s">
        <v>1558</v>
      </c>
      <c r="E48" s="1548">
        <f t="shared" si="26"/>
        <v>0</v>
      </c>
      <c r="F48" s="1556">
        <f>M48</f>
        <v>0</v>
      </c>
      <c r="G48" s="1548">
        <f t="shared" si="21"/>
        <v>0</v>
      </c>
      <c r="H48" s="1550">
        <f t="shared" si="27"/>
        <v>0</v>
      </c>
      <c r="I48" s="1551">
        <f t="shared" si="28"/>
        <v>0</v>
      </c>
      <c r="J48" s="1552"/>
      <c r="K48" s="1822"/>
      <c r="L48" s="1822"/>
      <c r="M48" s="1823"/>
      <c r="N48" s="1822"/>
      <c r="O48" s="2215"/>
      <c r="P48" s="2219">
        <f t="shared" si="5"/>
        <v>0</v>
      </c>
      <c r="Q48" s="2219">
        <f t="shared" si="6"/>
        <v>0</v>
      </c>
      <c r="R48" s="1227"/>
      <c r="S48" s="1227"/>
      <c r="T48" s="139"/>
      <c r="U48" s="1227"/>
      <c r="V48" s="1227"/>
      <c r="W48" s="1227"/>
      <c r="X48" s="1227"/>
      <c r="Y48" s="1227"/>
      <c r="Z48" s="1227"/>
      <c r="AA48" s="139"/>
      <c r="AB48" s="139"/>
    </row>
    <row r="49" spans="1:28" x14ac:dyDescent="0.25">
      <c r="A49" s="1553">
        <f t="shared" si="7"/>
        <v>38</v>
      </c>
      <c r="B49" s="1546">
        <v>518</v>
      </c>
      <c r="C49" s="1547">
        <v>51813</v>
      </c>
      <c r="D49" s="1547" t="s">
        <v>1559</v>
      </c>
      <c r="E49" s="1548">
        <f t="shared" si="26"/>
        <v>4014.2167000000004</v>
      </c>
      <c r="F49" s="1556">
        <f t="shared" ref="F49:F53" si="32">M49</f>
        <v>4014216.7</v>
      </c>
      <c r="G49" s="1548">
        <f t="shared" si="21"/>
        <v>2472.2440799999999</v>
      </c>
      <c r="H49" s="1550">
        <f t="shared" si="27"/>
        <v>2472244.08</v>
      </c>
      <c r="I49" s="1551">
        <f t="shared" si="28"/>
        <v>6486.4607800000003</v>
      </c>
      <c r="J49" s="1552"/>
      <c r="K49" s="1822">
        <v>518</v>
      </c>
      <c r="L49" s="1822">
        <v>51813</v>
      </c>
      <c r="M49" s="1824">
        <v>4014216.7</v>
      </c>
      <c r="N49" s="1822">
        <v>51813</v>
      </c>
      <c r="O49" s="2215">
        <v>2472244.08</v>
      </c>
      <c r="P49" s="2219">
        <f t="shared" si="5"/>
        <v>1.0096880297809191E-2</v>
      </c>
      <c r="Q49" s="2219">
        <f t="shared" si="6"/>
        <v>5.4362514677749191E-2</v>
      </c>
      <c r="R49" s="1227"/>
      <c r="S49" s="1227"/>
      <c r="T49" s="139"/>
      <c r="U49" s="1227"/>
      <c r="V49" s="1227"/>
      <c r="W49" s="1227"/>
      <c r="X49" s="1227"/>
      <c r="Y49" s="1227"/>
      <c r="Z49" s="1227"/>
      <c r="AA49" s="139"/>
      <c r="AB49" s="139"/>
    </row>
    <row r="50" spans="1:28" x14ac:dyDescent="0.25">
      <c r="A50" s="1553">
        <f t="shared" si="7"/>
        <v>39</v>
      </c>
      <c r="B50" s="1546">
        <v>518</v>
      </c>
      <c r="C50" s="1547">
        <v>51814</v>
      </c>
      <c r="D50" s="1547" t="s">
        <v>1560</v>
      </c>
      <c r="E50" s="1548">
        <f t="shared" si="26"/>
        <v>58.587600000000002</v>
      </c>
      <c r="F50" s="1556">
        <f t="shared" si="32"/>
        <v>58587.6</v>
      </c>
      <c r="G50" s="1548">
        <f t="shared" si="21"/>
        <v>271.02742999999998</v>
      </c>
      <c r="H50" s="1550">
        <f t="shared" si="27"/>
        <v>271027.43</v>
      </c>
      <c r="I50" s="1551">
        <f t="shared" si="28"/>
        <v>329.61502999999999</v>
      </c>
      <c r="J50" s="1552"/>
      <c r="K50" s="1822">
        <v>518</v>
      </c>
      <c r="L50" s="1822">
        <v>51814</v>
      </c>
      <c r="M50" s="1824">
        <v>58587.6</v>
      </c>
      <c r="N50" s="1822">
        <v>51814</v>
      </c>
      <c r="O50" s="2215">
        <v>271027.43</v>
      </c>
      <c r="P50" s="2219">
        <f t="shared" si="5"/>
        <v>1.4736423774429661E-4</v>
      </c>
      <c r="Q50" s="2219">
        <f t="shared" si="6"/>
        <v>5.9596593882621984E-3</v>
      </c>
      <c r="R50" s="1227"/>
      <c r="S50" s="1227"/>
      <c r="T50" s="139"/>
      <c r="U50" s="1227"/>
      <c r="V50" s="1227"/>
      <c r="W50" s="1227"/>
      <c r="X50" s="1227"/>
      <c r="Y50" s="1227"/>
      <c r="Z50" s="1227"/>
      <c r="AA50" s="139"/>
      <c r="AB50" s="139"/>
    </row>
    <row r="51" spans="1:28" x14ac:dyDescent="0.25">
      <c r="A51" s="1553">
        <f t="shared" si="7"/>
        <v>40</v>
      </c>
      <c r="B51" s="1546">
        <v>518</v>
      </c>
      <c r="C51" s="1547">
        <v>51815</v>
      </c>
      <c r="D51" s="1547" t="s">
        <v>1561</v>
      </c>
      <c r="E51" s="1548">
        <f t="shared" si="26"/>
        <v>516.86156000000005</v>
      </c>
      <c r="F51" s="1556">
        <f t="shared" si="32"/>
        <v>516861.56</v>
      </c>
      <c r="G51" s="1548">
        <f t="shared" si="21"/>
        <v>0</v>
      </c>
      <c r="H51" s="1550">
        <f t="shared" si="27"/>
        <v>0</v>
      </c>
      <c r="I51" s="1551">
        <f t="shared" si="28"/>
        <v>516.86156000000005</v>
      </c>
      <c r="J51" s="1552"/>
      <c r="K51" s="1822">
        <v>518</v>
      </c>
      <c r="L51" s="1822">
        <v>51815</v>
      </c>
      <c r="M51" s="1824">
        <v>516861.56</v>
      </c>
      <c r="N51" s="1822"/>
      <c r="O51" s="2215"/>
      <c r="P51" s="2219">
        <f t="shared" si="5"/>
        <v>1.3000517141635436E-3</v>
      </c>
      <c r="Q51" s="2219">
        <f t="shared" si="6"/>
        <v>0</v>
      </c>
      <c r="R51" s="1227"/>
      <c r="S51" s="1227"/>
      <c r="T51" s="139"/>
      <c r="U51" s="1227"/>
      <c r="V51" s="1227"/>
      <c r="W51" s="1227"/>
      <c r="X51" s="1227"/>
      <c r="Y51" s="1227"/>
      <c r="Z51" s="1227"/>
      <c r="AA51" s="139"/>
      <c r="AB51" s="139"/>
    </row>
    <row r="52" spans="1:28" x14ac:dyDescent="0.25">
      <c r="A52" s="1553">
        <f t="shared" si="7"/>
        <v>41</v>
      </c>
      <c r="B52" s="1546">
        <v>518</v>
      </c>
      <c r="C52" s="1547">
        <v>51816</v>
      </c>
      <c r="D52" s="1547" t="s">
        <v>1562</v>
      </c>
      <c r="E52" s="1548">
        <f t="shared" si="26"/>
        <v>0</v>
      </c>
      <c r="F52" s="1556">
        <f t="shared" si="32"/>
        <v>0</v>
      </c>
      <c r="G52" s="1548">
        <f t="shared" si="21"/>
        <v>0</v>
      </c>
      <c r="H52" s="1550">
        <f t="shared" si="27"/>
        <v>0</v>
      </c>
      <c r="I52" s="1551">
        <f t="shared" si="28"/>
        <v>0</v>
      </c>
      <c r="J52" s="1552"/>
      <c r="K52" s="1822"/>
      <c r="L52" s="1822"/>
      <c r="M52" s="1824"/>
      <c r="N52" s="1822"/>
      <c r="O52" s="2215"/>
      <c r="P52" s="2219">
        <f t="shared" si="5"/>
        <v>0</v>
      </c>
      <c r="Q52" s="2219">
        <f t="shared" si="6"/>
        <v>0</v>
      </c>
      <c r="R52" s="1227"/>
      <c r="S52" s="1227"/>
      <c r="T52" s="139"/>
      <c r="U52" s="1227"/>
      <c r="V52" s="1227"/>
      <c r="W52" s="1227"/>
      <c r="X52" s="1227"/>
      <c r="Y52" s="1227"/>
      <c r="Z52" s="1227"/>
      <c r="AA52" s="139"/>
      <c r="AB52" s="139"/>
    </row>
    <row r="53" spans="1:28" x14ac:dyDescent="0.25">
      <c r="A53" s="1553">
        <f t="shared" si="7"/>
        <v>42</v>
      </c>
      <c r="B53" s="1546">
        <v>518</v>
      </c>
      <c r="C53" s="1547">
        <v>51817</v>
      </c>
      <c r="D53" s="1547" t="s">
        <v>1563</v>
      </c>
      <c r="E53" s="1548">
        <f t="shared" si="26"/>
        <v>1049.9530400000001</v>
      </c>
      <c r="F53" s="1556">
        <f t="shared" si="32"/>
        <v>1049953.04</v>
      </c>
      <c r="G53" s="1548">
        <f t="shared" si="21"/>
        <v>300.04525000000001</v>
      </c>
      <c r="H53" s="1550">
        <f t="shared" si="27"/>
        <v>300045.25</v>
      </c>
      <c r="I53" s="1551">
        <f t="shared" si="28"/>
        <v>1349.99829</v>
      </c>
      <c r="J53" s="1552"/>
      <c r="K53" s="1822">
        <v>518</v>
      </c>
      <c r="L53" s="1822">
        <v>51817</v>
      </c>
      <c r="M53" s="1824">
        <v>1049953.04</v>
      </c>
      <c r="N53" s="1822">
        <v>51817</v>
      </c>
      <c r="O53" s="2215">
        <v>300045.25</v>
      </c>
      <c r="P53" s="2219">
        <f t="shared" si="5"/>
        <v>2.64092622682798E-3</v>
      </c>
      <c r="Q53" s="2219">
        <f t="shared" si="6"/>
        <v>6.5977362183081562E-3</v>
      </c>
      <c r="R53" s="1227"/>
      <c r="S53" s="1227"/>
      <c r="T53" s="139"/>
      <c r="U53" s="1227"/>
      <c r="V53" s="1227"/>
      <c r="W53" s="1227"/>
      <c r="X53" s="1227"/>
      <c r="Y53" s="1227"/>
      <c r="Z53" s="1227"/>
      <c r="AA53" s="139"/>
      <c r="AB53" s="139"/>
    </row>
    <row r="54" spans="1:28" x14ac:dyDescent="0.25">
      <c r="A54" s="1553">
        <f t="shared" si="7"/>
        <v>43</v>
      </c>
      <c r="B54" s="1546">
        <v>518</v>
      </c>
      <c r="C54" s="1547">
        <v>518171</v>
      </c>
      <c r="D54" s="1547" t="s">
        <v>1564</v>
      </c>
      <c r="E54" s="1548">
        <f t="shared" si="26"/>
        <v>78.664109999999994</v>
      </c>
      <c r="F54" s="1556">
        <f>M54</f>
        <v>78664.11</v>
      </c>
      <c r="G54" s="1548">
        <f t="shared" si="21"/>
        <v>57.146000000000001</v>
      </c>
      <c r="H54" s="1550">
        <f t="shared" si="27"/>
        <v>57146</v>
      </c>
      <c r="I54" s="1551">
        <f t="shared" si="28"/>
        <v>135.81011000000001</v>
      </c>
      <c r="J54" s="1552"/>
      <c r="K54" s="1822">
        <v>518</v>
      </c>
      <c r="L54" s="1822">
        <v>518171</v>
      </c>
      <c r="M54" s="1824">
        <v>78664.11</v>
      </c>
      <c r="N54" s="1822">
        <v>518171</v>
      </c>
      <c r="O54" s="2215">
        <v>57146</v>
      </c>
      <c r="P54" s="2219">
        <f t="shared" si="5"/>
        <v>1.9786228840204238E-4</v>
      </c>
      <c r="Q54" s="2219">
        <f t="shared" si="6"/>
        <v>1.2565912439255007E-3</v>
      </c>
      <c r="R54" s="1227"/>
      <c r="S54" s="1227"/>
      <c r="T54" s="139"/>
      <c r="U54" s="1227"/>
      <c r="V54" s="1227"/>
      <c r="W54" s="1227"/>
      <c r="X54" s="1227"/>
      <c r="Y54" s="1227"/>
      <c r="Z54" s="1227"/>
      <c r="AA54" s="139"/>
      <c r="AB54" s="139"/>
    </row>
    <row r="55" spans="1:28" x14ac:dyDescent="0.25">
      <c r="A55" s="1553">
        <f t="shared" si="7"/>
        <v>44</v>
      </c>
      <c r="B55" s="1546">
        <v>518</v>
      </c>
      <c r="C55" s="1547">
        <v>51818</v>
      </c>
      <c r="D55" s="1547" t="s">
        <v>1565</v>
      </c>
      <c r="E55" s="1548">
        <f t="shared" si="26"/>
        <v>391.20171000000005</v>
      </c>
      <c r="F55" s="1556">
        <f t="shared" ref="F55:F86" si="33">M55</f>
        <v>391201.71</v>
      </c>
      <c r="G55" s="1548">
        <f t="shared" si="21"/>
        <v>85.984999999999999</v>
      </c>
      <c r="H55" s="1550">
        <f t="shared" si="27"/>
        <v>85985</v>
      </c>
      <c r="I55" s="1551">
        <f t="shared" si="28"/>
        <v>477.18671000000006</v>
      </c>
      <c r="J55" s="1552"/>
      <c r="K55" s="1822">
        <v>518</v>
      </c>
      <c r="L55" s="1822">
        <v>51818</v>
      </c>
      <c r="M55" s="1824">
        <v>391201.71</v>
      </c>
      <c r="N55" s="1822">
        <v>51818</v>
      </c>
      <c r="O55" s="2215">
        <v>85985</v>
      </c>
      <c r="P55" s="2219">
        <f t="shared" si="5"/>
        <v>9.8398196544004831E-4</v>
      </c>
      <c r="Q55" s="2219">
        <f t="shared" si="6"/>
        <v>1.8907359764276446E-3</v>
      </c>
      <c r="R55" s="1227"/>
      <c r="S55" s="1227"/>
      <c r="T55" s="139"/>
      <c r="U55" s="1227"/>
      <c r="V55" s="1227"/>
      <c r="W55" s="1227"/>
      <c r="X55" s="1227"/>
      <c r="Y55" s="1227"/>
      <c r="Z55" s="1227"/>
      <c r="AA55" s="139"/>
      <c r="AB55" s="139"/>
    </row>
    <row r="56" spans="1:28" x14ac:dyDescent="0.25">
      <c r="A56" s="1553">
        <f t="shared" si="7"/>
        <v>45</v>
      </c>
      <c r="B56" s="1546">
        <v>518</v>
      </c>
      <c r="C56" s="1547">
        <v>51819</v>
      </c>
      <c r="D56" s="1547" t="s">
        <v>1566</v>
      </c>
      <c r="E56" s="1548">
        <f t="shared" si="26"/>
        <v>256.18270999999999</v>
      </c>
      <c r="F56" s="1556">
        <f t="shared" si="33"/>
        <v>256182.71</v>
      </c>
      <c r="G56" s="1548">
        <f t="shared" si="21"/>
        <v>2.6974299999999998</v>
      </c>
      <c r="H56" s="1550">
        <f t="shared" si="27"/>
        <v>2697.43</v>
      </c>
      <c r="I56" s="1551">
        <f t="shared" si="28"/>
        <v>258.88013999999998</v>
      </c>
      <c r="J56" s="1552"/>
      <c r="K56" s="1822">
        <v>518</v>
      </c>
      <c r="L56" s="1822">
        <v>51819</v>
      </c>
      <c r="M56" s="1824">
        <v>256182.71</v>
      </c>
      <c r="N56" s="1822">
        <v>51819</v>
      </c>
      <c r="O56" s="2215">
        <v>2697.43</v>
      </c>
      <c r="P56" s="2219">
        <f t="shared" si="5"/>
        <v>6.4437133083482148E-4</v>
      </c>
      <c r="Q56" s="2219">
        <f t="shared" si="6"/>
        <v>5.9314158805550051E-5</v>
      </c>
      <c r="R56" s="1227"/>
      <c r="S56" s="1227"/>
      <c r="T56" s="139"/>
      <c r="U56" s="1227"/>
      <c r="V56" s="1227"/>
      <c r="W56" s="1227"/>
      <c r="X56" s="1227"/>
      <c r="Y56" s="1227"/>
      <c r="Z56" s="1227"/>
      <c r="AA56" s="139"/>
      <c r="AB56" s="139"/>
    </row>
    <row r="57" spans="1:28" x14ac:dyDescent="0.25">
      <c r="A57" s="1553">
        <f t="shared" si="7"/>
        <v>46</v>
      </c>
      <c r="B57" s="1546">
        <v>518</v>
      </c>
      <c r="C57" s="1547">
        <v>51820</v>
      </c>
      <c r="D57" s="1547" t="s">
        <v>1567</v>
      </c>
      <c r="E57" s="1548">
        <f t="shared" si="26"/>
        <v>163.95650000000001</v>
      </c>
      <c r="F57" s="1556">
        <f t="shared" si="33"/>
        <v>163956.5</v>
      </c>
      <c r="G57" s="1548">
        <f t="shared" si="21"/>
        <v>31.125</v>
      </c>
      <c r="H57" s="1550">
        <f t="shared" si="27"/>
        <v>31125</v>
      </c>
      <c r="I57" s="1551">
        <f t="shared" si="28"/>
        <v>195.08150000000001</v>
      </c>
      <c r="J57" s="1552"/>
      <c r="K57" s="1822">
        <v>518</v>
      </c>
      <c r="L57" s="1822">
        <v>51820</v>
      </c>
      <c r="M57" s="1824">
        <v>163956.5</v>
      </c>
      <c r="N57" s="1822">
        <v>51820</v>
      </c>
      <c r="O57" s="2215">
        <v>31125</v>
      </c>
      <c r="P57" s="2219">
        <f t="shared" si="5"/>
        <v>4.1239655909651132E-4</v>
      </c>
      <c r="Q57" s="2219">
        <f t="shared" si="6"/>
        <v>6.8441190052114258E-4</v>
      </c>
      <c r="R57" s="1227"/>
      <c r="S57" s="1227"/>
      <c r="T57" s="139"/>
      <c r="U57" s="1227"/>
      <c r="V57" s="1227"/>
      <c r="W57" s="1227"/>
      <c r="X57" s="1227"/>
      <c r="Y57" s="1227"/>
      <c r="Z57" s="1227"/>
      <c r="AA57" s="139"/>
      <c r="AB57" s="139"/>
    </row>
    <row r="58" spans="1:28" x14ac:dyDescent="0.25">
      <c r="A58" s="1553">
        <f t="shared" si="7"/>
        <v>47</v>
      </c>
      <c r="B58" s="1546">
        <v>518</v>
      </c>
      <c r="C58" s="1547">
        <v>51821</v>
      </c>
      <c r="D58" s="1547" t="s">
        <v>1568</v>
      </c>
      <c r="E58" s="1548">
        <f t="shared" si="26"/>
        <v>3167.69931</v>
      </c>
      <c r="F58" s="1556">
        <f t="shared" si="33"/>
        <v>3167699.31</v>
      </c>
      <c r="G58" s="1548">
        <f t="shared" si="21"/>
        <v>2701.2681499999999</v>
      </c>
      <c r="H58" s="1550">
        <f t="shared" si="27"/>
        <v>2701268.15</v>
      </c>
      <c r="I58" s="1551">
        <f t="shared" si="28"/>
        <v>5868.9674599999998</v>
      </c>
      <c r="J58" s="1552"/>
      <c r="K58" s="1822">
        <v>518</v>
      </c>
      <c r="L58" s="1822">
        <v>51821</v>
      </c>
      <c r="M58" s="1824">
        <v>3167699.31</v>
      </c>
      <c r="N58" s="1822">
        <v>51821</v>
      </c>
      <c r="O58" s="2215">
        <v>2701268.15</v>
      </c>
      <c r="P58" s="2219">
        <f t="shared" si="5"/>
        <v>7.9676517594385893E-3</v>
      </c>
      <c r="Q58" s="2219">
        <f t="shared" si="6"/>
        <v>5.9398556413131909E-2</v>
      </c>
      <c r="R58" s="1227"/>
      <c r="S58" s="1227"/>
      <c r="T58" s="139"/>
      <c r="U58" s="1227"/>
      <c r="V58" s="1227"/>
      <c r="W58" s="1227"/>
      <c r="X58" s="1227"/>
      <c r="Y58" s="1227"/>
      <c r="Z58" s="1227"/>
      <c r="AA58" s="139"/>
      <c r="AB58" s="139"/>
    </row>
    <row r="59" spans="1:28" x14ac:dyDescent="0.25">
      <c r="A59" s="1553">
        <f t="shared" si="7"/>
        <v>48</v>
      </c>
      <c r="B59" s="1546">
        <v>518</v>
      </c>
      <c r="C59" s="1547">
        <v>518211</v>
      </c>
      <c r="D59" s="1547" t="s">
        <v>1569</v>
      </c>
      <c r="E59" s="1548">
        <f t="shared" si="26"/>
        <v>4055.5121300000001</v>
      </c>
      <c r="F59" s="1556">
        <f t="shared" si="33"/>
        <v>4055512.13</v>
      </c>
      <c r="G59" s="1548">
        <f t="shared" si="21"/>
        <v>363.59010999999998</v>
      </c>
      <c r="H59" s="1550">
        <f t="shared" si="27"/>
        <v>363590.11</v>
      </c>
      <c r="I59" s="1551">
        <f t="shared" si="28"/>
        <v>4419.1022400000002</v>
      </c>
      <c r="J59" s="1552"/>
      <c r="K59" s="1822">
        <v>518</v>
      </c>
      <c r="L59" s="1822">
        <v>518211</v>
      </c>
      <c r="M59" s="1824">
        <v>4055512.13</v>
      </c>
      <c r="N59" s="1822">
        <v>518211</v>
      </c>
      <c r="O59" s="2215">
        <v>363590.11</v>
      </c>
      <c r="P59" s="2219">
        <f t="shared" si="5"/>
        <v>1.0200749880524185E-2</v>
      </c>
      <c r="Q59" s="2219">
        <f t="shared" si="6"/>
        <v>7.9950328737603618E-3</v>
      </c>
      <c r="R59" s="1227"/>
      <c r="S59" s="1227"/>
      <c r="T59" s="139"/>
      <c r="U59" s="1227"/>
      <c r="V59" s="1227"/>
      <c r="W59" s="1227"/>
      <c r="X59" s="1227"/>
      <c r="Y59" s="1227"/>
      <c r="Z59" s="1227"/>
      <c r="AA59" s="139"/>
      <c r="AB59" s="139"/>
    </row>
    <row r="60" spans="1:28" x14ac:dyDescent="0.25">
      <c r="A60" s="1553">
        <f t="shared" si="7"/>
        <v>49</v>
      </c>
      <c r="B60" s="1546">
        <v>518</v>
      </c>
      <c r="C60" s="1547">
        <v>5184</v>
      </c>
      <c r="D60" s="1547" t="s">
        <v>1570</v>
      </c>
      <c r="E60" s="1548">
        <f t="shared" si="26"/>
        <v>241.30180999999999</v>
      </c>
      <c r="F60" s="1556">
        <f t="shared" si="33"/>
        <v>241301.81</v>
      </c>
      <c r="G60" s="1548">
        <f t="shared" si="21"/>
        <v>143.46054999999998</v>
      </c>
      <c r="H60" s="1550">
        <f t="shared" si="27"/>
        <v>143460.54999999999</v>
      </c>
      <c r="I60" s="1551">
        <f t="shared" si="28"/>
        <v>384.76235999999994</v>
      </c>
      <c r="J60" s="1552"/>
      <c r="K60" s="1822">
        <v>518</v>
      </c>
      <c r="L60" s="1822">
        <v>5184</v>
      </c>
      <c r="M60" s="1824">
        <v>241301.81</v>
      </c>
      <c r="N60" s="1822">
        <v>5184</v>
      </c>
      <c r="O60" s="2215">
        <v>143460.54999999999</v>
      </c>
      <c r="P60" s="2219">
        <f t="shared" si="5"/>
        <v>6.0694169580199713E-4</v>
      </c>
      <c r="Q60" s="2219">
        <f t="shared" si="6"/>
        <v>3.1545737405721569E-3</v>
      </c>
      <c r="R60" s="1227"/>
      <c r="S60" s="1227"/>
      <c r="T60" s="139"/>
      <c r="U60" s="1227"/>
      <c r="V60" s="1227"/>
      <c r="W60" s="1227"/>
      <c r="X60" s="1227"/>
      <c r="Y60" s="1227"/>
      <c r="Z60" s="1227"/>
      <c r="AA60" s="139"/>
      <c r="AB60" s="139"/>
    </row>
    <row r="61" spans="1:28" x14ac:dyDescent="0.25">
      <c r="A61" s="1553">
        <f t="shared" si="7"/>
        <v>50</v>
      </c>
      <c r="B61" s="1546">
        <v>518</v>
      </c>
      <c r="C61" s="1547">
        <v>5186</v>
      </c>
      <c r="D61" s="1547" t="s">
        <v>1571</v>
      </c>
      <c r="E61" s="1548">
        <f t="shared" si="26"/>
        <v>422.50178999999997</v>
      </c>
      <c r="F61" s="1556">
        <f t="shared" si="33"/>
        <v>422501.79</v>
      </c>
      <c r="G61" s="1548">
        <f t="shared" si="21"/>
        <v>55.965240000000001</v>
      </c>
      <c r="H61" s="1550">
        <f t="shared" si="27"/>
        <v>55965.24</v>
      </c>
      <c r="I61" s="1551">
        <f t="shared" si="28"/>
        <v>478.46702999999997</v>
      </c>
      <c r="J61" s="1552"/>
      <c r="K61" s="1822">
        <v>518</v>
      </c>
      <c r="L61" s="1822">
        <v>5186</v>
      </c>
      <c r="M61" s="1824">
        <v>422501.79</v>
      </c>
      <c r="N61" s="1822">
        <v>5186</v>
      </c>
      <c r="O61" s="2215">
        <v>55965.24</v>
      </c>
      <c r="P61" s="2219">
        <f t="shared" si="5"/>
        <v>1.0627104409286414E-3</v>
      </c>
      <c r="Q61" s="2219">
        <f t="shared" si="6"/>
        <v>1.230627350089056E-3</v>
      </c>
      <c r="R61" s="1227"/>
      <c r="S61" s="1227"/>
      <c r="T61" s="139"/>
      <c r="U61" s="1227"/>
      <c r="V61" s="1227"/>
      <c r="W61" s="1227"/>
      <c r="X61" s="1227"/>
      <c r="Y61" s="1227"/>
      <c r="Z61" s="1227"/>
      <c r="AA61" s="139"/>
      <c r="AB61" s="139"/>
    </row>
    <row r="62" spans="1:28" x14ac:dyDescent="0.25">
      <c r="A62" s="1553">
        <f t="shared" si="7"/>
        <v>51</v>
      </c>
      <c r="B62" s="1546">
        <v>518</v>
      </c>
      <c r="C62" s="1547">
        <v>51861</v>
      </c>
      <c r="D62" s="1547" t="s">
        <v>1572</v>
      </c>
      <c r="E62" s="1548">
        <f t="shared" si="26"/>
        <v>98.081980000000001</v>
      </c>
      <c r="F62" s="1556">
        <f t="shared" si="33"/>
        <v>98081.98</v>
      </c>
      <c r="G62" s="1548">
        <f t="shared" si="21"/>
        <v>0.65</v>
      </c>
      <c r="H62" s="1550">
        <f t="shared" si="27"/>
        <v>650</v>
      </c>
      <c r="I62" s="1551">
        <f t="shared" si="28"/>
        <v>98.731980000000007</v>
      </c>
      <c r="J62" s="1552"/>
      <c r="K62" s="1822">
        <v>518</v>
      </c>
      <c r="L62" s="1822">
        <v>51861</v>
      </c>
      <c r="M62" s="1824">
        <v>98081.98</v>
      </c>
      <c r="N62" s="1822">
        <v>51861</v>
      </c>
      <c r="O62" s="2215">
        <v>650</v>
      </c>
      <c r="P62" s="2219">
        <f t="shared" si="5"/>
        <v>2.4670367482455921E-4</v>
      </c>
      <c r="Q62" s="2219">
        <f t="shared" si="6"/>
        <v>1.4292939287991732E-5</v>
      </c>
      <c r="R62" s="1227"/>
      <c r="S62" s="1227"/>
      <c r="T62" s="139"/>
      <c r="U62" s="1227"/>
      <c r="V62" s="1227"/>
      <c r="W62" s="1227"/>
      <c r="X62" s="1227"/>
      <c r="Y62" s="1227"/>
      <c r="Z62" s="1227"/>
      <c r="AA62" s="139"/>
      <c r="AB62" s="139"/>
    </row>
    <row r="63" spans="1:28" x14ac:dyDescent="0.25">
      <c r="A63" s="1553">
        <f t="shared" si="7"/>
        <v>52</v>
      </c>
      <c r="B63" s="1546">
        <v>518</v>
      </c>
      <c r="C63" s="1547">
        <v>51862</v>
      </c>
      <c r="D63" s="1547" t="s">
        <v>1573</v>
      </c>
      <c r="E63" s="1548">
        <f t="shared" si="26"/>
        <v>4699.8283899999997</v>
      </c>
      <c r="F63" s="1556">
        <f t="shared" si="33"/>
        <v>4699828.3899999997</v>
      </c>
      <c r="G63" s="1548">
        <f t="shared" si="21"/>
        <v>682.75056000000006</v>
      </c>
      <c r="H63" s="1550">
        <f t="shared" si="27"/>
        <v>682750.56</v>
      </c>
      <c r="I63" s="1551">
        <f t="shared" si="28"/>
        <v>5382.5789500000001</v>
      </c>
      <c r="J63" s="1552"/>
      <c r="K63" s="1822">
        <v>518</v>
      </c>
      <c r="L63" s="1822">
        <v>51862</v>
      </c>
      <c r="M63" s="1824">
        <v>4699828.3899999997</v>
      </c>
      <c r="N63" s="1822">
        <v>51862</v>
      </c>
      <c r="O63" s="2215">
        <v>682750.56</v>
      </c>
      <c r="P63" s="2219">
        <f t="shared" si="5"/>
        <v>1.182138589430792E-2</v>
      </c>
      <c r="Q63" s="2219">
        <f t="shared" si="6"/>
        <v>1.501309585064978E-2</v>
      </c>
      <c r="R63" s="1227"/>
      <c r="S63" s="1227"/>
      <c r="T63" s="139"/>
      <c r="U63" s="1227"/>
      <c r="V63" s="1227"/>
      <c r="W63" s="1227"/>
      <c r="X63" s="1227"/>
      <c r="Y63" s="1227"/>
      <c r="Z63" s="1227"/>
      <c r="AA63" s="139"/>
      <c r="AB63" s="139"/>
    </row>
    <row r="64" spans="1:28" x14ac:dyDescent="0.25">
      <c r="A64" s="1553">
        <f t="shared" si="7"/>
        <v>53</v>
      </c>
      <c r="B64" s="1546">
        <v>518</v>
      </c>
      <c r="C64" s="1547">
        <v>51871</v>
      </c>
      <c r="D64" s="1547" t="s">
        <v>1574</v>
      </c>
      <c r="E64" s="1548">
        <f t="shared" si="26"/>
        <v>1565.0965800000001</v>
      </c>
      <c r="F64" s="1556">
        <f t="shared" si="33"/>
        <v>1565096.58</v>
      </c>
      <c r="G64" s="1548">
        <f t="shared" si="21"/>
        <v>925.00628000000006</v>
      </c>
      <c r="H64" s="1550">
        <f t="shared" si="27"/>
        <v>925006.28</v>
      </c>
      <c r="I64" s="1551">
        <f t="shared" si="28"/>
        <v>2490.10286</v>
      </c>
      <c r="J64" s="1552"/>
      <c r="K64" s="1822">
        <v>518</v>
      </c>
      <c r="L64" s="1822">
        <v>51871</v>
      </c>
      <c r="M64" s="1824">
        <v>1565096.58</v>
      </c>
      <c r="N64" s="1822">
        <v>51871</v>
      </c>
      <c r="O64" s="2215">
        <v>925006.28</v>
      </c>
      <c r="P64" s="2219">
        <f t="shared" si="5"/>
        <v>3.9366566390824261E-3</v>
      </c>
      <c r="Q64" s="2219">
        <f t="shared" si="6"/>
        <v>2.0340090155463203E-2</v>
      </c>
      <c r="R64" s="1227"/>
      <c r="S64" s="1227"/>
      <c r="T64" s="139"/>
      <c r="U64" s="1227"/>
      <c r="V64" s="1227"/>
      <c r="W64" s="1227"/>
      <c r="X64" s="1227"/>
      <c r="Y64" s="1227"/>
      <c r="Z64" s="1227"/>
      <c r="AA64" s="139"/>
      <c r="AB64" s="139"/>
    </row>
    <row r="65" spans="1:28" x14ac:dyDescent="0.25">
      <c r="A65" s="1553">
        <f t="shared" si="7"/>
        <v>54</v>
      </c>
      <c r="B65" s="1546">
        <v>518</v>
      </c>
      <c r="C65" s="1547">
        <v>5189</v>
      </c>
      <c r="D65" s="1547" t="s">
        <v>1575</v>
      </c>
      <c r="E65" s="1548">
        <f t="shared" si="26"/>
        <v>26640.69514</v>
      </c>
      <c r="F65" s="1556">
        <f t="shared" si="33"/>
        <v>26640695.140000001</v>
      </c>
      <c r="G65" s="1548">
        <f t="shared" si="21"/>
        <v>4525.0744999999997</v>
      </c>
      <c r="H65" s="1550">
        <f t="shared" si="27"/>
        <v>4525074.5</v>
      </c>
      <c r="I65" s="1551">
        <f t="shared" si="28"/>
        <v>31165.769639999999</v>
      </c>
      <c r="J65" s="1552"/>
      <c r="K65" s="1822">
        <v>518</v>
      </c>
      <c r="L65" s="1822">
        <v>5189</v>
      </c>
      <c r="M65" s="1824">
        <v>26640695.140000001</v>
      </c>
      <c r="N65" s="1822">
        <v>5189</v>
      </c>
      <c r="O65" s="2215">
        <v>4525074.5</v>
      </c>
      <c r="P65" s="2219">
        <f t="shared" si="5"/>
        <v>6.7008816409688865E-2</v>
      </c>
      <c r="Q65" s="2219">
        <f t="shared" si="6"/>
        <v>9.9502484772522368E-2</v>
      </c>
      <c r="R65" s="1227"/>
      <c r="S65" s="1227"/>
      <c r="T65" s="139"/>
      <c r="U65" s="1227"/>
      <c r="V65" s="1227"/>
      <c r="W65" s="1227"/>
      <c r="X65" s="1227"/>
      <c r="Y65" s="1227"/>
      <c r="Z65" s="1227"/>
      <c r="AA65" s="139"/>
      <c r="AB65" s="139"/>
    </row>
    <row r="66" spans="1:28" x14ac:dyDescent="0.25">
      <c r="A66" s="1553">
        <f t="shared" si="7"/>
        <v>55</v>
      </c>
      <c r="B66" s="1546">
        <v>518</v>
      </c>
      <c r="C66" s="1547">
        <v>51890</v>
      </c>
      <c r="D66" s="1547" t="s">
        <v>1576</v>
      </c>
      <c r="E66" s="1548">
        <f t="shared" si="26"/>
        <v>11.218999999999999</v>
      </c>
      <c r="F66" s="1556">
        <f t="shared" si="33"/>
        <v>11219</v>
      </c>
      <c r="G66" s="1548">
        <f t="shared" si="21"/>
        <v>1.54331</v>
      </c>
      <c r="H66" s="1550">
        <f t="shared" si="27"/>
        <v>1543.31</v>
      </c>
      <c r="I66" s="1551">
        <f t="shared" si="28"/>
        <v>12.762309999999999</v>
      </c>
      <c r="J66" s="1552"/>
      <c r="K66" s="1822">
        <v>518</v>
      </c>
      <c r="L66" s="1822">
        <v>51890</v>
      </c>
      <c r="M66" s="1824">
        <v>11219</v>
      </c>
      <c r="N66" s="1822">
        <v>51890</v>
      </c>
      <c r="O66" s="2215">
        <v>1543.31</v>
      </c>
      <c r="P66" s="2219">
        <f t="shared" si="5"/>
        <v>2.8218929999748469E-5</v>
      </c>
      <c r="Q66" s="2219">
        <f t="shared" si="6"/>
        <v>3.393605558853926E-5</v>
      </c>
      <c r="R66" s="1227"/>
      <c r="S66" s="1227"/>
      <c r="T66" s="139"/>
      <c r="U66" s="1227"/>
      <c r="V66" s="1227"/>
      <c r="W66" s="1227"/>
      <c r="X66" s="1227"/>
      <c r="Y66" s="1227"/>
      <c r="Z66" s="1227"/>
      <c r="AA66" s="139"/>
      <c r="AB66" s="139"/>
    </row>
    <row r="67" spans="1:28" x14ac:dyDescent="0.25">
      <c r="A67" s="1553">
        <f t="shared" si="7"/>
        <v>56</v>
      </c>
      <c r="B67" s="1546">
        <v>518</v>
      </c>
      <c r="C67" s="1547">
        <v>518901</v>
      </c>
      <c r="D67" s="1547" t="s">
        <v>1577</v>
      </c>
      <c r="E67" s="1548">
        <f t="shared" si="26"/>
        <v>0</v>
      </c>
      <c r="F67" s="1556">
        <f t="shared" si="33"/>
        <v>0</v>
      </c>
      <c r="G67" s="1548">
        <f t="shared" si="21"/>
        <v>113.66</v>
      </c>
      <c r="H67" s="1550">
        <f t="shared" si="27"/>
        <v>113660</v>
      </c>
      <c r="I67" s="1551">
        <f t="shared" si="28"/>
        <v>113.66</v>
      </c>
      <c r="J67" s="1552"/>
      <c r="K67" s="1822">
        <v>518</v>
      </c>
      <c r="L67" s="1822">
        <v>518901</v>
      </c>
      <c r="M67" s="1823"/>
      <c r="N67" s="1822">
        <v>518901</v>
      </c>
      <c r="O67" s="2215">
        <v>113660</v>
      </c>
      <c r="P67" s="2219">
        <f t="shared" si="5"/>
        <v>0</v>
      </c>
      <c r="Q67" s="2219">
        <f t="shared" si="6"/>
        <v>2.4992853530356003E-3</v>
      </c>
      <c r="R67" s="1227"/>
      <c r="S67" s="1227"/>
      <c r="T67" s="139"/>
      <c r="U67" s="1227"/>
      <c r="V67" s="1227"/>
      <c r="W67" s="1227"/>
      <c r="X67" s="1227"/>
      <c r="Y67" s="1227"/>
      <c r="Z67" s="1227"/>
      <c r="AA67" s="139"/>
      <c r="AB67" s="139"/>
    </row>
    <row r="68" spans="1:28" x14ac:dyDescent="0.25">
      <c r="A68" s="1553">
        <f t="shared" si="7"/>
        <v>57</v>
      </c>
      <c r="B68" s="1546">
        <v>518</v>
      </c>
      <c r="C68" s="1547">
        <v>518902</v>
      </c>
      <c r="D68" s="1547" t="s">
        <v>1578</v>
      </c>
      <c r="E68" s="1548">
        <f t="shared" si="26"/>
        <v>161.14400000000001</v>
      </c>
      <c r="F68" s="1556">
        <f t="shared" si="33"/>
        <v>161144</v>
      </c>
      <c r="G68" s="1548">
        <f t="shared" si="21"/>
        <v>0</v>
      </c>
      <c r="H68" s="1550">
        <f t="shared" si="27"/>
        <v>0</v>
      </c>
      <c r="I68" s="1551">
        <f t="shared" si="28"/>
        <v>161.14400000000001</v>
      </c>
      <c r="J68" s="1552"/>
      <c r="K68" s="1822">
        <v>518</v>
      </c>
      <c r="L68" s="1822">
        <v>518902</v>
      </c>
      <c r="M68" s="1824">
        <v>161144</v>
      </c>
      <c r="N68" s="1822"/>
      <c r="O68" s="2215"/>
      <c r="P68" s="2219">
        <f t="shared" si="5"/>
        <v>4.0532233317403226E-4</v>
      </c>
      <c r="Q68" s="2219">
        <f t="shared" si="6"/>
        <v>0</v>
      </c>
      <c r="R68" s="1227"/>
      <c r="S68" s="1227"/>
      <c r="T68" s="139"/>
      <c r="U68" s="1227"/>
      <c r="V68" s="1227"/>
      <c r="W68" s="1227"/>
      <c r="X68" s="1227"/>
      <c r="Y68" s="1227"/>
      <c r="Z68" s="1227"/>
      <c r="AA68" s="139"/>
      <c r="AB68" s="139"/>
    </row>
    <row r="69" spans="1:28" x14ac:dyDescent="0.25">
      <c r="A69" s="1553">
        <f t="shared" si="7"/>
        <v>58</v>
      </c>
      <c r="B69" s="1546">
        <v>518</v>
      </c>
      <c r="C69" s="1547">
        <v>518903</v>
      </c>
      <c r="D69" s="1547" t="s">
        <v>1579</v>
      </c>
      <c r="E69" s="1548">
        <f t="shared" si="26"/>
        <v>45.994</v>
      </c>
      <c r="F69" s="1556">
        <f t="shared" si="33"/>
        <v>45994</v>
      </c>
      <c r="G69" s="1548">
        <f t="shared" si="21"/>
        <v>85.493539999999996</v>
      </c>
      <c r="H69" s="1550">
        <f t="shared" si="27"/>
        <v>85493.54</v>
      </c>
      <c r="I69" s="1551">
        <f t="shared" si="28"/>
        <v>131.48754</v>
      </c>
      <c r="J69" s="1552"/>
      <c r="K69" s="1822">
        <v>518</v>
      </c>
      <c r="L69" s="1822">
        <v>518903</v>
      </c>
      <c r="M69" s="1824">
        <v>45994</v>
      </c>
      <c r="N69" s="1822">
        <v>518903</v>
      </c>
      <c r="O69" s="2215">
        <v>85493.54</v>
      </c>
      <c r="P69" s="2219">
        <f t="shared" si="5"/>
        <v>1.1568780340568957E-4</v>
      </c>
      <c r="Q69" s="2219">
        <f t="shared" si="6"/>
        <v>1.8799291949776809E-3</v>
      </c>
      <c r="R69" s="1227"/>
      <c r="S69" s="1227"/>
      <c r="T69" s="139"/>
      <c r="U69" s="1227"/>
      <c r="V69" s="1227"/>
      <c r="W69" s="1227"/>
      <c r="X69" s="1227"/>
      <c r="Y69" s="1227"/>
      <c r="Z69" s="1227"/>
      <c r="AA69" s="139"/>
      <c r="AB69" s="139"/>
    </row>
    <row r="70" spans="1:28" x14ac:dyDescent="0.25">
      <c r="A70" s="1553">
        <f t="shared" si="7"/>
        <v>59</v>
      </c>
      <c r="B70" s="1546">
        <v>518</v>
      </c>
      <c r="C70" s="1547">
        <v>51894</v>
      </c>
      <c r="D70" s="1547" t="s">
        <v>1580</v>
      </c>
      <c r="E70" s="1548">
        <f t="shared" si="26"/>
        <v>2090.3937700000001</v>
      </c>
      <c r="F70" s="1556">
        <f t="shared" si="33"/>
        <v>2090393.77</v>
      </c>
      <c r="G70" s="1548">
        <f t="shared" si="21"/>
        <v>152.28044</v>
      </c>
      <c r="H70" s="1550">
        <f t="shared" si="27"/>
        <v>152280.44</v>
      </c>
      <c r="I70" s="1551">
        <f t="shared" si="28"/>
        <v>2242.6742100000001</v>
      </c>
      <c r="J70" s="1552"/>
      <c r="K70" s="1822">
        <v>518</v>
      </c>
      <c r="L70" s="1822">
        <v>51894</v>
      </c>
      <c r="M70" s="1824">
        <v>2090393.77</v>
      </c>
      <c r="N70" s="1822">
        <v>51894</v>
      </c>
      <c r="O70" s="2215">
        <v>152280.44</v>
      </c>
      <c r="P70" s="2219">
        <f t="shared" si="5"/>
        <v>5.2579263274391934E-3</v>
      </c>
      <c r="Q70" s="2219">
        <f t="shared" si="6"/>
        <v>3.3485155133364118E-3</v>
      </c>
      <c r="R70" s="1227"/>
      <c r="S70" s="1227"/>
      <c r="T70" s="139"/>
      <c r="U70" s="1227"/>
      <c r="V70" s="1227"/>
      <c r="W70" s="1227"/>
      <c r="X70" s="1227"/>
      <c r="Y70" s="1227"/>
      <c r="Z70" s="1227"/>
      <c r="AA70" s="139"/>
      <c r="AB70" s="139"/>
    </row>
    <row r="71" spans="1:28" x14ac:dyDescent="0.25">
      <c r="A71" s="1553">
        <f t="shared" si="7"/>
        <v>60</v>
      </c>
      <c r="B71" s="1546">
        <v>518</v>
      </c>
      <c r="C71" s="1547">
        <v>51896</v>
      </c>
      <c r="D71" s="1547" t="s">
        <v>1581</v>
      </c>
      <c r="E71" s="1548">
        <f t="shared" si="26"/>
        <v>73.473160000000007</v>
      </c>
      <c r="F71" s="1556">
        <f t="shared" si="33"/>
        <v>73473.16</v>
      </c>
      <c r="G71" s="1548">
        <f t="shared" si="21"/>
        <v>0</v>
      </c>
      <c r="H71" s="1550">
        <f t="shared" si="27"/>
        <v>0</v>
      </c>
      <c r="I71" s="1551">
        <f t="shared" si="28"/>
        <v>73.473160000000007</v>
      </c>
      <c r="J71" s="1552"/>
      <c r="K71" s="1822">
        <v>518</v>
      </c>
      <c r="L71" s="1822">
        <v>51896</v>
      </c>
      <c r="M71" s="1824">
        <v>73473.16</v>
      </c>
      <c r="N71" s="1822"/>
      <c r="O71" s="2215"/>
      <c r="P71" s="2219">
        <f t="shared" si="5"/>
        <v>1.8480559398344947E-4</v>
      </c>
      <c r="Q71" s="2219">
        <f t="shared" si="6"/>
        <v>0</v>
      </c>
      <c r="R71" s="1227"/>
      <c r="S71" s="1227"/>
      <c r="T71" s="139"/>
      <c r="U71" s="1227"/>
      <c r="V71" s="1227"/>
      <c r="W71" s="1227"/>
      <c r="X71" s="1227"/>
      <c r="Y71" s="1227"/>
      <c r="Z71" s="1227"/>
      <c r="AA71" s="139"/>
      <c r="AB71" s="139"/>
    </row>
    <row r="72" spans="1:28" x14ac:dyDescent="0.25">
      <c r="A72" s="1553">
        <f t="shared" si="7"/>
        <v>61</v>
      </c>
      <c r="B72" s="1546">
        <v>518</v>
      </c>
      <c r="C72" s="1547">
        <v>51897</v>
      </c>
      <c r="D72" s="1547" t="s">
        <v>1582</v>
      </c>
      <c r="E72" s="1548">
        <f t="shared" si="26"/>
        <v>3367.5127000000002</v>
      </c>
      <c r="F72" s="1556">
        <f t="shared" si="33"/>
        <v>3367512.7</v>
      </c>
      <c r="G72" s="1548">
        <f t="shared" si="21"/>
        <v>1421.4157499999999</v>
      </c>
      <c r="H72" s="1550">
        <f t="shared" si="27"/>
        <v>1421415.75</v>
      </c>
      <c r="I72" s="1551">
        <f t="shared" si="28"/>
        <v>4788.9284500000003</v>
      </c>
      <c r="J72" s="1552"/>
      <c r="K72" s="1822">
        <v>518</v>
      </c>
      <c r="L72" s="1822">
        <v>51897</v>
      </c>
      <c r="M72" s="1824">
        <v>3367512.7</v>
      </c>
      <c r="N72" s="1822">
        <v>51897</v>
      </c>
      <c r="O72" s="2215">
        <v>1421415.75</v>
      </c>
      <c r="P72" s="2219">
        <f t="shared" si="5"/>
        <v>8.4702384485750935E-3</v>
      </c>
      <c r="Q72" s="2219">
        <f t="shared" si="6"/>
        <v>3.1255706181146509E-2</v>
      </c>
      <c r="R72" s="1227"/>
      <c r="S72" s="1227"/>
      <c r="T72" s="139"/>
      <c r="U72" s="1227"/>
      <c r="V72" s="1227"/>
      <c r="W72" s="1227"/>
      <c r="X72" s="1227"/>
      <c r="Y72" s="1227"/>
      <c r="Z72" s="1227"/>
      <c r="AA72" s="139"/>
      <c r="AB72" s="139"/>
    </row>
    <row r="73" spans="1:28" x14ac:dyDescent="0.25">
      <c r="A73" s="1553">
        <f t="shared" si="7"/>
        <v>62</v>
      </c>
      <c r="B73" s="1546">
        <v>518</v>
      </c>
      <c r="C73" s="1547">
        <v>51898</v>
      </c>
      <c r="D73" s="1547" t="s">
        <v>1583</v>
      </c>
      <c r="E73" s="1548">
        <f t="shared" si="26"/>
        <v>646.38575000000003</v>
      </c>
      <c r="F73" s="1556">
        <f t="shared" si="33"/>
        <v>646385.75</v>
      </c>
      <c r="G73" s="1548">
        <f t="shared" si="21"/>
        <v>148.928</v>
      </c>
      <c r="H73" s="1550">
        <f t="shared" si="27"/>
        <v>148928</v>
      </c>
      <c r="I73" s="1551">
        <f t="shared" si="28"/>
        <v>795.31375000000003</v>
      </c>
      <c r="J73" s="1552"/>
      <c r="K73" s="1822">
        <v>518</v>
      </c>
      <c r="L73" s="1822">
        <v>51898</v>
      </c>
      <c r="M73" s="1824">
        <v>646385.75</v>
      </c>
      <c r="N73" s="1822">
        <v>51898</v>
      </c>
      <c r="O73" s="2215">
        <v>148928</v>
      </c>
      <c r="P73" s="2219">
        <f t="shared" si="5"/>
        <v>1.6258413612697136E-3</v>
      </c>
      <c r="Q73" s="2219">
        <f t="shared" si="6"/>
        <v>3.2747982496646654E-3</v>
      </c>
      <c r="R73" s="1227"/>
      <c r="S73" s="1227"/>
      <c r="T73" s="139"/>
      <c r="U73" s="1227"/>
      <c r="V73" s="1227"/>
      <c r="W73" s="1227"/>
      <c r="X73" s="1227"/>
      <c r="Y73" s="1227"/>
      <c r="Z73" s="1227"/>
      <c r="AA73" s="139"/>
      <c r="AB73" s="139"/>
    </row>
    <row r="74" spans="1:28" x14ac:dyDescent="0.25">
      <c r="A74" s="1553">
        <f t="shared" si="7"/>
        <v>63</v>
      </c>
      <c r="B74" s="1546">
        <v>518</v>
      </c>
      <c r="C74" s="1547">
        <v>518981</v>
      </c>
      <c r="D74" s="1547" t="s">
        <v>1584</v>
      </c>
      <c r="E74" s="1548">
        <f t="shared" si="26"/>
        <v>0</v>
      </c>
      <c r="F74" s="1556">
        <f t="shared" si="33"/>
        <v>0</v>
      </c>
      <c r="G74" s="1548">
        <f t="shared" si="21"/>
        <v>0</v>
      </c>
      <c r="H74" s="1550">
        <f t="shared" si="27"/>
        <v>0</v>
      </c>
      <c r="I74" s="1551">
        <f t="shared" si="28"/>
        <v>0</v>
      </c>
      <c r="J74" s="1552"/>
      <c r="K74" s="1822"/>
      <c r="L74" s="1822"/>
      <c r="M74" s="1823"/>
      <c r="N74" s="1822"/>
      <c r="O74" s="2215"/>
      <c r="P74" s="2219">
        <f t="shared" si="5"/>
        <v>0</v>
      </c>
      <c r="Q74" s="2219">
        <f t="shared" si="6"/>
        <v>0</v>
      </c>
      <c r="R74" s="1227"/>
      <c r="S74" s="1227"/>
      <c r="T74" s="139"/>
      <c r="U74" s="1227"/>
      <c r="V74" s="1227"/>
      <c r="W74" s="1227"/>
      <c r="X74" s="1227"/>
      <c r="Y74" s="1227"/>
      <c r="Z74" s="1227"/>
      <c r="AA74" s="139"/>
      <c r="AB74" s="139"/>
    </row>
    <row r="75" spans="1:28" x14ac:dyDescent="0.25">
      <c r="A75" s="1553">
        <f t="shared" si="7"/>
        <v>64</v>
      </c>
      <c r="B75" s="1546">
        <v>518</v>
      </c>
      <c r="C75" s="1566">
        <v>51899</v>
      </c>
      <c r="D75" s="1547" t="s">
        <v>1585</v>
      </c>
      <c r="E75" s="1548">
        <f t="shared" si="26"/>
        <v>15.3744</v>
      </c>
      <c r="F75" s="1556">
        <f t="shared" si="33"/>
        <v>15374.4</v>
      </c>
      <c r="G75" s="1548">
        <f t="shared" si="21"/>
        <v>0</v>
      </c>
      <c r="H75" s="1550">
        <f t="shared" si="27"/>
        <v>0</v>
      </c>
      <c r="I75" s="1551">
        <f t="shared" si="28"/>
        <v>15.3744</v>
      </c>
      <c r="J75" s="1552"/>
      <c r="K75" s="1546">
        <v>518</v>
      </c>
      <c r="L75" s="1566">
        <v>51899</v>
      </c>
      <c r="M75" s="1824">
        <v>15374.4</v>
      </c>
      <c r="N75" s="1822"/>
      <c r="O75" s="2215"/>
      <c r="P75" s="2219">
        <f t="shared" si="5"/>
        <v>3.8670925874688733E-5</v>
      </c>
      <c r="Q75" s="2219">
        <f t="shared" si="6"/>
        <v>0</v>
      </c>
      <c r="R75" s="1227"/>
      <c r="S75" s="1227"/>
      <c r="T75" s="139"/>
      <c r="U75" s="1227"/>
      <c r="V75" s="1227"/>
      <c r="W75" s="1227"/>
      <c r="X75" s="1227"/>
      <c r="Y75" s="1227"/>
      <c r="Z75" s="1227"/>
      <c r="AA75" s="139"/>
      <c r="AB75" s="139"/>
    </row>
    <row r="76" spans="1:28" x14ac:dyDescent="0.25">
      <c r="A76" s="1553">
        <f t="shared" si="7"/>
        <v>65</v>
      </c>
      <c r="B76" s="1546">
        <v>518</v>
      </c>
      <c r="C76" s="1566">
        <v>518990</v>
      </c>
      <c r="D76" s="1547" t="s">
        <v>1586</v>
      </c>
      <c r="E76" s="1548">
        <f t="shared" si="26"/>
        <v>265.68326999999999</v>
      </c>
      <c r="F76" s="1556">
        <f t="shared" si="33"/>
        <v>265683.27</v>
      </c>
      <c r="G76" s="1548">
        <f t="shared" si="21"/>
        <v>70.406679999999994</v>
      </c>
      <c r="H76" s="1550">
        <f t="shared" si="27"/>
        <v>70406.679999999993</v>
      </c>
      <c r="I76" s="1551">
        <f t="shared" si="28"/>
        <v>336.08994999999999</v>
      </c>
      <c r="J76" s="1552"/>
      <c r="K76" s="1822">
        <v>518</v>
      </c>
      <c r="L76" s="1822">
        <v>518990</v>
      </c>
      <c r="M76" s="1824">
        <v>265683.27</v>
      </c>
      <c r="N76" s="1822">
        <v>518990</v>
      </c>
      <c r="O76" s="2215">
        <v>70406.679999999993</v>
      </c>
      <c r="P76" s="2219">
        <f t="shared" si="5"/>
        <v>6.6826790250773451E-4</v>
      </c>
      <c r="Q76" s="2219">
        <f t="shared" si="6"/>
        <v>1.5481821580139411E-3</v>
      </c>
      <c r="R76" s="1227"/>
      <c r="S76" s="1227"/>
      <c r="T76" s="139"/>
      <c r="U76" s="1227"/>
      <c r="V76" s="1227"/>
      <c r="W76" s="1227"/>
      <c r="X76" s="1227"/>
      <c r="Y76" s="1227"/>
      <c r="Z76" s="1227"/>
      <c r="AA76" s="139"/>
      <c r="AB76" s="139"/>
    </row>
    <row r="77" spans="1:28" x14ac:dyDescent="0.25">
      <c r="A77" s="1553">
        <f t="shared" si="7"/>
        <v>66</v>
      </c>
      <c r="B77" s="1546">
        <v>518</v>
      </c>
      <c r="C77" s="1547">
        <v>518991</v>
      </c>
      <c r="D77" s="1547" t="s">
        <v>1587</v>
      </c>
      <c r="E77" s="1548">
        <f t="shared" si="26"/>
        <v>14.397200000000002</v>
      </c>
      <c r="F77" s="1556">
        <f t="shared" si="33"/>
        <v>14397.2</v>
      </c>
      <c r="G77" s="1548">
        <f t="shared" si="21"/>
        <v>97.866070000000008</v>
      </c>
      <c r="H77" s="1550">
        <f t="shared" si="27"/>
        <v>97866.07</v>
      </c>
      <c r="I77" s="1551">
        <f t="shared" si="28"/>
        <v>112.26327000000001</v>
      </c>
      <c r="J77" s="1552"/>
      <c r="K77" s="1822">
        <v>518</v>
      </c>
      <c r="L77" s="1822">
        <v>518991</v>
      </c>
      <c r="M77" s="1824">
        <v>14397.2</v>
      </c>
      <c r="N77" s="1822">
        <v>518991</v>
      </c>
      <c r="O77" s="2215">
        <v>97866.07</v>
      </c>
      <c r="P77" s="2219">
        <f t="shared" ref="P77:P142" si="34">E77/397570</f>
        <v>3.6212993938174412E-5</v>
      </c>
      <c r="Q77" s="2219">
        <f t="shared" ref="Q77:Q142" si="35">G77/45477</f>
        <v>2.1519904567143832E-3</v>
      </c>
      <c r="R77" s="1227"/>
      <c r="S77" s="1227"/>
      <c r="T77" s="139"/>
      <c r="U77" s="1227"/>
      <c r="V77" s="1227"/>
      <c r="W77" s="1227"/>
      <c r="X77" s="1227"/>
      <c r="Y77" s="1227"/>
      <c r="Z77" s="1227"/>
      <c r="AA77" s="139"/>
      <c r="AB77" s="139"/>
    </row>
    <row r="78" spans="1:28" x14ac:dyDescent="0.25">
      <c r="A78" s="1553">
        <f t="shared" ref="A78:A143" si="36">A77+1</f>
        <v>67</v>
      </c>
      <c r="B78" s="1546">
        <v>518</v>
      </c>
      <c r="C78" s="1547">
        <v>518992</v>
      </c>
      <c r="D78" s="1547" t="s">
        <v>1588</v>
      </c>
      <c r="E78" s="1548">
        <f t="shared" si="26"/>
        <v>1300.99515</v>
      </c>
      <c r="F78" s="1556">
        <f t="shared" si="33"/>
        <v>1300995.1499999999</v>
      </c>
      <c r="G78" s="1548">
        <f t="shared" si="21"/>
        <v>467.07</v>
      </c>
      <c r="H78" s="1550">
        <f t="shared" si="27"/>
        <v>467070</v>
      </c>
      <c r="I78" s="1551">
        <f t="shared" si="28"/>
        <v>1768.0651499999999</v>
      </c>
      <c r="J78" s="1552"/>
      <c r="K78" s="1822">
        <v>518</v>
      </c>
      <c r="L78" s="1822">
        <v>518992</v>
      </c>
      <c r="M78" s="1824">
        <v>1300995.1499999999</v>
      </c>
      <c r="N78" s="1822">
        <v>518992</v>
      </c>
      <c r="O78" s="2215">
        <v>467070</v>
      </c>
      <c r="P78" s="2219">
        <f t="shared" si="34"/>
        <v>3.2723675076087228E-3</v>
      </c>
      <c r="Q78" s="2219">
        <f t="shared" si="35"/>
        <v>1.0270466389603536E-2</v>
      </c>
      <c r="R78" s="1227"/>
      <c r="S78" s="1227"/>
      <c r="T78" s="139"/>
      <c r="U78" s="1227"/>
      <c r="V78" s="1227"/>
      <c r="W78" s="1227"/>
      <c r="X78" s="1227"/>
      <c r="Y78" s="1227"/>
      <c r="Z78" s="1227"/>
      <c r="AA78" s="139"/>
      <c r="AB78" s="139"/>
    </row>
    <row r="79" spans="1:28" x14ac:dyDescent="0.25">
      <c r="A79" s="1553">
        <f t="shared" si="36"/>
        <v>68</v>
      </c>
      <c r="B79" s="1546">
        <v>518</v>
      </c>
      <c r="C79" s="1547">
        <v>518993</v>
      </c>
      <c r="D79" s="1547" t="s">
        <v>1589</v>
      </c>
      <c r="E79" s="1548">
        <f t="shared" si="26"/>
        <v>101.68735000000001</v>
      </c>
      <c r="F79" s="1556">
        <f t="shared" si="33"/>
        <v>101687.35</v>
      </c>
      <c r="G79" s="1548">
        <f t="shared" si="21"/>
        <v>14.2407</v>
      </c>
      <c r="H79" s="1550">
        <f t="shared" si="27"/>
        <v>14240.7</v>
      </c>
      <c r="I79" s="1551">
        <f t="shared" si="28"/>
        <v>115.92805000000001</v>
      </c>
      <c r="J79" s="1552"/>
      <c r="K79" s="1822">
        <v>518</v>
      </c>
      <c r="L79" s="1822">
        <v>518993</v>
      </c>
      <c r="M79" s="1824">
        <v>101687.35</v>
      </c>
      <c r="N79" s="1822">
        <v>518993</v>
      </c>
      <c r="O79" s="2215">
        <v>14240.7</v>
      </c>
      <c r="P79" s="2219">
        <f t="shared" si="34"/>
        <v>2.5577219106069372E-4</v>
      </c>
      <c r="Q79" s="2219">
        <f t="shared" si="35"/>
        <v>3.1314070849000592E-4</v>
      </c>
      <c r="R79" s="1227"/>
      <c r="S79" s="1227"/>
      <c r="T79" s="139"/>
      <c r="U79" s="1227"/>
      <c r="V79" s="1227"/>
      <c r="W79" s="1227"/>
      <c r="X79" s="1227"/>
      <c r="Y79" s="1227"/>
      <c r="Z79" s="1227"/>
      <c r="AA79" s="139"/>
      <c r="AB79" s="139"/>
    </row>
    <row r="80" spans="1:28" x14ac:dyDescent="0.25">
      <c r="A80" s="1553">
        <f t="shared" si="36"/>
        <v>69</v>
      </c>
      <c r="B80" s="1546">
        <v>518</v>
      </c>
      <c r="C80" s="1547">
        <v>518994</v>
      </c>
      <c r="D80" s="1547" t="s">
        <v>1590</v>
      </c>
      <c r="E80" s="1548">
        <f t="shared" si="26"/>
        <v>1069.604</v>
      </c>
      <c r="F80" s="1556">
        <f t="shared" si="33"/>
        <v>1069604</v>
      </c>
      <c r="G80" s="1548">
        <f t="shared" si="21"/>
        <v>166.73877999999999</v>
      </c>
      <c r="H80" s="1550">
        <f t="shared" si="27"/>
        <v>166738.78</v>
      </c>
      <c r="I80" s="1551">
        <f t="shared" si="28"/>
        <v>1236.3427799999999</v>
      </c>
      <c r="J80" s="1552"/>
      <c r="K80" s="1822">
        <v>518</v>
      </c>
      <c r="L80" s="1822">
        <v>518994</v>
      </c>
      <c r="M80" s="1824">
        <v>1069604</v>
      </c>
      <c r="N80" s="1822">
        <v>518994</v>
      </c>
      <c r="O80" s="2215">
        <v>166738.78</v>
      </c>
      <c r="P80" s="2219">
        <f t="shared" si="34"/>
        <v>2.6903538999421485E-3</v>
      </c>
      <c r="Q80" s="2219">
        <f t="shared" si="35"/>
        <v>3.6664419376827846E-3</v>
      </c>
      <c r="R80" s="1227"/>
      <c r="S80" s="1227"/>
      <c r="T80" s="139"/>
      <c r="U80" s="1227"/>
      <c r="V80" s="1227"/>
      <c r="W80" s="1227"/>
      <c r="X80" s="1227"/>
      <c r="Y80" s="1227"/>
      <c r="Z80" s="1227"/>
      <c r="AA80" s="139"/>
      <c r="AB80" s="139"/>
    </row>
    <row r="81" spans="1:28" x14ac:dyDescent="0.25">
      <c r="A81" s="1553">
        <f t="shared" si="36"/>
        <v>70</v>
      </c>
      <c r="B81" s="1546">
        <v>518</v>
      </c>
      <c r="C81" s="1547">
        <v>518995</v>
      </c>
      <c r="D81" s="1547" t="s">
        <v>1591</v>
      </c>
      <c r="E81" s="1548">
        <f t="shared" si="26"/>
        <v>1040.70802</v>
      </c>
      <c r="F81" s="1556">
        <f t="shared" si="33"/>
        <v>1040708.02</v>
      </c>
      <c r="G81" s="1548">
        <f t="shared" si="21"/>
        <v>31.67746</v>
      </c>
      <c r="H81" s="1550">
        <f t="shared" si="27"/>
        <v>31677.46</v>
      </c>
      <c r="I81" s="1551">
        <f t="shared" si="28"/>
        <v>1072.3854800000001</v>
      </c>
      <c r="J81" s="1552"/>
      <c r="K81" s="1822">
        <v>518</v>
      </c>
      <c r="L81" s="1822">
        <v>518995</v>
      </c>
      <c r="M81" s="1824">
        <v>1040708.02</v>
      </c>
      <c r="N81" s="1822">
        <v>518995</v>
      </c>
      <c r="O81" s="2215">
        <v>31677.46</v>
      </c>
      <c r="P81" s="2219">
        <f t="shared" si="34"/>
        <v>2.6176724098900825E-3</v>
      </c>
      <c r="Q81" s="2219">
        <f t="shared" si="35"/>
        <v>6.9656001935044089E-4</v>
      </c>
      <c r="R81" s="1227"/>
      <c r="S81" s="1227"/>
      <c r="T81" s="139"/>
      <c r="U81" s="1227"/>
      <c r="V81" s="1227"/>
      <c r="W81" s="1227"/>
      <c r="X81" s="1227"/>
      <c r="Y81" s="1227"/>
      <c r="Z81" s="1227"/>
      <c r="AA81" s="139"/>
      <c r="AB81" s="139"/>
    </row>
    <row r="82" spans="1:28" x14ac:dyDescent="0.25">
      <c r="A82" s="1553">
        <f t="shared" si="36"/>
        <v>71</v>
      </c>
      <c r="B82" s="1546">
        <v>518</v>
      </c>
      <c r="C82" s="1547">
        <v>518996</v>
      </c>
      <c r="D82" s="1547" t="s">
        <v>1592</v>
      </c>
      <c r="E82" s="1548">
        <f t="shared" si="26"/>
        <v>747.11890000000005</v>
      </c>
      <c r="F82" s="1556">
        <f t="shared" si="33"/>
        <v>747118.9</v>
      </c>
      <c r="G82" s="1548">
        <f t="shared" si="21"/>
        <v>16.808019999999999</v>
      </c>
      <c r="H82" s="1550">
        <f t="shared" si="27"/>
        <v>16808.02</v>
      </c>
      <c r="I82" s="1551">
        <f t="shared" si="28"/>
        <v>763.92692000000011</v>
      </c>
      <c r="J82" s="1552"/>
      <c r="K82" s="1822">
        <v>518</v>
      </c>
      <c r="L82" s="1822">
        <v>518996</v>
      </c>
      <c r="M82" s="1824">
        <v>747118.9</v>
      </c>
      <c r="N82" s="1822">
        <v>518996</v>
      </c>
      <c r="O82" s="2215">
        <v>16808.02</v>
      </c>
      <c r="P82" s="2219">
        <f t="shared" si="34"/>
        <v>1.8792134718414368E-3</v>
      </c>
      <c r="Q82" s="2219">
        <f t="shared" si="35"/>
        <v>3.6959386063284736E-4</v>
      </c>
      <c r="R82" s="1227"/>
      <c r="S82" s="1227"/>
      <c r="T82" s="139"/>
      <c r="U82" s="1227"/>
      <c r="V82" s="1227"/>
      <c r="W82" s="1227"/>
      <c r="X82" s="1227"/>
      <c r="Y82" s="1227"/>
      <c r="Z82" s="1227"/>
      <c r="AA82" s="139"/>
      <c r="AB82" s="139"/>
    </row>
    <row r="83" spans="1:28" x14ac:dyDescent="0.25">
      <c r="A83" s="1553">
        <f t="shared" si="36"/>
        <v>72</v>
      </c>
      <c r="B83" s="1546">
        <v>518</v>
      </c>
      <c r="C83" s="1547">
        <v>518997</v>
      </c>
      <c r="D83" s="1547" t="s">
        <v>1593</v>
      </c>
      <c r="E83" s="1548">
        <f t="shared" si="26"/>
        <v>447.3</v>
      </c>
      <c r="F83" s="1556">
        <f t="shared" si="33"/>
        <v>447300</v>
      </c>
      <c r="G83" s="1548">
        <f t="shared" si="21"/>
        <v>171.73945999999998</v>
      </c>
      <c r="H83" s="1550">
        <f t="shared" si="27"/>
        <v>171739.46</v>
      </c>
      <c r="I83" s="1551">
        <f t="shared" si="28"/>
        <v>619.03945999999996</v>
      </c>
      <c r="J83" s="1552"/>
      <c r="K83" s="1822">
        <v>518</v>
      </c>
      <c r="L83" s="1822">
        <v>518997</v>
      </c>
      <c r="M83" s="1824">
        <v>447300</v>
      </c>
      <c r="N83" s="1822">
        <v>518997</v>
      </c>
      <c r="O83" s="2215">
        <v>171739.46</v>
      </c>
      <c r="P83" s="2219">
        <f t="shared" si="34"/>
        <v>1.1250848907110697E-3</v>
      </c>
      <c r="Q83" s="2219">
        <f t="shared" si="35"/>
        <v>3.7764025771268987E-3</v>
      </c>
      <c r="R83" s="1227"/>
      <c r="S83" s="1227"/>
      <c r="T83" s="139"/>
      <c r="U83" s="1227"/>
      <c r="V83" s="1227"/>
      <c r="W83" s="1227"/>
      <c r="X83" s="1227"/>
      <c r="Y83" s="1227"/>
      <c r="Z83" s="1227"/>
      <c r="AA83" s="139"/>
      <c r="AB83" s="139"/>
    </row>
    <row r="84" spans="1:28" x14ac:dyDescent="0.25">
      <c r="A84" s="1553">
        <f t="shared" si="36"/>
        <v>73</v>
      </c>
      <c r="B84" s="1546">
        <v>518</v>
      </c>
      <c r="C84" s="1547">
        <v>518998</v>
      </c>
      <c r="D84" s="1547" t="s">
        <v>1594</v>
      </c>
      <c r="E84" s="1548">
        <f t="shared" si="26"/>
        <v>790.57104000000004</v>
      </c>
      <c r="F84" s="1556">
        <f t="shared" si="33"/>
        <v>790571.04</v>
      </c>
      <c r="G84" s="1548">
        <f t="shared" si="21"/>
        <v>379.86180000000002</v>
      </c>
      <c r="H84" s="1550">
        <f t="shared" si="27"/>
        <v>379861.8</v>
      </c>
      <c r="I84" s="1551">
        <f t="shared" si="28"/>
        <v>1170.4328399999999</v>
      </c>
      <c r="J84" s="1552"/>
      <c r="K84" s="1822">
        <v>518</v>
      </c>
      <c r="L84" s="1822">
        <v>518998</v>
      </c>
      <c r="M84" s="1824">
        <v>790571.04</v>
      </c>
      <c r="N84" s="1822">
        <v>518998</v>
      </c>
      <c r="O84" s="2215">
        <v>379861.8</v>
      </c>
      <c r="P84" s="2219">
        <f t="shared" si="34"/>
        <v>1.988507784792615E-3</v>
      </c>
      <c r="Q84" s="2219">
        <f t="shared" si="35"/>
        <v>8.3528333003496276E-3</v>
      </c>
      <c r="R84" s="1227"/>
      <c r="S84" s="1227"/>
      <c r="T84" s="139"/>
      <c r="U84" s="1227"/>
      <c r="V84" s="1227"/>
      <c r="W84" s="1227"/>
      <c r="X84" s="1227"/>
      <c r="Y84" s="1227"/>
      <c r="Z84" s="1227"/>
      <c r="AA84" s="139"/>
      <c r="AB84" s="139"/>
    </row>
    <row r="85" spans="1:28" x14ac:dyDescent="0.25">
      <c r="A85" s="1553">
        <f t="shared" si="36"/>
        <v>74</v>
      </c>
      <c r="B85" s="1546">
        <v>518</v>
      </c>
      <c r="C85" s="1547">
        <v>518999</v>
      </c>
      <c r="D85" s="1547" t="s">
        <v>1595</v>
      </c>
      <c r="E85" s="1548">
        <f t="shared" si="26"/>
        <v>179.56432000000001</v>
      </c>
      <c r="F85" s="1556">
        <f t="shared" si="33"/>
        <v>179564.32</v>
      </c>
      <c r="G85" s="1548">
        <f t="shared" si="21"/>
        <v>0.60520000000000007</v>
      </c>
      <c r="H85" s="1550">
        <f t="shared" si="27"/>
        <v>605.20000000000005</v>
      </c>
      <c r="I85" s="1551">
        <f t="shared" si="28"/>
        <v>180.16952000000001</v>
      </c>
      <c r="J85" s="1552"/>
      <c r="K85" s="1822">
        <v>518</v>
      </c>
      <c r="L85" s="1822">
        <v>518999</v>
      </c>
      <c r="M85" s="1824">
        <v>179564.32</v>
      </c>
      <c r="N85" s="1822">
        <v>518999</v>
      </c>
      <c r="O85" s="2215">
        <v>605.20000000000005</v>
      </c>
      <c r="P85" s="2219">
        <f t="shared" si="34"/>
        <v>4.5165460170536008E-4</v>
      </c>
      <c r="Q85" s="2219">
        <f t="shared" si="35"/>
        <v>1.3307825933988611E-5</v>
      </c>
      <c r="R85" s="1227"/>
      <c r="S85" s="1227"/>
      <c r="T85" s="139"/>
      <c r="U85" s="1227"/>
      <c r="V85" s="1227"/>
      <c r="W85" s="1227"/>
      <c r="X85" s="1227"/>
      <c r="Y85" s="1227"/>
      <c r="Z85" s="1227"/>
      <c r="AA85" s="139"/>
      <c r="AB85" s="139"/>
    </row>
    <row r="86" spans="1:28" s="139" customFormat="1" x14ac:dyDescent="0.25">
      <c r="A86" s="1553">
        <f t="shared" si="36"/>
        <v>75</v>
      </c>
      <c r="B86" s="1828">
        <v>518</v>
      </c>
      <c r="C86" s="1657">
        <v>5189991</v>
      </c>
      <c r="D86" s="1658" t="s">
        <v>1830</v>
      </c>
      <c r="E86" s="1548">
        <f t="shared" ref="E86" si="37">F86/1000</f>
        <v>1.47403</v>
      </c>
      <c r="F86" s="1556">
        <f t="shared" si="33"/>
        <v>1474.03</v>
      </c>
      <c r="G86" s="1548">
        <f t="shared" ref="G86" si="38">H86/1000</f>
        <v>0</v>
      </c>
      <c r="H86" s="1550">
        <f t="shared" si="27"/>
        <v>0</v>
      </c>
      <c r="I86" s="1551">
        <f t="shared" ref="I86" si="39">E86+G86</f>
        <v>1.47403</v>
      </c>
      <c r="J86" s="1552"/>
      <c r="K86" s="1822">
        <v>518</v>
      </c>
      <c r="L86" s="1822">
        <v>5189991</v>
      </c>
      <c r="M86" s="1824">
        <v>1474.03</v>
      </c>
      <c r="N86" s="1822"/>
      <c r="O86" s="2215"/>
      <c r="P86" s="2219">
        <f t="shared" si="34"/>
        <v>3.7075986618708655E-6</v>
      </c>
      <c r="Q86" s="2219">
        <f t="shared" si="35"/>
        <v>0</v>
      </c>
      <c r="R86" s="1227"/>
      <c r="S86" s="1227"/>
      <c r="U86" s="1227"/>
      <c r="V86" s="1227"/>
      <c r="W86" s="1227"/>
      <c r="X86" s="1227"/>
      <c r="Y86" s="1227"/>
      <c r="Z86" s="1227"/>
    </row>
    <row r="87" spans="1:28" x14ac:dyDescent="0.25">
      <c r="A87" s="2199">
        <f t="shared" si="36"/>
        <v>76</v>
      </c>
      <c r="B87" s="1621">
        <v>518</v>
      </c>
      <c r="C87" s="1622"/>
      <c r="D87" s="1622"/>
      <c r="E87" s="1623">
        <f>SUM(E41:E85)</f>
        <v>60634.425380000008</v>
      </c>
      <c r="F87" s="2238">
        <f>SUM(F41:F85)</f>
        <v>60634425.38000001</v>
      </c>
      <c r="G87" s="1623">
        <f>SUM(G41:G85)</f>
        <v>16200.637920000001</v>
      </c>
      <c r="H87" s="1625">
        <f>SUM(H41:H85)</f>
        <v>16200637.92</v>
      </c>
      <c r="I87" s="1626">
        <f>SUM(I41:I85)</f>
        <v>76835.06329999998</v>
      </c>
      <c r="J87" s="2239"/>
      <c r="K87" s="2240"/>
      <c r="L87" s="2240"/>
      <c r="M87" s="2241"/>
      <c r="N87" s="2240"/>
      <c r="O87" s="2242"/>
      <c r="P87" s="2243">
        <f t="shared" si="34"/>
        <v>0.1525125773574465</v>
      </c>
      <c r="Q87" s="2243">
        <f t="shared" si="35"/>
        <v>0.35623805264199487</v>
      </c>
      <c r="R87" s="1227"/>
      <c r="S87" s="1227"/>
      <c r="T87" s="139"/>
      <c r="U87" s="1227"/>
      <c r="V87" s="1227"/>
      <c r="W87" s="1227"/>
      <c r="X87" s="1227"/>
      <c r="Y87" s="1227"/>
      <c r="Z87" s="1227"/>
      <c r="AA87" s="139"/>
      <c r="AB87" s="139"/>
    </row>
    <row r="88" spans="1:28" x14ac:dyDescent="0.25">
      <c r="A88" s="1553">
        <f t="shared" si="36"/>
        <v>77</v>
      </c>
      <c r="B88" s="1546">
        <v>521</v>
      </c>
      <c r="C88" s="1547">
        <v>5211</v>
      </c>
      <c r="D88" s="1547" t="s">
        <v>1596</v>
      </c>
      <c r="E88" s="1548">
        <f t="shared" ref="E88:E90" si="40">F88/1000</f>
        <v>166364.62400000001</v>
      </c>
      <c r="F88" s="1556">
        <f>M88</f>
        <v>166364624</v>
      </c>
      <c r="G88" s="1548">
        <f t="shared" ref="G88:G90" si="41">H88/1000</f>
        <v>13065.204</v>
      </c>
      <c r="H88" s="1550">
        <f>O88</f>
        <v>13065204</v>
      </c>
      <c r="I88" s="1551">
        <f t="shared" si="28"/>
        <v>179429.82800000001</v>
      </c>
      <c r="J88" s="1552"/>
      <c r="K88" s="1822">
        <v>521</v>
      </c>
      <c r="L88" s="1822">
        <v>5211</v>
      </c>
      <c r="M88" s="1824">
        <v>166364624</v>
      </c>
      <c r="N88" s="1822">
        <v>5211</v>
      </c>
      <c r="O88" s="2215">
        <v>13065204</v>
      </c>
      <c r="P88" s="2219">
        <f t="shared" si="34"/>
        <v>0.41845366602107809</v>
      </c>
      <c r="Q88" s="2219">
        <f t="shared" si="35"/>
        <v>0.28729256547265652</v>
      </c>
      <c r="R88" s="1227"/>
      <c r="S88" s="1227"/>
      <c r="T88" s="139"/>
      <c r="U88" s="1227"/>
      <c r="V88" s="1227"/>
      <c r="W88" s="1227"/>
      <c r="X88" s="1227"/>
      <c r="Y88" s="1227"/>
      <c r="Z88" s="1227"/>
      <c r="AA88" s="139"/>
      <c r="AB88" s="139"/>
    </row>
    <row r="89" spans="1:28" x14ac:dyDescent="0.25">
      <c r="A89" s="1553">
        <f t="shared" si="36"/>
        <v>78</v>
      </c>
      <c r="B89" s="1546">
        <v>521</v>
      </c>
      <c r="C89" s="1547">
        <v>52112</v>
      </c>
      <c r="D89" s="1547" t="s">
        <v>1597</v>
      </c>
      <c r="E89" s="1548">
        <f t="shared" si="40"/>
        <v>17918.701000000001</v>
      </c>
      <c r="F89" s="1556">
        <f t="shared" ref="F89:F90" si="42">M89</f>
        <v>17918701</v>
      </c>
      <c r="G89" s="1548">
        <f t="shared" si="41"/>
        <v>1302.1990000000001</v>
      </c>
      <c r="H89" s="1550">
        <f t="shared" ref="H89:H91" si="43">O89</f>
        <v>1302199</v>
      </c>
      <c r="I89" s="1551">
        <f t="shared" si="28"/>
        <v>19220.900000000001</v>
      </c>
      <c r="J89" s="1552"/>
      <c r="K89" s="1822">
        <v>521</v>
      </c>
      <c r="L89" s="1822">
        <v>52112</v>
      </c>
      <c r="M89" s="1824">
        <v>17918701</v>
      </c>
      <c r="N89" s="1822">
        <v>52112</v>
      </c>
      <c r="O89" s="2215">
        <v>1302199</v>
      </c>
      <c r="P89" s="2219">
        <f t="shared" si="34"/>
        <v>4.5070556128480523E-2</v>
      </c>
      <c r="Q89" s="2219">
        <f t="shared" si="35"/>
        <v>2.863423268905161E-2</v>
      </c>
      <c r="R89" s="1227"/>
      <c r="S89" s="1227"/>
      <c r="T89" s="139"/>
      <c r="U89" s="1227"/>
      <c r="V89" s="1227"/>
      <c r="W89" s="1227"/>
      <c r="X89" s="1227"/>
      <c r="Y89" s="1227"/>
      <c r="Z89" s="1227"/>
      <c r="AA89" s="139"/>
      <c r="AB89" s="139"/>
    </row>
    <row r="90" spans="1:28" x14ac:dyDescent="0.25">
      <c r="A90" s="1553">
        <f t="shared" si="36"/>
        <v>79</v>
      </c>
      <c r="B90" s="1546">
        <v>521</v>
      </c>
      <c r="C90" s="1547">
        <v>52113</v>
      </c>
      <c r="D90" s="1547" t="s">
        <v>1598</v>
      </c>
      <c r="E90" s="1548">
        <f t="shared" si="40"/>
        <v>181.74600000000001</v>
      </c>
      <c r="F90" s="1556">
        <f t="shared" si="42"/>
        <v>181746</v>
      </c>
      <c r="G90" s="1548">
        <f t="shared" si="41"/>
        <v>1.3089999999999999</v>
      </c>
      <c r="H90" s="1550">
        <f t="shared" si="43"/>
        <v>1309</v>
      </c>
      <c r="I90" s="1551">
        <f t="shared" si="28"/>
        <v>183.05500000000001</v>
      </c>
      <c r="J90" s="1552"/>
      <c r="K90" s="1822">
        <v>521</v>
      </c>
      <c r="L90" s="1822">
        <v>52113</v>
      </c>
      <c r="M90" s="1824">
        <v>181746</v>
      </c>
      <c r="N90" s="1822">
        <v>52113</v>
      </c>
      <c r="O90" s="2215">
        <v>1309</v>
      </c>
      <c r="P90" s="2219">
        <f t="shared" si="34"/>
        <v>4.5714213849133489E-4</v>
      </c>
      <c r="Q90" s="2219">
        <f t="shared" si="35"/>
        <v>2.8783780812278734E-5</v>
      </c>
      <c r="R90" s="1227"/>
      <c r="S90" s="1227"/>
      <c r="T90" s="139"/>
      <c r="U90" s="1227"/>
      <c r="V90" s="1227"/>
      <c r="W90" s="1227"/>
      <c r="X90" s="1227"/>
      <c r="Y90" s="1227"/>
      <c r="Z90" s="1227"/>
      <c r="AA90" s="139"/>
      <c r="AB90" s="139"/>
    </row>
    <row r="91" spans="1:28" s="139" customFormat="1" x14ac:dyDescent="0.25">
      <c r="A91" s="1553">
        <f t="shared" si="36"/>
        <v>80</v>
      </c>
      <c r="B91" s="1546">
        <v>521</v>
      </c>
      <c r="C91" s="1547">
        <v>52114</v>
      </c>
      <c r="D91" s="1658" t="s">
        <v>1831</v>
      </c>
      <c r="E91" s="1548">
        <f t="shared" ref="E91" si="44">F91/1000</f>
        <v>0.872</v>
      </c>
      <c r="F91" s="1556">
        <f t="shared" ref="F91" si="45">M91</f>
        <v>872</v>
      </c>
      <c r="G91" s="1548">
        <f t="shared" ref="G91" si="46">H91/1000</f>
        <v>0</v>
      </c>
      <c r="H91" s="1550">
        <f t="shared" si="43"/>
        <v>0</v>
      </c>
      <c r="I91" s="1551">
        <f t="shared" ref="I91" si="47">E91+G91</f>
        <v>0.872</v>
      </c>
      <c r="J91" s="1552"/>
      <c r="K91" s="1822">
        <v>521</v>
      </c>
      <c r="L91" s="1822">
        <v>52114</v>
      </c>
      <c r="M91" s="1824">
        <v>872</v>
      </c>
      <c r="N91" s="1822"/>
      <c r="O91" s="2215"/>
      <c r="P91" s="2219">
        <f t="shared" si="34"/>
        <v>2.1933244460095077E-6</v>
      </c>
      <c r="Q91" s="2219">
        <f t="shared" si="35"/>
        <v>0</v>
      </c>
      <c r="R91" s="1227"/>
      <c r="S91" s="1227"/>
      <c r="U91" s="1227"/>
      <c r="V91" s="1227"/>
      <c r="W91" s="1227"/>
      <c r="X91" s="1227"/>
      <c r="Y91" s="1227"/>
      <c r="Z91" s="1227"/>
    </row>
    <row r="92" spans="1:28" x14ac:dyDescent="0.25">
      <c r="A92" s="2199">
        <f t="shared" si="36"/>
        <v>81</v>
      </c>
      <c r="B92" s="1621">
        <v>521</v>
      </c>
      <c r="C92" s="1622"/>
      <c r="D92" s="1622"/>
      <c r="E92" s="1623">
        <f>SUM(E88:E90)</f>
        <v>184465.07100000003</v>
      </c>
      <c r="F92" s="2238">
        <f>SUM(F88:F90)</f>
        <v>184465071</v>
      </c>
      <c r="G92" s="1623">
        <f>SUM(G88:G90)</f>
        <v>14368.712</v>
      </c>
      <c r="H92" s="1625">
        <f>SUM(H88:H90)</f>
        <v>14368712</v>
      </c>
      <c r="I92" s="1626">
        <f>SUM(I88:I90)</f>
        <v>198833.783</v>
      </c>
      <c r="J92" s="2239"/>
      <c r="K92" s="2240"/>
      <c r="L92" s="2240"/>
      <c r="M92" s="2241"/>
      <c r="N92" s="2240"/>
      <c r="O92" s="2242"/>
      <c r="P92" s="2243">
        <f t="shared" si="34"/>
        <v>0.46398136428804998</v>
      </c>
      <c r="Q92" s="2243">
        <f t="shared" si="35"/>
        <v>0.31595558194252038</v>
      </c>
      <c r="R92" s="1227"/>
      <c r="S92" s="1227"/>
      <c r="T92" s="139"/>
      <c r="U92" s="1227"/>
      <c r="V92" s="1227"/>
      <c r="W92" s="1227"/>
      <c r="X92" s="1227"/>
      <c r="Y92" s="1227"/>
      <c r="Z92" s="1227"/>
      <c r="AA92" s="139"/>
      <c r="AB92" s="139"/>
    </row>
    <row r="93" spans="1:28" x14ac:dyDescent="0.25">
      <c r="A93" s="1553">
        <f t="shared" si="36"/>
        <v>82</v>
      </c>
      <c r="B93" s="1572">
        <v>524</v>
      </c>
      <c r="C93" s="1573">
        <v>5241</v>
      </c>
      <c r="D93" s="1573" t="s">
        <v>1599</v>
      </c>
      <c r="E93" s="1574">
        <f t="shared" ref="E93:E94" si="48">F93/1000</f>
        <v>42448.953450000001</v>
      </c>
      <c r="F93" s="1556">
        <f t="shared" ref="F93:F94" si="49">M93</f>
        <v>42448953.450000003</v>
      </c>
      <c r="G93" s="1574">
        <f t="shared" ref="G93:G94" si="50">H93/1000</f>
        <v>3186.8480499999996</v>
      </c>
      <c r="H93" s="1550">
        <f>O93</f>
        <v>3186848.05</v>
      </c>
      <c r="I93" s="1551">
        <f t="shared" si="28"/>
        <v>45635.801500000001</v>
      </c>
      <c r="J93" s="1552"/>
      <c r="K93" s="1822">
        <v>524</v>
      </c>
      <c r="L93" s="1822">
        <v>5241</v>
      </c>
      <c r="M93" s="1824">
        <v>42448953.450000003</v>
      </c>
      <c r="N93" s="1822">
        <v>5241</v>
      </c>
      <c r="O93" s="2215">
        <v>3186848.05</v>
      </c>
      <c r="P93" s="2219">
        <f t="shared" si="34"/>
        <v>0.10677101755665669</v>
      </c>
      <c r="Q93" s="2219">
        <f t="shared" si="35"/>
        <v>7.0076039536468973E-2</v>
      </c>
      <c r="R93" s="1227"/>
      <c r="S93" s="1227"/>
      <c r="T93" s="139"/>
      <c r="U93" s="1227"/>
      <c r="V93" s="1227"/>
      <c r="W93" s="1227"/>
      <c r="X93" s="1227"/>
      <c r="Y93" s="1227"/>
      <c r="Z93" s="1227"/>
      <c r="AA93" s="139"/>
      <c r="AB93" s="139"/>
    </row>
    <row r="94" spans="1:28" x14ac:dyDescent="0.25">
      <c r="A94" s="1553">
        <f t="shared" si="36"/>
        <v>83</v>
      </c>
      <c r="B94" s="1572">
        <v>524</v>
      </c>
      <c r="C94" s="1573">
        <v>52412</v>
      </c>
      <c r="D94" s="1573" t="s">
        <v>1600</v>
      </c>
      <c r="E94" s="1574">
        <f t="shared" si="48"/>
        <v>15310.062519999999</v>
      </c>
      <c r="F94" s="1556">
        <f t="shared" si="49"/>
        <v>15310062.52</v>
      </c>
      <c r="G94" s="1574">
        <f t="shared" si="50"/>
        <v>1181.96048</v>
      </c>
      <c r="H94" s="1550">
        <f>O94</f>
        <v>1181960.48</v>
      </c>
      <c r="I94" s="1551">
        <f t="shared" si="28"/>
        <v>16492.023000000001</v>
      </c>
      <c r="J94" s="1552"/>
      <c r="K94" s="1822">
        <v>524</v>
      </c>
      <c r="L94" s="1822">
        <v>52412</v>
      </c>
      <c r="M94" s="1824">
        <v>15310062.52</v>
      </c>
      <c r="N94" s="1822">
        <v>52412</v>
      </c>
      <c r="O94" s="2215">
        <v>1181960.48</v>
      </c>
      <c r="P94" s="2219">
        <f t="shared" si="34"/>
        <v>3.8509099076892116E-2</v>
      </c>
      <c r="Q94" s="2219">
        <f t="shared" si="35"/>
        <v>2.5990291356070099E-2</v>
      </c>
      <c r="R94" s="1227"/>
      <c r="S94" s="1227"/>
      <c r="T94" s="139"/>
      <c r="U94" s="1227"/>
      <c r="V94" s="1227"/>
      <c r="W94" s="1227"/>
      <c r="X94" s="1227"/>
      <c r="Y94" s="1227"/>
      <c r="Z94" s="1227"/>
      <c r="AA94" s="139"/>
      <c r="AB94" s="139"/>
    </row>
    <row r="95" spans="1:28" x14ac:dyDescent="0.25">
      <c r="A95" s="2199">
        <f t="shared" si="36"/>
        <v>84</v>
      </c>
      <c r="B95" s="1621">
        <v>524</v>
      </c>
      <c r="C95" s="1622"/>
      <c r="D95" s="1622"/>
      <c r="E95" s="1623">
        <f>SUM(E93:E94)</f>
        <v>57759.01597</v>
      </c>
      <c r="F95" s="2238">
        <f>SUM(F93:F94)</f>
        <v>57759015.969999999</v>
      </c>
      <c r="G95" s="1623">
        <f>SUM(G93:G94)</f>
        <v>4368.8085299999993</v>
      </c>
      <c r="H95" s="1625">
        <f>SUM(H93:H94)</f>
        <v>4368808.5299999993</v>
      </c>
      <c r="I95" s="1626">
        <f>SUM(I93:I94)</f>
        <v>62127.824500000002</v>
      </c>
      <c r="J95" s="2239"/>
      <c r="K95" s="2240"/>
      <c r="L95" s="2240"/>
      <c r="M95" s="2241"/>
      <c r="N95" s="2240"/>
      <c r="O95" s="2242"/>
      <c r="P95" s="2243">
        <f t="shared" si="34"/>
        <v>0.14528011663354881</v>
      </c>
      <c r="Q95" s="2243">
        <f t="shared" si="35"/>
        <v>9.6066330892539076E-2</v>
      </c>
      <c r="R95" s="1227"/>
      <c r="S95" s="1227"/>
      <c r="T95" s="139"/>
      <c r="U95" s="1227"/>
      <c r="V95" s="1227"/>
      <c r="W95" s="1227"/>
      <c r="X95" s="1227"/>
      <c r="Y95" s="1227"/>
      <c r="Z95" s="1227"/>
      <c r="AA95" s="139"/>
      <c r="AB95" s="139"/>
    </row>
    <row r="96" spans="1:28" s="139" customFormat="1" x14ac:dyDescent="0.25">
      <c r="A96" s="2199"/>
      <c r="B96" s="1621"/>
      <c r="C96" s="1622"/>
      <c r="D96" s="1622"/>
      <c r="E96" s="1623">
        <f>E92+E95</f>
        <v>242224.08697000003</v>
      </c>
      <c r="F96" s="2238"/>
      <c r="G96" s="1623">
        <f>G92+G95</f>
        <v>18737.520529999998</v>
      </c>
      <c r="H96" s="1625"/>
      <c r="I96" s="1626"/>
      <c r="J96" s="2239"/>
      <c r="K96" s="2240"/>
      <c r="L96" s="2240"/>
      <c r="M96" s="2241"/>
      <c r="N96" s="2240"/>
      <c r="O96" s="2242"/>
      <c r="P96" s="2248">
        <f t="shared" ref="P96" si="51">E96/397570</f>
        <v>0.60926148092159882</v>
      </c>
      <c r="Q96" s="2248">
        <f t="shared" ref="Q96" si="52">G96/45477</f>
        <v>0.41202191283505946</v>
      </c>
      <c r="R96" s="1227"/>
      <c r="S96" s="1227"/>
      <c r="U96" s="1227"/>
      <c r="V96" s="1227"/>
      <c r="W96" s="1227"/>
      <c r="X96" s="1227"/>
      <c r="Y96" s="1227"/>
      <c r="Z96" s="1227"/>
    </row>
    <row r="97" spans="1:28" x14ac:dyDescent="0.25">
      <c r="A97" s="1553">
        <f>A95+1</f>
        <v>85</v>
      </c>
      <c r="B97" s="1568">
        <v>531</v>
      </c>
      <c r="C97" s="1569">
        <v>531</v>
      </c>
      <c r="D97" s="1569" t="s">
        <v>1601</v>
      </c>
      <c r="E97" s="1570">
        <f t="shared" ref="E97:E102" si="53">F97/1000</f>
        <v>31.382000000000001</v>
      </c>
      <c r="F97" s="1561">
        <f>M97</f>
        <v>31382</v>
      </c>
      <c r="G97" s="1570">
        <f t="shared" ref="G97:G102" si="54">H97/1000</f>
        <v>0</v>
      </c>
      <c r="H97" s="1562">
        <v>0</v>
      </c>
      <c r="I97" s="1571">
        <f>E97+G97</f>
        <v>31.382000000000001</v>
      </c>
      <c r="J97" s="1564"/>
      <c r="K97" s="1822">
        <v>531</v>
      </c>
      <c r="L97" s="1822">
        <v>531</v>
      </c>
      <c r="M97" s="1824">
        <v>31382</v>
      </c>
      <c r="N97" s="1822"/>
      <c r="O97" s="2215"/>
      <c r="P97" s="2219">
        <f t="shared" si="34"/>
        <v>7.8934527253062364E-5</v>
      </c>
      <c r="Q97" s="2219">
        <f t="shared" si="35"/>
        <v>0</v>
      </c>
      <c r="R97" s="1227"/>
      <c r="S97" s="1227"/>
      <c r="T97" s="139"/>
      <c r="U97" s="1227"/>
      <c r="V97" s="1227"/>
      <c r="W97" s="1227"/>
      <c r="X97" s="1227"/>
      <c r="Y97" s="1227"/>
      <c r="Z97" s="1227"/>
      <c r="AA97" s="139"/>
      <c r="AB97" s="139"/>
    </row>
    <row r="98" spans="1:28" x14ac:dyDescent="0.25">
      <c r="A98" s="1553">
        <f t="shared" si="36"/>
        <v>86</v>
      </c>
      <c r="B98" s="1568">
        <v>532</v>
      </c>
      <c r="C98" s="1569">
        <v>532</v>
      </c>
      <c r="D98" s="1569" t="s">
        <v>1602</v>
      </c>
      <c r="E98" s="1570">
        <f t="shared" si="53"/>
        <v>19.093</v>
      </c>
      <c r="F98" s="1561">
        <f>M98</f>
        <v>19093</v>
      </c>
      <c r="G98" s="1570">
        <f t="shared" si="54"/>
        <v>0</v>
      </c>
      <c r="H98" s="1562">
        <v>0</v>
      </c>
      <c r="I98" s="1571">
        <f>E98+G98</f>
        <v>19.093</v>
      </c>
      <c r="J98" s="1564"/>
      <c r="K98" s="1822">
        <v>532</v>
      </c>
      <c r="L98" s="1822">
        <v>532</v>
      </c>
      <c r="M98" s="1824">
        <v>19093</v>
      </c>
      <c r="N98" s="1822"/>
      <c r="O98" s="2215"/>
      <c r="P98" s="2219">
        <f t="shared" si="34"/>
        <v>4.802424730236185E-5</v>
      </c>
      <c r="Q98" s="2219">
        <f t="shared" si="35"/>
        <v>0</v>
      </c>
      <c r="R98" s="1227"/>
      <c r="S98" s="1227"/>
      <c r="T98" s="139"/>
      <c r="U98" s="1227"/>
      <c r="V98" s="1227"/>
      <c r="W98" s="1227"/>
      <c r="X98" s="1227"/>
      <c r="Y98" s="1227"/>
      <c r="Z98" s="1227"/>
      <c r="AA98" s="139"/>
      <c r="AB98" s="139"/>
    </row>
    <row r="99" spans="1:28" x14ac:dyDescent="0.25">
      <c r="A99" s="1553">
        <f t="shared" si="36"/>
        <v>87</v>
      </c>
      <c r="B99" s="1572">
        <v>538</v>
      </c>
      <c r="C99" s="1573">
        <v>538</v>
      </c>
      <c r="D99" s="1573" t="s">
        <v>1603</v>
      </c>
      <c r="E99" s="1574">
        <f t="shared" si="53"/>
        <v>10.57</v>
      </c>
      <c r="F99" s="1556">
        <f>M99</f>
        <v>10570</v>
      </c>
      <c r="G99" s="1574">
        <f t="shared" si="54"/>
        <v>0</v>
      </c>
      <c r="H99" s="1557">
        <f>O99</f>
        <v>0</v>
      </c>
      <c r="I99" s="1551">
        <f t="shared" ref="I99:I103" si="55">E99+G99</f>
        <v>10.57</v>
      </c>
      <c r="J99" s="1552"/>
      <c r="K99" s="1822">
        <v>538</v>
      </c>
      <c r="L99" s="1822">
        <v>538</v>
      </c>
      <c r="M99" s="1824">
        <v>10570</v>
      </c>
      <c r="N99" s="1822"/>
      <c r="O99" s="2215"/>
      <c r="P99" s="2219">
        <f t="shared" si="34"/>
        <v>2.6586513066881304E-5</v>
      </c>
      <c r="Q99" s="2219">
        <f t="shared" si="35"/>
        <v>0</v>
      </c>
      <c r="R99" s="1227"/>
      <c r="S99" s="1227"/>
      <c r="T99" s="139"/>
      <c r="U99" s="1227"/>
      <c r="V99" s="1227"/>
      <c r="W99" s="1227"/>
      <c r="X99" s="1227"/>
      <c r="Y99" s="1227"/>
      <c r="Z99" s="1227"/>
      <c r="AA99" s="139"/>
      <c r="AB99" s="139"/>
    </row>
    <row r="100" spans="1:28" x14ac:dyDescent="0.25">
      <c r="A100" s="1553">
        <f t="shared" si="36"/>
        <v>88</v>
      </c>
      <c r="B100" s="1572">
        <v>538</v>
      </c>
      <c r="C100" s="1573">
        <v>5382</v>
      </c>
      <c r="D100" s="1573" t="s">
        <v>1604</v>
      </c>
      <c r="E100" s="1574">
        <f t="shared" si="53"/>
        <v>0</v>
      </c>
      <c r="F100" s="1556">
        <f t="shared" ref="F100:F102" si="56">M100</f>
        <v>0</v>
      </c>
      <c r="G100" s="1574">
        <f t="shared" si="54"/>
        <v>53.774000000000001</v>
      </c>
      <c r="H100" s="1557">
        <f t="shared" ref="H100:H102" si="57">O100</f>
        <v>53774</v>
      </c>
      <c r="I100" s="1551">
        <f t="shared" si="55"/>
        <v>53.774000000000001</v>
      </c>
      <c r="J100" s="1552"/>
      <c r="K100" s="1837">
        <v>538</v>
      </c>
      <c r="L100" s="1838">
        <v>5382</v>
      </c>
      <c r="M100" s="1824"/>
      <c r="N100" s="1822">
        <v>5382</v>
      </c>
      <c r="O100" s="2215">
        <v>53774</v>
      </c>
      <c r="P100" s="2219">
        <f t="shared" si="34"/>
        <v>0</v>
      </c>
      <c r="Q100" s="2219">
        <f t="shared" si="35"/>
        <v>1.182443872726873E-3</v>
      </c>
      <c r="R100" s="1227"/>
      <c r="S100" s="1227"/>
      <c r="T100" s="139"/>
      <c r="U100" s="1227"/>
      <c r="V100" s="1227"/>
      <c r="W100" s="1227"/>
      <c r="X100" s="1227"/>
      <c r="Y100" s="1227"/>
      <c r="Z100" s="1227"/>
      <c r="AA100" s="139"/>
      <c r="AB100" s="139"/>
    </row>
    <row r="101" spans="1:28" x14ac:dyDescent="0.25">
      <c r="A101" s="1553">
        <f t="shared" si="36"/>
        <v>89</v>
      </c>
      <c r="B101" s="1572">
        <v>538</v>
      </c>
      <c r="C101" s="1573">
        <v>5384</v>
      </c>
      <c r="D101" s="1573" t="s">
        <v>1605</v>
      </c>
      <c r="E101" s="1574">
        <f t="shared" si="53"/>
        <v>8.6140000000000008</v>
      </c>
      <c r="F101" s="1556">
        <f t="shared" si="56"/>
        <v>8614</v>
      </c>
      <c r="G101" s="1574">
        <f t="shared" si="54"/>
        <v>10.59</v>
      </c>
      <c r="H101" s="1557">
        <f t="shared" si="57"/>
        <v>10590</v>
      </c>
      <c r="I101" s="1551">
        <f t="shared" si="55"/>
        <v>19.204000000000001</v>
      </c>
      <c r="J101" s="1552"/>
      <c r="K101" s="1822">
        <v>538</v>
      </c>
      <c r="L101" s="1822">
        <v>5384</v>
      </c>
      <c r="M101" s="1824">
        <v>8614</v>
      </c>
      <c r="N101" s="1822">
        <v>5384</v>
      </c>
      <c r="O101" s="2215">
        <v>10590</v>
      </c>
      <c r="P101" s="2219">
        <f t="shared" si="34"/>
        <v>2.1666624745327867E-5</v>
      </c>
      <c r="Q101" s="2219">
        <f t="shared" si="35"/>
        <v>2.3286496470743451E-4</v>
      </c>
      <c r="R101" s="1227"/>
      <c r="S101" s="1227"/>
      <c r="T101" s="139"/>
      <c r="U101" s="1227"/>
      <c r="V101" s="1227"/>
      <c r="W101" s="1227"/>
      <c r="X101" s="1227"/>
      <c r="Y101" s="1227"/>
      <c r="Z101" s="1227"/>
      <c r="AA101" s="139"/>
      <c r="AB101" s="139"/>
    </row>
    <row r="102" spans="1:28" x14ac:dyDescent="0.25">
      <c r="A102" s="1553">
        <f t="shared" si="36"/>
        <v>90</v>
      </c>
      <c r="B102" s="1572">
        <v>538</v>
      </c>
      <c r="C102" s="1573">
        <v>5385</v>
      </c>
      <c r="D102" s="1573" t="s">
        <v>1606</v>
      </c>
      <c r="E102" s="1574">
        <f t="shared" si="53"/>
        <v>372.33</v>
      </c>
      <c r="F102" s="1556">
        <f t="shared" si="56"/>
        <v>372330</v>
      </c>
      <c r="G102" s="1574">
        <f t="shared" si="54"/>
        <v>0</v>
      </c>
      <c r="H102" s="1557">
        <f t="shared" si="57"/>
        <v>0</v>
      </c>
      <c r="I102" s="1551">
        <f t="shared" si="55"/>
        <v>372.33</v>
      </c>
      <c r="J102" s="1552"/>
      <c r="K102" s="1822">
        <v>538</v>
      </c>
      <c r="L102" s="1822">
        <v>5385</v>
      </c>
      <c r="M102" s="1824">
        <v>372330</v>
      </c>
      <c r="N102" s="1822"/>
      <c r="O102" s="2215"/>
      <c r="P102" s="2219">
        <f t="shared" si="34"/>
        <v>9.3651432452146791E-4</v>
      </c>
      <c r="Q102" s="2219">
        <f t="shared" si="35"/>
        <v>0</v>
      </c>
      <c r="R102" s="1227"/>
      <c r="S102" s="1227"/>
      <c r="T102" s="139"/>
      <c r="U102" s="1227"/>
      <c r="V102" s="1227"/>
      <c r="W102" s="1227"/>
      <c r="X102" s="1227"/>
      <c r="Y102" s="1227"/>
      <c r="Z102" s="1227"/>
      <c r="AA102" s="139"/>
      <c r="AB102" s="139"/>
    </row>
    <row r="103" spans="1:28" x14ac:dyDescent="0.25">
      <c r="A103" s="1553">
        <f t="shared" si="36"/>
        <v>91</v>
      </c>
      <c r="B103" s="1568">
        <v>538</v>
      </c>
      <c r="C103" s="1569"/>
      <c r="D103" s="1569"/>
      <c r="E103" s="1570">
        <f>SUM(E99:E102)</f>
        <v>391.51400000000001</v>
      </c>
      <c r="F103" s="1561">
        <f>SUM(F99:F102)</f>
        <v>391514</v>
      </c>
      <c r="G103" s="1570">
        <f>SUM(G99:G102)</f>
        <v>64.364000000000004</v>
      </c>
      <c r="H103" s="1562">
        <f>SUM(H99:H102)</f>
        <v>64364</v>
      </c>
      <c r="I103" s="1571">
        <f t="shared" si="55"/>
        <v>455.87800000000004</v>
      </c>
      <c r="J103" s="1564"/>
      <c r="K103" s="1822"/>
      <c r="L103" s="1822"/>
      <c r="M103" s="1823"/>
      <c r="N103" s="1822"/>
      <c r="O103" s="2215"/>
      <c r="P103" s="2219">
        <f t="shared" si="34"/>
        <v>9.8476746233367709E-4</v>
      </c>
      <c r="Q103" s="2219">
        <f t="shared" si="35"/>
        <v>1.4153088374343076E-3</v>
      </c>
      <c r="R103" s="1227"/>
      <c r="S103" s="1227"/>
      <c r="T103" s="139"/>
      <c r="U103" s="1227"/>
      <c r="V103" s="1227"/>
      <c r="W103" s="1227"/>
      <c r="X103" s="1227"/>
      <c r="Y103" s="1227"/>
      <c r="Z103" s="1227"/>
      <c r="AA103" s="139"/>
      <c r="AB103" s="139"/>
    </row>
    <row r="104" spans="1:28" x14ac:dyDescent="0.25">
      <c r="A104" s="1553">
        <f t="shared" si="36"/>
        <v>92</v>
      </c>
      <c r="B104" s="1568">
        <v>541</v>
      </c>
      <c r="C104" s="1569">
        <v>541</v>
      </c>
      <c r="D104" s="1569" t="s">
        <v>1607</v>
      </c>
      <c r="E104" s="1570">
        <f t="shared" ref="E104:E108" si="58">F104/1000</f>
        <v>0</v>
      </c>
      <c r="F104" s="1561">
        <f>M104</f>
        <v>0</v>
      </c>
      <c r="G104" s="1570">
        <f t="shared" ref="G104:G108" si="59">H104/1000</f>
        <v>0</v>
      </c>
      <c r="H104" s="1835">
        <f>O104</f>
        <v>0</v>
      </c>
      <c r="I104" s="1571">
        <f>E104+G104</f>
        <v>0</v>
      </c>
      <c r="J104" s="1577"/>
      <c r="K104" s="1822"/>
      <c r="L104" s="1822"/>
      <c r="M104" s="1823"/>
      <c r="N104" s="1822"/>
      <c r="O104" s="2215"/>
      <c r="P104" s="2219">
        <f t="shared" si="34"/>
        <v>0</v>
      </c>
      <c r="Q104" s="2219">
        <f t="shared" si="35"/>
        <v>0</v>
      </c>
      <c r="R104" s="1227"/>
      <c r="S104" s="1227"/>
      <c r="T104" s="139"/>
      <c r="U104" s="1227"/>
      <c r="V104" s="1227"/>
      <c r="W104" s="1227"/>
      <c r="X104" s="1227"/>
      <c r="Y104" s="1227"/>
      <c r="Z104" s="1227"/>
      <c r="AA104" s="139"/>
      <c r="AB104" s="139"/>
    </row>
    <row r="105" spans="1:28" x14ac:dyDescent="0.25">
      <c r="A105" s="1553">
        <f t="shared" si="36"/>
        <v>93</v>
      </c>
      <c r="B105" s="1568">
        <v>542</v>
      </c>
      <c r="C105" s="1569">
        <v>542</v>
      </c>
      <c r="D105" s="1569" t="s">
        <v>1608</v>
      </c>
      <c r="E105" s="1570">
        <f t="shared" si="58"/>
        <v>85.008929999999992</v>
      </c>
      <c r="F105" s="1561">
        <f t="shared" ref="F105:F106" si="60">M105</f>
        <v>85008.93</v>
      </c>
      <c r="G105" s="1570">
        <f t="shared" si="59"/>
        <v>1.0521199999999999</v>
      </c>
      <c r="H105" s="1835">
        <f t="shared" ref="H105:H106" si="61">O105</f>
        <v>1052.1199999999999</v>
      </c>
      <c r="I105" s="1571">
        <f>E105+G105</f>
        <v>86.061049999999994</v>
      </c>
      <c r="J105" s="1564"/>
      <c r="K105" s="1822">
        <v>542</v>
      </c>
      <c r="L105" s="1822">
        <v>542</v>
      </c>
      <c r="M105" s="1824">
        <v>85008.93</v>
      </c>
      <c r="N105" s="1822">
        <v>542</v>
      </c>
      <c r="O105" s="2215">
        <v>1052.1199999999999</v>
      </c>
      <c r="P105" s="2219">
        <f t="shared" si="34"/>
        <v>2.1382128933269612E-4</v>
      </c>
      <c r="Q105" s="2219">
        <f t="shared" si="35"/>
        <v>2.3135211205664399E-5</v>
      </c>
      <c r="R105" s="1227"/>
      <c r="S105" s="1227"/>
      <c r="T105" s="139"/>
      <c r="U105" s="1227"/>
      <c r="V105" s="1227"/>
      <c r="W105" s="1227"/>
      <c r="X105" s="1227"/>
      <c r="Y105" s="1227"/>
      <c r="Z105" s="1227"/>
      <c r="AA105" s="139"/>
      <c r="AB105" s="139"/>
    </row>
    <row r="106" spans="1:28" x14ac:dyDescent="0.25">
      <c r="A106" s="1553">
        <f t="shared" si="36"/>
        <v>94</v>
      </c>
      <c r="B106" s="1568">
        <v>545</v>
      </c>
      <c r="C106" s="1569">
        <v>545</v>
      </c>
      <c r="D106" s="1569" t="s">
        <v>1609</v>
      </c>
      <c r="E106" s="1570">
        <f t="shared" si="58"/>
        <v>489.65171999999995</v>
      </c>
      <c r="F106" s="1561">
        <f t="shared" si="60"/>
        <v>489651.72</v>
      </c>
      <c r="G106" s="1570">
        <f t="shared" si="59"/>
        <v>208.91815</v>
      </c>
      <c r="H106" s="1835">
        <f t="shared" si="61"/>
        <v>208918.15</v>
      </c>
      <c r="I106" s="1571">
        <f>E106+G106</f>
        <v>698.56986999999992</v>
      </c>
      <c r="J106" s="1564"/>
      <c r="K106" s="1822">
        <v>545</v>
      </c>
      <c r="L106" s="1822">
        <v>545</v>
      </c>
      <c r="M106" s="1824">
        <v>489651.72</v>
      </c>
      <c r="N106" s="1822">
        <v>545</v>
      </c>
      <c r="O106" s="2215">
        <v>208918.15</v>
      </c>
      <c r="P106" s="2219">
        <f t="shared" si="34"/>
        <v>1.2316113388837185E-3</v>
      </c>
      <c r="Q106" s="2219">
        <f t="shared" si="35"/>
        <v>4.5939298986300767E-3</v>
      </c>
      <c r="R106" s="1227"/>
      <c r="S106" s="1227"/>
      <c r="T106" s="139"/>
      <c r="U106" s="1227"/>
      <c r="V106" s="1227"/>
      <c r="W106" s="1227"/>
      <c r="X106" s="1227"/>
      <c r="Y106" s="1227"/>
      <c r="Z106" s="1227"/>
      <c r="AA106" s="139"/>
      <c r="AB106" s="139"/>
    </row>
    <row r="107" spans="1:28" x14ac:dyDescent="0.25">
      <c r="A107" s="1553">
        <f t="shared" si="36"/>
        <v>95</v>
      </c>
      <c r="B107" s="1572">
        <v>548</v>
      </c>
      <c r="C107" s="1573">
        <v>548</v>
      </c>
      <c r="D107" s="1573" t="s">
        <v>1610</v>
      </c>
      <c r="E107" s="1574">
        <f t="shared" si="58"/>
        <v>55.2498</v>
      </c>
      <c r="F107" s="1556">
        <f>M107</f>
        <v>55249.8</v>
      </c>
      <c r="G107" s="1574">
        <f t="shared" si="59"/>
        <v>0</v>
      </c>
      <c r="H107" s="1557">
        <f>O107</f>
        <v>0</v>
      </c>
      <c r="I107" s="1551">
        <f t="shared" ref="I107:I108" si="62">E107+G107</f>
        <v>55.2498</v>
      </c>
      <c r="J107" s="1552"/>
      <c r="K107" s="1822">
        <v>548</v>
      </c>
      <c r="L107" s="1822">
        <v>5483</v>
      </c>
      <c r="M107" s="1824">
        <v>55249.8</v>
      </c>
      <c r="N107" s="1822"/>
      <c r="O107" s="2215"/>
      <c r="P107" s="2219">
        <f t="shared" si="34"/>
        <v>1.3896873506552305E-4</v>
      </c>
      <c r="Q107" s="2219">
        <f t="shared" si="35"/>
        <v>0</v>
      </c>
      <c r="R107" s="1227"/>
      <c r="S107" s="1227"/>
      <c r="T107" s="139"/>
      <c r="U107" s="1227"/>
      <c r="V107" s="1227"/>
      <c r="W107" s="1227"/>
      <c r="X107" s="1227"/>
      <c r="Y107" s="1227"/>
      <c r="Z107" s="1227"/>
      <c r="AA107" s="139"/>
      <c r="AB107" s="139"/>
    </row>
    <row r="108" spans="1:28" x14ac:dyDescent="0.25">
      <c r="A108" s="1553">
        <f t="shared" si="36"/>
        <v>96</v>
      </c>
      <c r="B108" s="1572">
        <v>548</v>
      </c>
      <c r="C108" s="1573">
        <v>5483</v>
      </c>
      <c r="D108" s="1573" t="s">
        <v>1611</v>
      </c>
      <c r="E108" s="1574">
        <f t="shared" si="58"/>
        <v>0</v>
      </c>
      <c r="F108" s="1556">
        <f>M108</f>
        <v>0</v>
      </c>
      <c r="G108" s="1574">
        <f t="shared" si="59"/>
        <v>0</v>
      </c>
      <c r="H108" s="1557">
        <f>O108</f>
        <v>0</v>
      </c>
      <c r="I108" s="1551">
        <f t="shared" si="62"/>
        <v>0</v>
      </c>
      <c r="J108" s="1552"/>
      <c r="K108" s="1822"/>
      <c r="L108" s="1822"/>
      <c r="M108" s="1823"/>
      <c r="N108" s="1822"/>
      <c r="O108" s="2215"/>
      <c r="P108" s="2219">
        <f t="shared" si="34"/>
        <v>0</v>
      </c>
      <c r="Q108" s="2219">
        <f t="shared" si="35"/>
        <v>0</v>
      </c>
      <c r="R108" s="1227"/>
      <c r="S108" s="1227"/>
      <c r="T108" s="139"/>
      <c r="U108" s="1227"/>
      <c r="V108" s="1227"/>
      <c r="W108" s="1227"/>
      <c r="X108" s="1227"/>
      <c r="Y108" s="1227"/>
      <c r="Z108" s="1227"/>
      <c r="AA108" s="139"/>
      <c r="AB108" s="139"/>
    </row>
    <row r="109" spans="1:28" x14ac:dyDescent="0.25">
      <c r="A109" s="1553">
        <f t="shared" si="36"/>
        <v>97</v>
      </c>
      <c r="B109" s="1568">
        <v>548</v>
      </c>
      <c r="C109" s="1569"/>
      <c r="D109" s="1569"/>
      <c r="E109" s="1570">
        <f>SUM(E107:E108)</f>
        <v>55.2498</v>
      </c>
      <c r="F109" s="1561">
        <f>SUM(F107:F108)</f>
        <v>55249.8</v>
      </c>
      <c r="G109" s="1570">
        <f>SUM(G107:G108)</f>
        <v>0</v>
      </c>
      <c r="H109" s="1562">
        <f>SUM(H107:H108)</f>
        <v>0</v>
      </c>
      <c r="I109" s="1571">
        <f>SUM(I107:I108)</f>
        <v>55.2498</v>
      </c>
      <c r="J109" s="1577"/>
      <c r="K109" s="1822"/>
      <c r="L109" s="1822"/>
      <c r="M109" s="1823"/>
      <c r="N109" s="1822"/>
      <c r="O109" s="2215"/>
      <c r="P109" s="2219">
        <f t="shared" si="34"/>
        <v>1.3896873506552305E-4</v>
      </c>
      <c r="Q109" s="2219">
        <f t="shared" si="35"/>
        <v>0</v>
      </c>
      <c r="R109" s="1227"/>
      <c r="S109" s="1227"/>
      <c r="T109" s="139"/>
      <c r="U109" s="1227"/>
      <c r="V109" s="1227"/>
      <c r="W109" s="1227"/>
      <c r="X109" s="1227"/>
      <c r="Y109" s="1227"/>
      <c r="Z109" s="1227"/>
      <c r="AA109" s="139"/>
      <c r="AB109" s="139"/>
    </row>
    <row r="110" spans="1:28" x14ac:dyDescent="0.25">
      <c r="A110" s="1553">
        <f t="shared" si="36"/>
        <v>98</v>
      </c>
      <c r="B110" s="1572">
        <v>549</v>
      </c>
      <c r="C110" s="1573">
        <v>54910</v>
      </c>
      <c r="D110" s="1573" t="s">
        <v>1612</v>
      </c>
      <c r="E110" s="1574">
        <f t="shared" ref="E110:E111" si="63">F110/1000</f>
        <v>1596.308</v>
      </c>
      <c r="F110" s="1556">
        <f>M110</f>
        <v>1596308</v>
      </c>
      <c r="G110" s="1574">
        <f t="shared" ref="G110:G138" si="64">H110/1000</f>
        <v>199.32883999999999</v>
      </c>
      <c r="H110" s="1550">
        <f>O110</f>
        <v>199328.84</v>
      </c>
      <c r="I110" s="1551">
        <f t="shared" ref="I110:I142" si="65">E110+G110</f>
        <v>1795.6368399999999</v>
      </c>
      <c r="J110" s="1552"/>
      <c r="K110" s="1822">
        <v>549</v>
      </c>
      <c r="L110" s="1822">
        <v>54910</v>
      </c>
      <c r="M110" s="1824">
        <v>1596308</v>
      </c>
      <c r="N110" s="1822">
        <v>54910</v>
      </c>
      <c r="O110" s="2215">
        <v>199328.84</v>
      </c>
      <c r="P110" s="2219">
        <f t="shared" si="34"/>
        <v>4.015162109817139E-3</v>
      </c>
      <c r="Q110" s="2219">
        <f t="shared" si="35"/>
        <v>4.3830692437935659E-3</v>
      </c>
      <c r="R110" s="1227"/>
      <c r="S110" s="1227"/>
      <c r="T110" s="139"/>
      <c r="U110" s="1227"/>
      <c r="V110" s="1227"/>
      <c r="W110" s="1227"/>
      <c r="X110" s="1227"/>
      <c r="Y110" s="1227"/>
      <c r="Z110" s="1227"/>
      <c r="AA110" s="139"/>
      <c r="AB110" s="139"/>
    </row>
    <row r="111" spans="1:28" x14ac:dyDescent="0.25">
      <c r="A111" s="1553">
        <f t="shared" si="36"/>
        <v>99</v>
      </c>
      <c r="B111" s="1572">
        <v>549</v>
      </c>
      <c r="C111" s="1573">
        <v>54921</v>
      </c>
      <c r="D111" s="1573" t="s">
        <v>1613</v>
      </c>
      <c r="E111" s="1574">
        <f t="shared" si="63"/>
        <v>714.50063999999998</v>
      </c>
      <c r="F111" s="1556">
        <f t="shared" ref="F111:F138" si="66">M111</f>
        <v>714500.64</v>
      </c>
      <c r="G111" s="1574">
        <f t="shared" si="64"/>
        <v>55.158000000000001</v>
      </c>
      <c r="H111" s="1550">
        <f t="shared" ref="H111:H138" si="67">O111</f>
        <v>55158</v>
      </c>
      <c r="I111" s="1551">
        <f t="shared" si="65"/>
        <v>769.65863999999999</v>
      </c>
      <c r="J111" s="1552"/>
      <c r="K111" s="1822">
        <v>549</v>
      </c>
      <c r="L111" s="1822">
        <v>54921</v>
      </c>
      <c r="M111" s="1824">
        <v>714500.64</v>
      </c>
      <c r="N111" s="1822">
        <v>54921</v>
      </c>
      <c r="O111" s="2215">
        <v>55158</v>
      </c>
      <c r="P111" s="2219">
        <f t="shared" si="34"/>
        <v>1.7971694041300902E-3</v>
      </c>
      <c r="Q111" s="2219">
        <f t="shared" si="35"/>
        <v>1.2128768388416124E-3</v>
      </c>
      <c r="R111" s="1227"/>
      <c r="S111" s="1227"/>
      <c r="T111" s="139"/>
      <c r="U111" s="1227"/>
      <c r="V111" s="1227"/>
      <c r="W111" s="1227"/>
      <c r="X111" s="1227"/>
      <c r="Y111" s="1227"/>
      <c r="Z111" s="1227"/>
      <c r="AA111" s="139"/>
      <c r="AB111" s="139"/>
    </row>
    <row r="112" spans="1:28" x14ac:dyDescent="0.25">
      <c r="A112" s="1553">
        <f t="shared" si="36"/>
        <v>100</v>
      </c>
      <c r="B112" s="1572">
        <v>549</v>
      </c>
      <c r="C112" s="1573">
        <v>54932</v>
      </c>
      <c r="D112" s="1573" t="s">
        <v>1614</v>
      </c>
      <c r="E112" s="1574">
        <f>F112/1000</f>
        <v>1124.5</v>
      </c>
      <c r="F112" s="1556">
        <f t="shared" si="66"/>
        <v>1124500</v>
      </c>
      <c r="G112" s="1574">
        <f t="shared" si="64"/>
        <v>4.5330000000000004</v>
      </c>
      <c r="H112" s="1550">
        <f t="shared" si="67"/>
        <v>4533</v>
      </c>
      <c r="I112" s="1551">
        <f t="shared" si="65"/>
        <v>1129.0329999999999</v>
      </c>
      <c r="J112" s="1552"/>
      <c r="K112" s="1822">
        <v>549</v>
      </c>
      <c r="L112" s="1822">
        <v>54932</v>
      </c>
      <c r="M112" s="1824">
        <v>1124500</v>
      </c>
      <c r="N112" s="1822">
        <v>54932</v>
      </c>
      <c r="O112" s="2215">
        <v>4533</v>
      </c>
      <c r="P112" s="2219">
        <f t="shared" si="34"/>
        <v>2.8284327288276277E-3</v>
      </c>
      <c r="Q112" s="2219">
        <f t="shared" si="35"/>
        <v>9.9676759680717732E-5</v>
      </c>
      <c r="R112" s="1227"/>
      <c r="S112" s="1227"/>
      <c r="T112" s="139"/>
      <c r="U112" s="1227"/>
      <c r="V112" s="1227"/>
      <c r="W112" s="1227"/>
      <c r="X112" s="1227"/>
      <c r="Y112" s="1227"/>
      <c r="Z112" s="1227"/>
      <c r="AA112" s="139"/>
      <c r="AB112" s="139"/>
    </row>
    <row r="113" spans="1:32" x14ac:dyDescent="0.25">
      <c r="A113" s="1553">
        <f t="shared" si="36"/>
        <v>101</v>
      </c>
      <c r="B113" s="1572">
        <v>549</v>
      </c>
      <c r="C113" s="1573">
        <v>54933</v>
      </c>
      <c r="D113" s="1573" t="s">
        <v>1615</v>
      </c>
      <c r="E113" s="1574">
        <f t="shared" ref="E113:E138" si="68">F113/1000</f>
        <v>78.279200000000003</v>
      </c>
      <c r="F113" s="1556">
        <f t="shared" si="66"/>
        <v>78279.199999999997</v>
      </c>
      <c r="G113" s="1574">
        <f t="shared" si="64"/>
        <v>0</v>
      </c>
      <c r="H113" s="1550">
        <f t="shared" si="67"/>
        <v>0</v>
      </c>
      <c r="I113" s="1551">
        <f t="shared" si="65"/>
        <v>78.279200000000003</v>
      </c>
      <c r="J113" s="1552"/>
      <c r="K113" s="1822">
        <v>549</v>
      </c>
      <c r="L113" s="1822">
        <v>54933</v>
      </c>
      <c r="M113" s="1824">
        <v>78279.199999999997</v>
      </c>
      <c r="N113" s="1822"/>
      <c r="O113" s="2215"/>
      <c r="P113" s="2219">
        <f t="shared" si="34"/>
        <v>1.9689413185099481E-4</v>
      </c>
      <c r="Q113" s="2219">
        <f t="shared" si="35"/>
        <v>0</v>
      </c>
      <c r="R113" s="1227"/>
      <c r="S113" s="1227"/>
      <c r="T113" s="139"/>
      <c r="U113" s="1830" t="s">
        <v>1420</v>
      </c>
      <c r="V113" s="1227"/>
      <c r="W113" s="1227"/>
      <c r="X113" s="1227"/>
      <c r="Y113" s="1227"/>
      <c r="Z113" s="1227"/>
      <c r="AA113" s="139"/>
      <c r="AB113" s="139"/>
    </row>
    <row r="114" spans="1:32" x14ac:dyDescent="0.25">
      <c r="A114" s="1553">
        <f t="shared" si="36"/>
        <v>102</v>
      </c>
      <c r="B114" s="1572">
        <v>549</v>
      </c>
      <c r="C114" s="1573">
        <v>549445</v>
      </c>
      <c r="D114" s="1578" t="s">
        <v>1430</v>
      </c>
      <c r="E114" s="1602">
        <f t="shared" si="68"/>
        <v>310</v>
      </c>
      <c r="F114" s="1556">
        <f t="shared" si="66"/>
        <v>310000</v>
      </c>
      <c r="G114" s="1574">
        <f t="shared" si="64"/>
        <v>0</v>
      </c>
      <c r="H114" s="1550">
        <f t="shared" si="67"/>
        <v>0</v>
      </c>
      <c r="I114" s="1551">
        <f t="shared" si="65"/>
        <v>310</v>
      </c>
      <c r="J114" s="1552"/>
      <c r="K114" s="1822">
        <v>549</v>
      </c>
      <c r="L114" s="1822">
        <v>549445</v>
      </c>
      <c r="M114" s="1824">
        <v>310000</v>
      </c>
      <c r="N114" s="1822"/>
      <c r="O114" s="2215"/>
      <c r="P114" s="2243">
        <f t="shared" si="34"/>
        <v>7.7973690167769199E-4</v>
      </c>
      <c r="Q114" s="2219">
        <f t="shared" si="35"/>
        <v>0</v>
      </c>
      <c r="R114" s="1579"/>
      <c r="S114" s="1572">
        <v>549</v>
      </c>
      <c r="T114" s="1573">
        <v>549445</v>
      </c>
      <c r="U114" s="1578" t="s">
        <v>1430</v>
      </c>
      <c r="V114" s="1574">
        <f t="shared" ref="V114:V129" si="69">W114/1000</f>
        <v>310</v>
      </c>
      <c r="W114" s="1824">
        <v>310000</v>
      </c>
      <c r="X114" s="1574">
        <f t="shared" ref="X114:X127" si="70">Y114/1000</f>
        <v>0</v>
      </c>
      <c r="Y114" s="1550">
        <f t="shared" ref="Y114:Y127" si="71">AF114</f>
        <v>0</v>
      </c>
      <c r="Z114" s="1551">
        <f t="shared" ref="Z114:Z127" si="72">V114+X114</f>
        <v>310</v>
      </c>
      <c r="AA114" s="1552"/>
      <c r="AB114" s="1822">
        <v>549</v>
      </c>
      <c r="AC114" s="1822">
        <v>549445</v>
      </c>
      <c r="AD114" s="1824">
        <v>310000</v>
      </c>
      <c r="AE114" s="1822"/>
      <c r="AF114" s="1839"/>
    </row>
    <row r="115" spans="1:32" x14ac:dyDescent="0.25">
      <c r="A115" s="1553">
        <f t="shared" si="36"/>
        <v>103</v>
      </c>
      <c r="B115" s="1572">
        <v>549</v>
      </c>
      <c r="C115" s="1573">
        <v>549446</v>
      </c>
      <c r="D115" s="1578" t="s">
        <v>1434</v>
      </c>
      <c r="E115" s="1602">
        <f t="shared" si="68"/>
        <v>2687.0859999999998</v>
      </c>
      <c r="F115" s="1556">
        <f t="shared" si="66"/>
        <v>2687086</v>
      </c>
      <c r="G115" s="1574">
        <f t="shared" si="64"/>
        <v>0</v>
      </c>
      <c r="H115" s="1550">
        <f t="shared" si="67"/>
        <v>0</v>
      </c>
      <c r="I115" s="1551">
        <f t="shared" si="65"/>
        <v>2687.0859999999998</v>
      </c>
      <c r="J115" s="1552"/>
      <c r="K115" s="1822">
        <v>549</v>
      </c>
      <c r="L115" s="1822">
        <v>549446</v>
      </c>
      <c r="M115" s="1824">
        <v>2687086</v>
      </c>
      <c r="N115" s="1822"/>
      <c r="O115" s="2215"/>
      <c r="P115" s="2243">
        <f t="shared" si="34"/>
        <v>6.7587745554242018E-3</v>
      </c>
      <c r="Q115" s="2219">
        <f t="shared" si="35"/>
        <v>0</v>
      </c>
      <c r="R115" s="1579"/>
      <c r="S115" s="1572">
        <v>549</v>
      </c>
      <c r="T115" s="1573">
        <v>549446</v>
      </c>
      <c r="U115" s="1578" t="s">
        <v>1434</v>
      </c>
      <c r="V115" s="1574">
        <f t="shared" si="69"/>
        <v>2687.0859999999998</v>
      </c>
      <c r="W115" s="1824">
        <v>2687086</v>
      </c>
      <c r="X115" s="1574">
        <f t="shared" si="70"/>
        <v>0</v>
      </c>
      <c r="Y115" s="1550">
        <f t="shared" si="71"/>
        <v>0</v>
      </c>
      <c r="Z115" s="1551">
        <f t="shared" si="72"/>
        <v>2687.0859999999998</v>
      </c>
      <c r="AA115" s="1552"/>
      <c r="AB115" s="1822">
        <v>549</v>
      </c>
      <c r="AC115" s="1822">
        <v>549446</v>
      </c>
      <c r="AD115" s="1824">
        <v>2687086</v>
      </c>
      <c r="AE115" s="1822"/>
      <c r="AF115" s="1839"/>
    </row>
    <row r="116" spans="1:32" x14ac:dyDescent="0.25">
      <c r="A116" s="1553">
        <f t="shared" si="36"/>
        <v>104</v>
      </c>
      <c r="B116" s="1572">
        <v>549</v>
      </c>
      <c r="C116" s="1573">
        <v>549447</v>
      </c>
      <c r="D116" s="1578" t="s">
        <v>1616</v>
      </c>
      <c r="E116" s="1602">
        <f t="shared" si="68"/>
        <v>0</v>
      </c>
      <c r="F116" s="1556">
        <f t="shared" si="66"/>
        <v>0</v>
      </c>
      <c r="G116" s="1574">
        <f t="shared" si="64"/>
        <v>0</v>
      </c>
      <c r="H116" s="1550">
        <f t="shared" si="67"/>
        <v>0</v>
      </c>
      <c r="I116" s="1551">
        <f t="shared" si="65"/>
        <v>0</v>
      </c>
      <c r="J116" s="1552"/>
      <c r="K116" s="1822"/>
      <c r="L116" s="1822"/>
      <c r="M116" s="1823"/>
      <c r="N116" s="1822"/>
      <c r="O116" s="2215"/>
      <c r="P116" s="2243">
        <f t="shared" si="34"/>
        <v>0</v>
      </c>
      <c r="Q116" s="2219">
        <f t="shared" si="35"/>
        <v>0</v>
      </c>
      <c r="R116" s="1579"/>
      <c r="S116" s="1572">
        <v>549</v>
      </c>
      <c r="T116" s="1573">
        <v>549447</v>
      </c>
      <c r="U116" s="1578" t="s">
        <v>1616</v>
      </c>
      <c r="V116" s="1574">
        <f t="shared" si="69"/>
        <v>0</v>
      </c>
      <c r="W116" s="1823"/>
      <c r="X116" s="1574">
        <f t="shared" si="70"/>
        <v>0</v>
      </c>
      <c r="Y116" s="1550">
        <f t="shared" si="71"/>
        <v>0</v>
      </c>
      <c r="Z116" s="1551">
        <f t="shared" si="72"/>
        <v>0</v>
      </c>
      <c r="AA116" s="1552"/>
      <c r="AB116" s="1822"/>
      <c r="AC116" s="1822"/>
      <c r="AD116" s="1823"/>
      <c r="AE116" s="1822"/>
      <c r="AF116" s="1839"/>
    </row>
    <row r="117" spans="1:32" x14ac:dyDescent="0.25">
      <c r="A117" s="1553">
        <f t="shared" si="36"/>
        <v>105</v>
      </c>
      <c r="B117" s="1572">
        <v>549</v>
      </c>
      <c r="C117" s="1573">
        <v>549448</v>
      </c>
      <c r="D117" s="1578" t="s">
        <v>1435</v>
      </c>
      <c r="E117" s="1602">
        <f t="shared" si="68"/>
        <v>372</v>
      </c>
      <c r="F117" s="1556">
        <f t="shared" si="66"/>
        <v>372000</v>
      </c>
      <c r="G117" s="1574">
        <f t="shared" si="64"/>
        <v>0</v>
      </c>
      <c r="H117" s="1550">
        <f t="shared" si="67"/>
        <v>0</v>
      </c>
      <c r="I117" s="1551">
        <f t="shared" si="65"/>
        <v>372</v>
      </c>
      <c r="J117" s="1552"/>
      <c r="K117" s="1822">
        <v>549</v>
      </c>
      <c r="L117" s="1822">
        <v>549448</v>
      </c>
      <c r="M117" s="1824">
        <v>372000</v>
      </c>
      <c r="N117" s="1822"/>
      <c r="O117" s="2215"/>
      <c r="P117" s="2243">
        <f t="shared" si="34"/>
        <v>9.3568428201323036E-4</v>
      </c>
      <c r="Q117" s="2219">
        <f t="shared" si="35"/>
        <v>0</v>
      </c>
      <c r="R117" s="1579"/>
      <c r="S117" s="1572">
        <v>549</v>
      </c>
      <c r="T117" s="1573">
        <v>549448</v>
      </c>
      <c r="U117" s="1578" t="s">
        <v>1435</v>
      </c>
      <c r="V117" s="1574">
        <f t="shared" si="69"/>
        <v>372</v>
      </c>
      <c r="W117" s="1824">
        <v>372000</v>
      </c>
      <c r="X117" s="1574">
        <f t="shared" si="70"/>
        <v>0</v>
      </c>
      <c r="Y117" s="1550">
        <f t="shared" si="71"/>
        <v>0</v>
      </c>
      <c r="Z117" s="1551">
        <f t="shared" si="72"/>
        <v>372</v>
      </c>
      <c r="AA117" s="1552"/>
      <c r="AB117" s="1822">
        <v>549</v>
      </c>
      <c r="AC117" s="1822">
        <v>549448</v>
      </c>
      <c r="AD117" s="1824">
        <v>372000</v>
      </c>
      <c r="AE117" s="1822"/>
      <c r="AF117" s="1839"/>
    </row>
    <row r="118" spans="1:32" x14ac:dyDescent="0.25">
      <c r="A118" s="1553">
        <f t="shared" si="36"/>
        <v>106</v>
      </c>
      <c r="B118" s="1572">
        <v>549</v>
      </c>
      <c r="C118" s="1573">
        <v>549449</v>
      </c>
      <c r="D118" s="1578" t="s">
        <v>1436</v>
      </c>
      <c r="E118" s="1602">
        <f t="shared" si="68"/>
        <v>520.80915000000005</v>
      </c>
      <c r="F118" s="1556">
        <f t="shared" si="66"/>
        <v>520809.15</v>
      </c>
      <c r="G118" s="1574">
        <f t="shared" si="64"/>
        <v>0</v>
      </c>
      <c r="H118" s="1550">
        <f t="shared" si="67"/>
        <v>0</v>
      </c>
      <c r="I118" s="1551">
        <f t="shared" si="65"/>
        <v>520.80915000000005</v>
      </c>
      <c r="J118" s="1552"/>
      <c r="K118" s="1822">
        <v>549</v>
      </c>
      <c r="L118" s="1822">
        <v>549449</v>
      </c>
      <c r="M118" s="1824">
        <v>520809.15</v>
      </c>
      <c r="N118" s="1822"/>
      <c r="O118" s="2215"/>
      <c r="P118" s="2243">
        <f t="shared" si="34"/>
        <v>1.3099810096335238E-3</v>
      </c>
      <c r="Q118" s="2219">
        <f t="shared" si="35"/>
        <v>0</v>
      </c>
      <c r="R118" s="1579"/>
      <c r="S118" s="1572">
        <v>549</v>
      </c>
      <c r="T118" s="1573">
        <v>549449</v>
      </c>
      <c r="U118" s="1578" t="s">
        <v>1436</v>
      </c>
      <c r="V118" s="1574">
        <f t="shared" si="69"/>
        <v>520.80915000000005</v>
      </c>
      <c r="W118" s="1824">
        <v>520809.15</v>
      </c>
      <c r="X118" s="1574">
        <f t="shared" si="70"/>
        <v>0</v>
      </c>
      <c r="Y118" s="1550">
        <f t="shared" si="71"/>
        <v>0</v>
      </c>
      <c r="Z118" s="1551">
        <f t="shared" si="72"/>
        <v>520.80915000000005</v>
      </c>
      <c r="AA118" s="1552"/>
      <c r="AB118" s="1822">
        <v>549</v>
      </c>
      <c r="AC118" s="1822">
        <v>549449</v>
      </c>
      <c r="AD118" s="1824">
        <v>520809.15</v>
      </c>
      <c r="AE118" s="1822"/>
      <c r="AF118" s="1839"/>
    </row>
    <row r="119" spans="1:32" x14ac:dyDescent="0.25">
      <c r="A119" s="1553">
        <f t="shared" si="36"/>
        <v>107</v>
      </c>
      <c r="B119" s="1572">
        <v>549</v>
      </c>
      <c r="C119" s="1573">
        <v>549490</v>
      </c>
      <c r="D119" s="1578" t="s">
        <v>1617</v>
      </c>
      <c r="E119" s="1602">
        <f t="shared" si="68"/>
        <v>0</v>
      </c>
      <c r="F119" s="1556">
        <f t="shared" si="66"/>
        <v>0</v>
      </c>
      <c r="G119" s="1574">
        <f t="shared" si="64"/>
        <v>0</v>
      </c>
      <c r="H119" s="1550">
        <f t="shared" si="67"/>
        <v>0</v>
      </c>
      <c r="I119" s="1551">
        <f t="shared" si="65"/>
        <v>0</v>
      </c>
      <c r="J119" s="1552"/>
      <c r="K119" s="1822"/>
      <c r="L119" s="1822"/>
      <c r="M119" s="1823"/>
      <c r="N119" s="1822"/>
      <c r="O119" s="2215"/>
      <c r="P119" s="2243">
        <f t="shared" si="34"/>
        <v>0</v>
      </c>
      <c r="Q119" s="2219">
        <f t="shared" si="35"/>
        <v>0</v>
      </c>
      <c r="R119" s="1579"/>
      <c r="S119" s="1572">
        <v>549</v>
      </c>
      <c r="T119" s="1573">
        <v>549490</v>
      </c>
      <c r="U119" s="1578" t="s">
        <v>1617</v>
      </c>
      <c r="V119" s="1574">
        <f t="shared" si="69"/>
        <v>0</v>
      </c>
      <c r="W119" s="1823"/>
      <c r="X119" s="1574">
        <f t="shared" si="70"/>
        <v>0</v>
      </c>
      <c r="Y119" s="1550">
        <f t="shared" si="71"/>
        <v>0</v>
      </c>
      <c r="Z119" s="1551">
        <f t="shared" si="72"/>
        <v>0</v>
      </c>
      <c r="AA119" s="1552"/>
      <c r="AB119" s="1822"/>
      <c r="AC119" s="1822"/>
      <c r="AD119" s="1823"/>
      <c r="AE119" s="1822"/>
      <c r="AF119" s="1839"/>
    </row>
    <row r="120" spans="1:32" x14ac:dyDescent="0.25">
      <c r="A120" s="1553">
        <f t="shared" si="36"/>
        <v>108</v>
      </c>
      <c r="B120" s="1572">
        <v>549</v>
      </c>
      <c r="C120" s="1573">
        <v>549492</v>
      </c>
      <c r="D120" s="1578" t="s">
        <v>1437</v>
      </c>
      <c r="E120" s="1602">
        <f t="shared" si="68"/>
        <v>1574.60419</v>
      </c>
      <c r="F120" s="1556">
        <f t="shared" si="66"/>
        <v>1574604.19</v>
      </c>
      <c r="G120" s="1574">
        <f t="shared" si="64"/>
        <v>0</v>
      </c>
      <c r="H120" s="1550">
        <f t="shared" si="67"/>
        <v>0</v>
      </c>
      <c r="I120" s="1551">
        <f t="shared" si="65"/>
        <v>1574.60419</v>
      </c>
      <c r="J120" s="1552"/>
      <c r="K120" s="1822">
        <v>549</v>
      </c>
      <c r="L120" s="1822">
        <v>549492</v>
      </c>
      <c r="M120" s="1824">
        <v>1574604.19</v>
      </c>
      <c r="N120" s="1822"/>
      <c r="O120" s="2215"/>
      <c r="P120" s="2243">
        <f t="shared" si="34"/>
        <v>3.9605709434816514E-3</v>
      </c>
      <c r="Q120" s="2219">
        <f t="shared" si="35"/>
        <v>0</v>
      </c>
      <c r="R120" s="1579"/>
      <c r="S120" s="1572">
        <v>549</v>
      </c>
      <c r="T120" s="1573">
        <v>549492</v>
      </c>
      <c r="U120" s="1578" t="s">
        <v>1437</v>
      </c>
      <c r="V120" s="1574">
        <f t="shared" si="69"/>
        <v>1574.60419</v>
      </c>
      <c r="W120" s="1824">
        <v>1574604.19</v>
      </c>
      <c r="X120" s="1574">
        <f t="shared" si="70"/>
        <v>0</v>
      </c>
      <c r="Y120" s="1550">
        <f t="shared" si="71"/>
        <v>0</v>
      </c>
      <c r="Z120" s="1551">
        <f t="shared" si="72"/>
        <v>1574.60419</v>
      </c>
      <c r="AA120" s="1552"/>
      <c r="AB120" s="1822">
        <v>549</v>
      </c>
      <c r="AC120" s="1822">
        <v>549492</v>
      </c>
      <c r="AD120" s="1824">
        <v>1574604.19</v>
      </c>
      <c r="AE120" s="1822"/>
      <c r="AF120" s="1839"/>
    </row>
    <row r="121" spans="1:32" x14ac:dyDescent="0.25">
      <c r="A121" s="1553">
        <f t="shared" si="36"/>
        <v>109</v>
      </c>
      <c r="B121" s="1572">
        <v>549</v>
      </c>
      <c r="C121" s="1573">
        <v>549493</v>
      </c>
      <c r="D121" s="1578" t="s">
        <v>1442</v>
      </c>
      <c r="E121" s="1602">
        <f t="shared" si="68"/>
        <v>3162.3151600000001</v>
      </c>
      <c r="F121" s="1556">
        <f t="shared" si="66"/>
        <v>3162315.16</v>
      </c>
      <c r="G121" s="1574">
        <f t="shared" si="64"/>
        <v>0</v>
      </c>
      <c r="H121" s="1550">
        <f t="shared" si="67"/>
        <v>0</v>
      </c>
      <c r="I121" s="1551">
        <f t="shared" si="65"/>
        <v>3162.3151600000001</v>
      </c>
      <c r="J121" s="1552"/>
      <c r="K121" s="1822">
        <v>549</v>
      </c>
      <c r="L121" s="1822">
        <v>549493</v>
      </c>
      <c r="M121" s="1824">
        <v>3162315.16</v>
      </c>
      <c r="N121" s="1822"/>
      <c r="O121" s="2215"/>
      <c r="P121" s="2243">
        <f t="shared" si="34"/>
        <v>7.954109112860628E-3</v>
      </c>
      <c r="Q121" s="2219">
        <f t="shared" si="35"/>
        <v>0</v>
      </c>
      <c r="R121" s="1579"/>
      <c r="S121" s="1572">
        <v>549</v>
      </c>
      <c r="T121" s="1573">
        <v>549493</v>
      </c>
      <c r="U121" s="1578" t="s">
        <v>1442</v>
      </c>
      <c r="V121" s="1574">
        <f t="shared" si="69"/>
        <v>3162.3151600000001</v>
      </c>
      <c r="W121" s="1824">
        <v>3162315.16</v>
      </c>
      <c r="X121" s="1574">
        <f t="shared" si="70"/>
        <v>0</v>
      </c>
      <c r="Y121" s="1550">
        <f t="shared" si="71"/>
        <v>0</v>
      </c>
      <c r="Z121" s="1551">
        <f t="shared" si="72"/>
        <v>3162.3151600000001</v>
      </c>
      <c r="AA121" s="1552"/>
      <c r="AB121" s="1822">
        <v>549</v>
      </c>
      <c r="AC121" s="1822">
        <v>549493</v>
      </c>
      <c r="AD121" s="1824">
        <v>3162315.16</v>
      </c>
      <c r="AE121" s="1822"/>
      <c r="AF121" s="1839"/>
    </row>
    <row r="122" spans="1:32" x14ac:dyDescent="0.25">
      <c r="A122" s="1553">
        <f t="shared" si="36"/>
        <v>110</v>
      </c>
      <c r="B122" s="1572">
        <v>549</v>
      </c>
      <c r="C122" s="1573">
        <v>549494</v>
      </c>
      <c r="D122" s="1578" t="s">
        <v>1446</v>
      </c>
      <c r="E122" s="1602">
        <f t="shared" si="68"/>
        <v>29.16</v>
      </c>
      <c r="F122" s="1556">
        <f t="shared" si="66"/>
        <v>29160</v>
      </c>
      <c r="G122" s="1574">
        <f t="shared" si="64"/>
        <v>0</v>
      </c>
      <c r="H122" s="1550">
        <f t="shared" si="67"/>
        <v>0</v>
      </c>
      <c r="I122" s="1551">
        <f t="shared" si="65"/>
        <v>29.16</v>
      </c>
      <c r="J122" s="1552"/>
      <c r="K122" s="1822">
        <v>549</v>
      </c>
      <c r="L122" s="1822">
        <v>549494</v>
      </c>
      <c r="M122" s="1824">
        <v>29160</v>
      </c>
      <c r="N122" s="1822"/>
      <c r="O122" s="2215"/>
      <c r="P122" s="2243">
        <f t="shared" si="34"/>
        <v>7.3345574364262894E-5</v>
      </c>
      <c r="Q122" s="2219">
        <f t="shared" si="35"/>
        <v>0</v>
      </c>
      <c r="R122" s="1579"/>
      <c r="S122" s="1572">
        <v>549</v>
      </c>
      <c r="T122" s="1573">
        <v>549494</v>
      </c>
      <c r="U122" s="1578" t="s">
        <v>1446</v>
      </c>
      <c r="V122" s="1574">
        <f t="shared" si="69"/>
        <v>29.16</v>
      </c>
      <c r="W122" s="1824">
        <v>29160</v>
      </c>
      <c r="X122" s="1574">
        <f t="shared" si="70"/>
        <v>0</v>
      </c>
      <c r="Y122" s="1550">
        <f t="shared" si="71"/>
        <v>0</v>
      </c>
      <c r="Z122" s="1551">
        <f t="shared" si="72"/>
        <v>29.16</v>
      </c>
      <c r="AA122" s="1552"/>
      <c r="AB122" s="1822">
        <v>549</v>
      </c>
      <c r="AC122" s="1822">
        <v>549494</v>
      </c>
      <c r="AD122" s="1824">
        <v>29160</v>
      </c>
      <c r="AE122" s="1822"/>
      <c r="AF122" s="1839"/>
    </row>
    <row r="123" spans="1:32" x14ac:dyDescent="0.25">
      <c r="A123" s="1553">
        <f t="shared" si="36"/>
        <v>111</v>
      </c>
      <c r="B123" s="1572">
        <v>549</v>
      </c>
      <c r="C123" s="1573">
        <v>549495</v>
      </c>
      <c r="D123" s="1578" t="s">
        <v>1447</v>
      </c>
      <c r="E123" s="1602">
        <f t="shared" si="68"/>
        <v>3689.2879700000003</v>
      </c>
      <c r="F123" s="1556">
        <f t="shared" si="66"/>
        <v>3689287.97</v>
      </c>
      <c r="G123" s="1574">
        <f t="shared" si="64"/>
        <v>0</v>
      </c>
      <c r="H123" s="1550">
        <f t="shared" si="67"/>
        <v>0</v>
      </c>
      <c r="I123" s="1551">
        <f t="shared" si="65"/>
        <v>3689.2879700000003</v>
      </c>
      <c r="J123" s="1552"/>
      <c r="K123" s="1822">
        <v>549</v>
      </c>
      <c r="L123" s="1822">
        <v>549495</v>
      </c>
      <c r="M123" s="1824">
        <v>3689287.97</v>
      </c>
      <c r="N123" s="1816"/>
      <c r="O123" s="1840"/>
      <c r="P123" s="2243">
        <f t="shared" si="34"/>
        <v>9.2795934552405875E-3</v>
      </c>
      <c r="Q123" s="2219">
        <f t="shared" si="35"/>
        <v>0</v>
      </c>
      <c r="R123" s="1579"/>
      <c r="S123" s="1572">
        <v>549</v>
      </c>
      <c r="T123" s="1573">
        <v>549495</v>
      </c>
      <c r="U123" s="1578" t="s">
        <v>1447</v>
      </c>
      <c r="V123" s="1574">
        <f t="shared" si="69"/>
        <v>3689.2879700000003</v>
      </c>
      <c r="W123" s="1824">
        <v>3689287.97</v>
      </c>
      <c r="X123" s="1574">
        <f t="shared" si="70"/>
        <v>0</v>
      </c>
      <c r="Y123" s="1550">
        <f t="shared" si="71"/>
        <v>0</v>
      </c>
      <c r="Z123" s="1551">
        <f t="shared" si="72"/>
        <v>3689.2879700000003</v>
      </c>
      <c r="AA123" s="1552"/>
      <c r="AB123" s="1822">
        <v>549</v>
      </c>
      <c r="AC123" s="1822">
        <v>549495</v>
      </c>
      <c r="AD123" s="1824">
        <v>3689287.97</v>
      </c>
      <c r="AE123" s="1816"/>
      <c r="AF123" s="1840"/>
    </row>
    <row r="124" spans="1:32" x14ac:dyDescent="0.25">
      <c r="A124" s="1553">
        <f t="shared" si="36"/>
        <v>112</v>
      </c>
      <c r="B124" s="1572">
        <v>549</v>
      </c>
      <c r="C124" s="1573">
        <v>549496</v>
      </c>
      <c r="D124" s="1578" t="s">
        <v>1451</v>
      </c>
      <c r="E124" s="1602">
        <f t="shared" si="68"/>
        <v>581</v>
      </c>
      <c r="F124" s="1556">
        <f t="shared" si="66"/>
        <v>581000</v>
      </c>
      <c r="G124" s="1574">
        <f t="shared" si="64"/>
        <v>0</v>
      </c>
      <c r="H124" s="1550">
        <f t="shared" si="67"/>
        <v>0</v>
      </c>
      <c r="I124" s="1551">
        <f t="shared" si="65"/>
        <v>581</v>
      </c>
      <c r="J124" s="1552"/>
      <c r="K124" s="1822">
        <v>549</v>
      </c>
      <c r="L124" s="1822">
        <v>549496</v>
      </c>
      <c r="M124" s="1824">
        <v>581000</v>
      </c>
      <c r="N124" s="1816"/>
      <c r="O124" s="1840"/>
      <c r="P124" s="2243">
        <f t="shared" si="34"/>
        <v>1.4613778705636743E-3</v>
      </c>
      <c r="Q124" s="2219">
        <f t="shared" si="35"/>
        <v>0</v>
      </c>
      <c r="R124" s="1579"/>
      <c r="S124" s="1572">
        <v>549</v>
      </c>
      <c r="T124" s="1573">
        <v>549496</v>
      </c>
      <c r="U124" s="1578" t="s">
        <v>1451</v>
      </c>
      <c r="V124" s="1574">
        <f t="shared" si="69"/>
        <v>581</v>
      </c>
      <c r="W124" s="1824">
        <v>581000</v>
      </c>
      <c r="X124" s="1574">
        <f t="shared" si="70"/>
        <v>0</v>
      </c>
      <c r="Y124" s="1550">
        <f t="shared" si="71"/>
        <v>0</v>
      </c>
      <c r="Z124" s="1551">
        <f t="shared" si="72"/>
        <v>581</v>
      </c>
      <c r="AA124" s="1552"/>
      <c r="AB124" s="1822">
        <v>549</v>
      </c>
      <c r="AC124" s="1822">
        <v>549496</v>
      </c>
      <c r="AD124" s="1824">
        <v>581000</v>
      </c>
      <c r="AE124" s="1816"/>
      <c r="AF124" s="1840"/>
    </row>
    <row r="125" spans="1:32" x14ac:dyDescent="0.25">
      <c r="A125" s="1553">
        <f t="shared" si="36"/>
        <v>113</v>
      </c>
      <c r="B125" s="1572">
        <v>549</v>
      </c>
      <c r="C125" s="1573">
        <v>549497</v>
      </c>
      <c r="D125" s="1578" t="s">
        <v>1452</v>
      </c>
      <c r="E125" s="1602">
        <f t="shared" si="68"/>
        <v>4995</v>
      </c>
      <c r="F125" s="1556">
        <f t="shared" si="66"/>
        <v>4995000</v>
      </c>
      <c r="G125" s="1574">
        <f t="shared" si="64"/>
        <v>0</v>
      </c>
      <c r="H125" s="1550">
        <f t="shared" si="67"/>
        <v>0</v>
      </c>
      <c r="I125" s="1551">
        <f t="shared" si="65"/>
        <v>4995</v>
      </c>
      <c r="J125" s="1552"/>
      <c r="K125" s="1822">
        <v>549</v>
      </c>
      <c r="L125" s="1822">
        <v>549497</v>
      </c>
      <c r="M125" s="1824">
        <v>4995000</v>
      </c>
      <c r="N125" s="1816"/>
      <c r="O125" s="1840"/>
      <c r="P125" s="2243">
        <f t="shared" si="34"/>
        <v>1.2563825238322812E-2</v>
      </c>
      <c r="Q125" s="2219">
        <f t="shared" si="35"/>
        <v>0</v>
      </c>
      <c r="R125" s="1579"/>
      <c r="S125" s="1572">
        <v>549</v>
      </c>
      <c r="T125" s="1573">
        <v>549497</v>
      </c>
      <c r="U125" s="1578" t="s">
        <v>1452</v>
      </c>
      <c r="V125" s="1574">
        <f t="shared" si="69"/>
        <v>4995</v>
      </c>
      <c r="W125" s="1824">
        <v>4995000</v>
      </c>
      <c r="X125" s="1574">
        <f t="shared" si="70"/>
        <v>0</v>
      </c>
      <c r="Y125" s="1550">
        <f t="shared" si="71"/>
        <v>0</v>
      </c>
      <c r="Z125" s="1551">
        <f t="shared" si="72"/>
        <v>4995</v>
      </c>
      <c r="AA125" s="1552"/>
      <c r="AB125" s="1822">
        <v>549</v>
      </c>
      <c r="AC125" s="1822">
        <v>549497</v>
      </c>
      <c r="AD125" s="1824">
        <v>4995000</v>
      </c>
      <c r="AE125" s="1816"/>
      <c r="AF125" s="1840"/>
    </row>
    <row r="126" spans="1:32" x14ac:dyDescent="0.25">
      <c r="A126" s="1553">
        <f t="shared" si="36"/>
        <v>114</v>
      </c>
      <c r="B126" s="1572">
        <v>549</v>
      </c>
      <c r="C126" s="1573">
        <v>549498</v>
      </c>
      <c r="D126" s="1578" t="s">
        <v>1453</v>
      </c>
      <c r="E126" s="1602">
        <f t="shared" si="68"/>
        <v>6722.7277400000003</v>
      </c>
      <c r="F126" s="1556">
        <f t="shared" si="66"/>
        <v>6722727.7400000002</v>
      </c>
      <c r="G126" s="1574">
        <f t="shared" si="64"/>
        <v>0</v>
      </c>
      <c r="H126" s="1550">
        <f t="shared" si="67"/>
        <v>0</v>
      </c>
      <c r="I126" s="1551">
        <f t="shared" si="65"/>
        <v>6722.7277400000003</v>
      </c>
      <c r="J126" s="1552"/>
      <c r="K126" s="1822">
        <v>549</v>
      </c>
      <c r="L126" s="1822">
        <v>549498</v>
      </c>
      <c r="M126" s="1824">
        <v>6722727.7400000002</v>
      </c>
      <c r="N126" s="1816"/>
      <c r="O126" s="1840"/>
      <c r="P126" s="2243">
        <f t="shared" si="34"/>
        <v>1.6909544834871847E-2</v>
      </c>
      <c r="Q126" s="2219">
        <f t="shared" si="35"/>
        <v>0</v>
      </c>
      <c r="R126" s="1579"/>
      <c r="S126" s="1572">
        <v>549</v>
      </c>
      <c r="T126" s="1573">
        <v>549498</v>
      </c>
      <c r="U126" s="1578" t="s">
        <v>1453</v>
      </c>
      <c r="V126" s="1574">
        <f t="shared" si="69"/>
        <v>6722.7277400000003</v>
      </c>
      <c r="W126" s="1824">
        <v>6722727.7400000002</v>
      </c>
      <c r="X126" s="1574">
        <f t="shared" si="70"/>
        <v>0</v>
      </c>
      <c r="Y126" s="1550">
        <f t="shared" si="71"/>
        <v>0</v>
      </c>
      <c r="Z126" s="1551">
        <f t="shared" si="72"/>
        <v>6722.7277400000003</v>
      </c>
      <c r="AA126" s="1552"/>
      <c r="AB126" s="1822">
        <v>549</v>
      </c>
      <c r="AC126" s="1822">
        <v>549498</v>
      </c>
      <c r="AD126" s="1824">
        <v>6722727.7400000002</v>
      </c>
      <c r="AE126" s="1816"/>
      <c r="AF126" s="1840"/>
    </row>
    <row r="127" spans="1:32" x14ac:dyDescent="0.25">
      <c r="A127" s="1553">
        <f t="shared" si="36"/>
        <v>115</v>
      </c>
      <c r="B127" s="1572">
        <v>549</v>
      </c>
      <c r="C127" s="1573">
        <v>549499</v>
      </c>
      <c r="D127" s="1578" t="s">
        <v>1454</v>
      </c>
      <c r="E127" s="1602">
        <f t="shared" si="68"/>
        <v>4346.0687600000001</v>
      </c>
      <c r="F127" s="1556">
        <f t="shared" si="66"/>
        <v>4346068.76</v>
      </c>
      <c r="G127" s="1574">
        <f t="shared" si="64"/>
        <v>0</v>
      </c>
      <c r="H127" s="1550">
        <f t="shared" si="67"/>
        <v>0</v>
      </c>
      <c r="I127" s="1551">
        <f t="shared" si="65"/>
        <v>4346.0687600000001</v>
      </c>
      <c r="J127" s="1552"/>
      <c r="K127" s="1822">
        <v>549</v>
      </c>
      <c r="L127" s="1822">
        <v>549499</v>
      </c>
      <c r="M127" s="1824">
        <v>4346068.76</v>
      </c>
      <c r="N127" s="1816"/>
      <c r="O127" s="1840"/>
      <c r="P127" s="2243">
        <f t="shared" si="34"/>
        <v>1.0931581256130996E-2</v>
      </c>
      <c r="Q127" s="2219">
        <f t="shared" si="35"/>
        <v>0</v>
      </c>
      <c r="R127" s="1579"/>
      <c r="S127" s="1572">
        <v>549</v>
      </c>
      <c r="T127" s="1573">
        <v>549499</v>
      </c>
      <c r="U127" s="1578" t="s">
        <v>1454</v>
      </c>
      <c r="V127" s="1574">
        <f t="shared" si="69"/>
        <v>4346.0687600000001</v>
      </c>
      <c r="W127" s="1824">
        <v>4346068.76</v>
      </c>
      <c r="X127" s="1574">
        <f t="shared" si="70"/>
        <v>0</v>
      </c>
      <c r="Y127" s="1550">
        <f t="shared" si="71"/>
        <v>0</v>
      </c>
      <c r="Z127" s="1551">
        <f t="shared" si="72"/>
        <v>4346.0687600000001</v>
      </c>
      <c r="AA127" s="1552"/>
      <c r="AB127" s="1822">
        <v>549</v>
      </c>
      <c r="AC127" s="1822">
        <v>549499</v>
      </c>
      <c r="AD127" s="1824">
        <v>4346068.76</v>
      </c>
      <c r="AE127" s="1816"/>
      <c r="AF127" s="1840"/>
    </row>
    <row r="128" spans="1:32" s="139" customFormat="1" x14ac:dyDescent="0.25">
      <c r="A128" s="1553"/>
      <c r="B128" s="1572"/>
      <c r="C128" s="1573"/>
      <c r="D128" s="2249" t="s">
        <v>1904</v>
      </c>
      <c r="E128" s="1623">
        <f>SUM(E114:E127)</f>
        <v>28990.058970000006</v>
      </c>
      <c r="F128" s="1556"/>
      <c r="G128" s="1574"/>
      <c r="H128" s="1550"/>
      <c r="I128" s="1551"/>
      <c r="J128" s="1552"/>
      <c r="K128" s="1822"/>
      <c r="L128" s="1822"/>
      <c r="M128" s="1824"/>
      <c r="N128" s="1816"/>
      <c r="O128" s="1840"/>
      <c r="P128" s="2248">
        <f t="shared" si="34"/>
        <v>7.2918125034585113E-2</v>
      </c>
      <c r="Q128" s="2219"/>
      <c r="R128" s="1579"/>
      <c r="S128" s="1816"/>
      <c r="T128" s="1817"/>
      <c r="U128" s="1579"/>
      <c r="V128" s="1574"/>
      <c r="W128" s="1824"/>
      <c r="X128" s="2244"/>
      <c r="Y128" s="2245"/>
      <c r="Z128" s="1552"/>
      <c r="AA128" s="1552"/>
      <c r="AB128" s="2246"/>
      <c r="AC128" s="2246"/>
      <c r="AD128" s="2247"/>
      <c r="AE128" s="1816"/>
      <c r="AF128" s="1840"/>
    </row>
    <row r="129" spans="1:30" x14ac:dyDescent="0.25">
      <c r="A129" s="1553">
        <f>A127+1</f>
        <v>116</v>
      </c>
      <c r="B129" s="1572">
        <v>549</v>
      </c>
      <c r="C129" s="1573">
        <v>5495</v>
      </c>
      <c r="D129" s="1573" t="s">
        <v>1618</v>
      </c>
      <c r="E129" s="1574">
        <f t="shared" si="68"/>
        <v>307.85897999999997</v>
      </c>
      <c r="F129" s="1556">
        <f t="shared" si="66"/>
        <v>307858.98</v>
      </c>
      <c r="G129" s="1574">
        <f t="shared" si="64"/>
        <v>55.964199999999998</v>
      </c>
      <c r="H129" s="1550">
        <f t="shared" si="67"/>
        <v>55964.2</v>
      </c>
      <c r="I129" s="1551">
        <f t="shared" si="65"/>
        <v>363.82317999999998</v>
      </c>
      <c r="J129" s="1552"/>
      <c r="K129" s="1822">
        <v>549</v>
      </c>
      <c r="L129" s="1822">
        <v>5495</v>
      </c>
      <c r="M129" s="1824">
        <v>307858.98</v>
      </c>
      <c r="N129" s="1822">
        <v>5495</v>
      </c>
      <c r="O129" s="2215">
        <v>55964.2</v>
      </c>
      <c r="P129" s="2219">
        <f t="shared" si="34"/>
        <v>7.7435163618985335E-4</v>
      </c>
      <c r="Q129" s="2219">
        <f t="shared" si="35"/>
        <v>1.2306044813861952E-3</v>
      </c>
      <c r="R129" s="1819"/>
      <c r="S129" s="1820"/>
      <c r="T129" s="1821"/>
      <c r="U129" s="1819"/>
      <c r="V129" s="1844">
        <f t="shared" si="69"/>
        <v>28990.058969999998</v>
      </c>
      <c r="W129" s="1843">
        <f>SUM(W114:W127)</f>
        <v>28990058.969999999</v>
      </c>
      <c r="X129" s="1227"/>
      <c r="Y129" s="1227"/>
      <c r="Z129" s="1227"/>
      <c r="AA129" s="139"/>
      <c r="AB129" s="139"/>
      <c r="AD129" s="829">
        <f>SUM(AD114:AD127)</f>
        <v>28990058.969999999</v>
      </c>
    </row>
    <row r="130" spans="1:30" x14ac:dyDescent="0.25">
      <c r="A130" s="1553">
        <f t="shared" si="36"/>
        <v>117</v>
      </c>
      <c r="B130" s="1572">
        <v>549</v>
      </c>
      <c r="C130" s="1573">
        <v>54964</v>
      </c>
      <c r="D130" s="1573" t="s">
        <v>1619</v>
      </c>
      <c r="E130" s="1574">
        <f t="shared" si="68"/>
        <v>0</v>
      </c>
      <c r="F130" s="1556">
        <f t="shared" si="66"/>
        <v>0</v>
      </c>
      <c r="G130" s="1574">
        <f t="shared" si="64"/>
        <v>0</v>
      </c>
      <c r="H130" s="1550">
        <f t="shared" si="67"/>
        <v>0</v>
      </c>
      <c r="I130" s="1551">
        <f t="shared" si="65"/>
        <v>0</v>
      </c>
      <c r="J130" s="1552"/>
      <c r="K130" s="1822"/>
      <c r="L130" s="1822"/>
      <c r="M130" s="1824"/>
      <c r="N130" s="1822"/>
      <c r="O130" s="2215"/>
      <c r="P130" s="2219">
        <f t="shared" si="34"/>
        <v>0</v>
      </c>
      <c r="Q130" s="2219">
        <f t="shared" si="35"/>
        <v>0</v>
      </c>
      <c r="R130" s="1819"/>
      <c r="S130" s="1819"/>
      <c r="T130" s="1821"/>
      <c r="U130" s="1819"/>
      <c r="V130" s="1819"/>
      <c r="W130" s="1819"/>
      <c r="X130" s="1227"/>
      <c r="Y130" s="1227"/>
      <c r="Z130" s="1227"/>
      <c r="AA130" s="139"/>
      <c r="AB130" s="139"/>
    </row>
    <row r="131" spans="1:30" x14ac:dyDescent="0.25">
      <c r="A131" s="1553">
        <f t="shared" si="36"/>
        <v>118</v>
      </c>
      <c r="B131" s="1572">
        <v>549</v>
      </c>
      <c r="C131" s="1573">
        <v>549641</v>
      </c>
      <c r="D131" s="1578" t="s">
        <v>1620</v>
      </c>
      <c r="E131" s="1574">
        <f t="shared" si="68"/>
        <v>-829.71483999999998</v>
      </c>
      <c r="F131" s="1556">
        <f t="shared" si="66"/>
        <v>-829714.84</v>
      </c>
      <c r="G131" s="1574">
        <f t="shared" si="64"/>
        <v>829.71483999999998</v>
      </c>
      <c r="H131" s="1550">
        <f t="shared" si="67"/>
        <v>829714.84</v>
      </c>
      <c r="I131" s="1551">
        <f t="shared" si="65"/>
        <v>0</v>
      </c>
      <c r="J131" s="1552"/>
      <c r="K131" s="1822">
        <v>549</v>
      </c>
      <c r="L131" s="1822">
        <v>549641</v>
      </c>
      <c r="M131" s="1824">
        <v>-829714.84</v>
      </c>
      <c r="N131" s="1822">
        <v>549641</v>
      </c>
      <c r="O131" s="2215">
        <v>829714.84</v>
      </c>
      <c r="P131" s="2219">
        <f t="shared" si="34"/>
        <v>-2.08696541489549E-3</v>
      </c>
      <c r="Q131" s="2219">
        <f t="shared" si="35"/>
        <v>1.8244713591485804E-2</v>
      </c>
      <c r="R131" s="1227"/>
      <c r="S131" s="1227"/>
      <c r="T131" s="139"/>
      <c r="U131" s="1227"/>
      <c r="V131" s="1227"/>
      <c r="W131" s="1227"/>
      <c r="X131" s="1227"/>
      <c r="Y131" s="1227"/>
      <c r="Z131" s="1227"/>
      <c r="AA131" s="139"/>
      <c r="AB131" s="139"/>
    </row>
    <row r="132" spans="1:30" x14ac:dyDescent="0.25">
      <c r="A132" s="1553">
        <f t="shared" si="36"/>
        <v>119</v>
      </c>
      <c r="B132" s="1572">
        <v>549</v>
      </c>
      <c r="C132" s="1573">
        <v>549642</v>
      </c>
      <c r="D132" s="1578" t="s">
        <v>1621</v>
      </c>
      <c r="E132" s="1574">
        <f t="shared" si="68"/>
        <v>-190.88434000000001</v>
      </c>
      <c r="F132" s="1556">
        <f t="shared" si="66"/>
        <v>-190884.34</v>
      </c>
      <c r="G132" s="1574">
        <f t="shared" si="64"/>
        <v>190.88434000000001</v>
      </c>
      <c r="H132" s="1550">
        <f t="shared" si="67"/>
        <v>190884.34</v>
      </c>
      <c r="I132" s="1551">
        <f t="shared" si="65"/>
        <v>0</v>
      </c>
      <c r="J132" s="1552"/>
      <c r="K132" s="1822">
        <v>549</v>
      </c>
      <c r="L132" s="1822">
        <v>549642</v>
      </c>
      <c r="M132" s="1824">
        <v>-190884.34</v>
      </c>
      <c r="N132" s="1822">
        <v>549642</v>
      </c>
      <c r="O132" s="2215">
        <v>190884.34</v>
      </c>
      <c r="P132" s="2219">
        <f t="shared" si="34"/>
        <v>-4.8012762532384235E-4</v>
      </c>
      <c r="Q132" s="2219">
        <f t="shared" si="35"/>
        <v>4.1973819733051873E-3</v>
      </c>
      <c r="R132" s="1227"/>
      <c r="S132" s="1227"/>
      <c r="T132" s="139"/>
      <c r="U132" s="1227"/>
      <c r="V132" s="1227"/>
      <c r="W132" s="1227"/>
      <c r="X132" s="1227"/>
      <c r="Y132" s="1227"/>
      <c r="Z132" s="1227"/>
      <c r="AA132" s="139"/>
      <c r="AB132" s="139"/>
    </row>
    <row r="133" spans="1:30" x14ac:dyDescent="0.25">
      <c r="A133" s="1553">
        <f t="shared" si="36"/>
        <v>120</v>
      </c>
      <c r="B133" s="1572">
        <v>549</v>
      </c>
      <c r="C133" s="1573">
        <v>549644</v>
      </c>
      <c r="D133" s="1578" t="s">
        <v>1622</v>
      </c>
      <c r="E133" s="1574">
        <f t="shared" si="68"/>
        <v>-104.50836</v>
      </c>
      <c r="F133" s="1556">
        <f t="shared" si="66"/>
        <v>-104508.36</v>
      </c>
      <c r="G133" s="1574">
        <f t="shared" si="64"/>
        <v>104.50836</v>
      </c>
      <c r="H133" s="1550">
        <f t="shared" si="67"/>
        <v>104508.36</v>
      </c>
      <c r="I133" s="1551">
        <f t="shared" si="65"/>
        <v>0</v>
      </c>
      <c r="J133" s="1552"/>
      <c r="K133" s="1822">
        <v>549</v>
      </c>
      <c r="L133" s="1822">
        <v>549644</v>
      </c>
      <c r="M133" s="1824">
        <v>-104508.36</v>
      </c>
      <c r="N133" s="1822">
        <v>549644</v>
      </c>
      <c r="O133" s="2215">
        <v>104508.36</v>
      </c>
      <c r="P133" s="2219">
        <f t="shared" si="34"/>
        <v>-2.62867822018764E-4</v>
      </c>
      <c r="Q133" s="2219">
        <f t="shared" si="35"/>
        <v>2.2980486839501288E-3</v>
      </c>
      <c r="R133" s="1227"/>
      <c r="S133" s="1227"/>
      <c r="T133" s="139"/>
      <c r="U133" s="1227"/>
      <c r="V133" s="1227"/>
      <c r="W133" s="1227"/>
      <c r="X133" s="1227"/>
      <c r="Y133" s="1227"/>
      <c r="Z133" s="1227"/>
      <c r="AA133" s="139"/>
      <c r="AB133" s="139"/>
    </row>
    <row r="134" spans="1:30" x14ac:dyDescent="0.25">
      <c r="A134" s="1553">
        <f t="shared" si="36"/>
        <v>121</v>
      </c>
      <c r="B134" s="1572">
        <v>549</v>
      </c>
      <c r="C134" s="1573">
        <v>549647</v>
      </c>
      <c r="D134" s="1578" t="s">
        <v>1623</v>
      </c>
      <c r="E134" s="1574">
        <f t="shared" si="68"/>
        <v>-1884.80628</v>
      </c>
      <c r="F134" s="1556">
        <f t="shared" si="66"/>
        <v>-1884806.28</v>
      </c>
      <c r="G134" s="1574">
        <f t="shared" si="64"/>
        <v>1884.80628</v>
      </c>
      <c r="H134" s="1550">
        <f t="shared" si="67"/>
        <v>1884806.28</v>
      </c>
      <c r="I134" s="1551">
        <f t="shared" si="65"/>
        <v>0</v>
      </c>
      <c r="J134" s="1552"/>
      <c r="K134" s="1822">
        <v>549</v>
      </c>
      <c r="L134" s="1822">
        <v>549647</v>
      </c>
      <c r="M134" s="1824">
        <v>-1884806.28</v>
      </c>
      <c r="N134" s="1822">
        <v>549647</v>
      </c>
      <c r="O134" s="2215">
        <v>1884806.28</v>
      </c>
      <c r="P134" s="2219">
        <f t="shared" si="34"/>
        <v>-4.7408161581608274E-3</v>
      </c>
      <c r="Q134" s="2219">
        <f t="shared" si="35"/>
        <v>4.1445264199485451E-2</v>
      </c>
      <c r="R134" s="1227"/>
      <c r="S134" s="1227"/>
      <c r="T134" s="139"/>
      <c r="U134" s="1227"/>
      <c r="V134" s="1227"/>
      <c r="W134" s="1227"/>
      <c r="X134" s="1227"/>
      <c r="Y134" s="1227"/>
      <c r="Z134" s="1227"/>
      <c r="AA134" s="139"/>
      <c r="AB134" s="139"/>
    </row>
    <row r="135" spans="1:30" x14ac:dyDescent="0.25">
      <c r="A135" s="1553">
        <f t="shared" si="36"/>
        <v>122</v>
      </c>
      <c r="B135" s="1572">
        <v>549</v>
      </c>
      <c r="C135" s="1573">
        <v>5497</v>
      </c>
      <c r="D135" s="1573" t="s">
        <v>1624</v>
      </c>
      <c r="E135" s="1574">
        <f t="shared" si="68"/>
        <v>399.72701000000001</v>
      </c>
      <c r="F135" s="1556">
        <f t="shared" si="66"/>
        <v>399727.01</v>
      </c>
      <c r="G135" s="1574">
        <f t="shared" si="64"/>
        <v>175.50557999999998</v>
      </c>
      <c r="H135" s="1550">
        <f t="shared" si="67"/>
        <v>175505.58</v>
      </c>
      <c r="I135" s="1551">
        <f t="shared" si="65"/>
        <v>575.23258999999996</v>
      </c>
      <c r="J135" s="1552"/>
      <c r="K135" s="1822">
        <v>549</v>
      </c>
      <c r="L135" s="1822">
        <v>5497</v>
      </c>
      <c r="M135" s="1824">
        <v>399727.01</v>
      </c>
      <c r="N135" s="1822">
        <v>5497</v>
      </c>
      <c r="O135" s="2215">
        <v>175505.58</v>
      </c>
      <c r="P135" s="2219">
        <f t="shared" si="34"/>
        <v>1.0054254848202832E-3</v>
      </c>
      <c r="Q135" s="2219">
        <f t="shared" si="35"/>
        <v>3.8592163071442705E-3</v>
      </c>
      <c r="R135" s="1227"/>
      <c r="S135" s="1227"/>
      <c r="T135" s="139"/>
      <c r="U135" s="1227"/>
      <c r="V135" s="1227"/>
      <c r="W135" s="1227"/>
      <c r="X135" s="1227"/>
      <c r="Y135" s="1227"/>
      <c r="Z135" s="1227"/>
      <c r="AA135" s="139"/>
      <c r="AB135" s="139"/>
    </row>
    <row r="136" spans="1:30" x14ac:dyDescent="0.25">
      <c r="A136" s="1553">
        <f t="shared" si="36"/>
        <v>123</v>
      </c>
      <c r="B136" s="1572">
        <v>549</v>
      </c>
      <c r="C136" s="1573">
        <v>5498</v>
      </c>
      <c r="D136" s="1573" t="s">
        <v>1625</v>
      </c>
      <c r="E136" s="1574">
        <f t="shared" si="68"/>
        <v>1.6659999999999999</v>
      </c>
      <c r="F136" s="1556">
        <f t="shared" si="66"/>
        <v>1666</v>
      </c>
      <c r="G136" s="1574">
        <f t="shared" si="64"/>
        <v>2.2320000000000002</v>
      </c>
      <c r="H136" s="1550">
        <f t="shared" si="67"/>
        <v>2232</v>
      </c>
      <c r="I136" s="1551">
        <f t="shared" si="65"/>
        <v>3.8980000000000001</v>
      </c>
      <c r="J136" s="1552"/>
      <c r="K136" s="1822">
        <v>549</v>
      </c>
      <c r="L136" s="1822">
        <v>5498</v>
      </c>
      <c r="M136" s="1824">
        <v>1666</v>
      </c>
      <c r="N136" s="1822">
        <v>5498</v>
      </c>
      <c r="O136" s="2215">
        <v>2232</v>
      </c>
      <c r="P136" s="2219">
        <f t="shared" si="34"/>
        <v>4.1904570264355957E-6</v>
      </c>
      <c r="Q136" s="2219">
        <f t="shared" si="35"/>
        <v>4.9079754601226999E-5</v>
      </c>
      <c r="R136" s="1227"/>
      <c r="S136" s="1227"/>
      <c r="T136" s="139"/>
      <c r="U136" s="1227"/>
      <c r="V136" s="1227"/>
      <c r="W136" s="1227"/>
      <c r="X136" s="1227"/>
      <c r="Y136" s="1227"/>
      <c r="Z136" s="1227"/>
      <c r="AA136" s="139"/>
      <c r="AB136" s="139"/>
    </row>
    <row r="137" spans="1:30" x14ac:dyDescent="0.25">
      <c r="A137" s="1553">
        <f t="shared" si="36"/>
        <v>124</v>
      </c>
      <c r="B137" s="1572">
        <v>549</v>
      </c>
      <c r="C137" s="1573">
        <v>5499</v>
      </c>
      <c r="D137" s="1573" t="s">
        <v>1626</v>
      </c>
      <c r="E137" s="1574">
        <f t="shared" si="68"/>
        <v>322.48401000000001</v>
      </c>
      <c r="F137" s="1556">
        <f t="shared" si="66"/>
        <v>322484.01</v>
      </c>
      <c r="G137" s="1574">
        <f t="shared" si="64"/>
        <v>94.700109999999995</v>
      </c>
      <c r="H137" s="1550">
        <f t="shared" si="67"/>
        <v>94700.11</v>
      </c>
      <c r="I137" s="1551">
        <f t="shared" si="65"/>
        <v>417.18412000000001</v>
      </c>
      <c r="J137" s="1552"/>
      <c r="K137" s="1822">
        <v>549</v>
      </c>
      <c r="L137" s="1822">
        <v>5499</v>
      </c>
      <c r="M137" s="1824">
        <v>322484.01</v>
      </c>
      <c r="N137" s="1822">
        <v>5499</v>
      </c>
      <c r="O137" s="2215">
        <v>94700.11</v>
      </c>
      <c r="P137" s="2219">
        <f t="shared" si="34"/>
        <v>8.1113768644515438E-4</v>
      </c>
      <c r="Q137" s="2219">
        <f t="shared" si="35"/>
        <v>2.0823737273786749E-3</v>
      </c>
      <c r="R137" s="1227"/>
      <c r="S137" s="1227"/>
      <c r="T137" s="139"/>
      <c r="U137" s="1227"/>
      <c r="V137" s="1227"/>
      <c r="W137" s="1227"/>
      <c r="X137" s="1227"/>
      <c r="Y137" s="1227"/>
      <c r="Z137" s="1227"/>
      <c r="AA137" s="139"/>
      <c r="AB137" s="139"/>
    </row>
    <row r="138" spans="1:30" x14ac:dyDescent="0.25">
      <c r="A138" s="1553">
        <f t="shared" si="36"/>
        <v>125</v>
      </c>
      <c r="B138" s="1572">
        <v>549</v>
      </c>
      <c r="C138" s="1573">
        <v>54991</v>
      </c>
      <c r="D138" s="1573" t="s">
        <v>1627</v>
      </c>
      <c r="E138" s="1574">
        <f t="shared" si="68"/>
        <v>69.867999999999995</v>
      </c>
      <c r="F138" s="1556">
        <f t="shared" si="66"/>
        <v>69868</v>
      </c>
      <c r="G138" s="1574">
        <f t="shared" si="64"/>
        <v>0</v>
      </c>
      <c r="H138" s="1550">
        <f t="shared" si="67"/>
        <v>0</v>
      </c>
      <c r="I138" s="1551">
        <f t="shared" si="65"/>
        <v>69.867999999999995</v>
      </c>
      <c r="J138" s="1552"/>
      <c r="K138" s="1822">
        <v>549</v>
      </c>
      <c r="L138" s="1822">
        <v>54991</v>
      </c>
      <c r="M138" s="1824">
        <v>69868</v>
      </c>
      <c r="N138" s="1822"/>
      <c r="O138" s="2216"/>
      <c r="P138" s="2219">
        <f t="shared" si="34"/>
        <v>1.757376059561838E-4</v>
      </c>
      <c r="Q138" s="2219">
        <f t="shared" si="35"/>
        <v>0</v>
      </c>
      <c r="R138" s="1227"/>
      <c r="S138" s="1227"/>
      <c r="T138" s="139"/>
      <c r="U138" s="1227"/>
      <c r="V138" s="1227"/>
      <c r="W138" s="1227"/>
      <c r="X138" s="1227"/>
      <c r="Y138" s="1227"/>
      <c r="Z138" s="1227"/>
      <c r="AA138" s="139"/>
      <c r="AB138" s="139"/>
    </row>
    <row r="139" spans="1:30" x14ac:dyDescent="0.25">
      <c r="A139" s="1553">
        <f t="shared" si="36"/>
        <v>126</v>
      </c>
      <c r="B139" s="1568">
        <v>549</v>
      </c>
      <c r="C139" s="1569"/>
      <c r="D139" s="1569"/>
      <c r="E139" s="1570">
        <f>SUM(E110:E138)</f>
        <v>59585.395960000009</v>
      </c>
      <c r="F139" s="1561">
        <f>SUM(F110:F138)</f>
        <v>30595336.990000006</v>
      </c>
      <c r="G139" s="1570">
        <f>SUM(G110:G138)</f>
        <v>3597.3355499999998</v>
      </c>
      <c r="H139" s="1562">
        <f>SUM(H110:H138)</f>
        <v>3597335.5500000003</v>
      </c>
      <c r="I139" s="1571">
        <f>SUM(I110:I138)</f>
        <v>34192.67254</v>
      </c>
      <c r="J139" s="1564"/>
      <c r="K139" s="1822"/>
      <c r="L139" s="1822"/>
      <c r="M139" s="1823"/>
      <c r="N139" s="1822"/>
      <c r="O139" s="2216"/>
      <c r="P139" s="2219">
        <f t="shared" si="34"/>
        <v>0.14987397429383506</v>
      </c>
      <c r="Q139" s="2219">
        <f t="shared" si="35"/>
        <v>7.9102305561052841E-2</v>
      </c>
      <c r="R139" s="1227"/>
      <c r="S139" s="1227"/>
      <c r="T139" s="139"/>
      <c r="U139" s="1227"/>
      <c r="V139" s="1227"/>
      <c r="W139" s="1227"/>
      <c r="X139" s="1227"/>
      <c r="Y139" s="1227"/>
      <c r="Z139" s="1227"/>
      <c r="AA139" s="139"/>
      <c r="AB139" s="139"/>
    </row>
    <row r="140" spans="1:30" x14ac:dyDescent="0.25">
      <c r="A140" s="1553">
        <f t="shared" si="36"/>
        <v>127</v>
      </c>
      <c r="B140" s="1572">
        <v>551</v>
      </c>
      <c r="C140" s="1573">
        <v>5511</v>
      </c>
      <c r="D140" s="1573" t="s">
        <v>1628</v>
      </c>
      <c r="E140" s="1574">
        <f t="shared" ref="E140:E142" si="73">F140/1000</f>
        <v>1746.3330000000001</v>
      </c>
      <c r="F140" s="1556">
        <f>M140</f>
        <v>1746333</v>
      </c>
      <c r="G140" s="1574">
        <f t="shared" ref="G140:G142" si="74">H140/1000</f>
        <v>0</v>
      </c>
      <c r="H140" s="1557">
        <f>O140</f>
        <v>0</v>
      </c>
      <c r="I140" s="1551">
        <f t="shared" si="65"/>
        <v>1746.3330000000001</v>
      </c>
      <c r="J140" s="1552"/>
      <c r="K140" s="1822">
        <v>551</v>
      </c>
      <c r="L140" s="1822">
        <v>5511</v>
      </c>
      <c r="M140" s="1824">
        <v>1746333</v>
      </c>
      <c r="N140" s="1816"/>
      <c r="O140" s="1817"/>
      <c r="P140" s="2219">
        <f t="shared" si="34"/>
        <v>4.3925170410242225E-3</v>
      </c>
      <c r="Q140" s="2219">
        <f t="shared" si="35"/>
        <v>0</v>
      </c>
      <c r="R140" s="1227"/>
      <c r="S140" s="1227"/>
      <c r="T140" s="139"/>
      <c r="U140" s="1227"/>
      <c r="V140" s="1227"/>
      <c r="W140" s="1227"/>
      <c r="X140" s="1227"/>
      <c r="Y140" s="1227"/>
      <c r="Z140" s="1227"/>
      <c r="AA140" s="139"/>
      <c r="AB140" s="139"/>
    </row>
    <row r="141" spans="1:30" x14ac:dyDescent="0.25">
      <c r="A141" s="1553">
        <f t="shared" si="36"/>
        <v>128</v>
      </c>
      <c r="B141" s="1572">
        <v>551</v>
      </c>
      <c r="C141" s="1573">
        <v>5512</v>
      </c>
      <c r="D141" s="1573" t="s">
        <v>1629</v>
      </c>
      <c r="E141" s="1574">
        <f t="shared" si="73"/>
        <v>18942.245879999999</v>
      </c>
      <c r="F141" s="1556">
        <f t="shared" ref="F141:F142" si="75">M141</f>
        <v>18942245.879999999</v>
      </c>
      <c r="G141" s="1574">
        <f t="shared" si="74"/>
        <v>0</v>
      </c>
      <c r="H141" s="1557">
        <f t="shared" ref="H141:H142" si="76">O141</f>
        <v>0</v>
      </c>
      <c r="I141" s="1551">
        <f t="shared" si="65"/>
        <v>18942.245879999999</v>
      </c>
      <c r="J141" s="1552"/>
      <c r="K141" s="1822">
        <v>551</v>
      </c>
      <c r="L141" s="1822">
        <v>5512</v>
      </c>
      <c r="M141" s="1824">
        <v>18942245.879999999</v>
      </c>
      <c r="N141" s="1816"/>
      <c r="O141" s="1817"/>
      <c r="P141" s="2219">
        <f t="shared" si="34"/>
        <v>4.7645058429962014E-2</v>
      </c>
      <c r="Q141" s="2219">
        <f t="shared" si="35"/>
        <v>0</v>
      </c>
      <c r="R141" s="1227"/>
      <c r="S141" s="1227"/>
      <c r="T141" s="139"/>
      <c r="U141" s="1227"/>
      <c r="V141" s="1227"/>
      <c r="W141" s="1227"/>
      <c r="X141" s="1227"/>
      <c r="Y141" s="1227"/>
      <c r="Z141" s="1227"/>
      <c r="AA141" s="139"/>
      <c r="AB141" s="139"/>
    </row>
    <row r="142" spans="1:30" x14ac:dyDescent="0.25">
      <c r="A142" s="1553">
        <f t="shared" si="36"/>
        <v>129</v>
      </c>
      <c r="B142" s="1572">
        <v>551</v>
      </c>
      <c r="C142" s="1573">
        <v>5513</v>
      </c>
      <c r="D142" s="1573" t="s">
        <v>1630</v>
      </c>
      <c r="E142" s="1574">
        <f t="shared" si="73"/>
        <v>1003.52124</v>
      </c>
      <c r="F142" s="1556">
        <f t="shared" si="75"/>
        <v>1003521.24</v>
      </c>
      <c r="G142" s="1574">
        <f t="shared" si="74"/>
        <v>0</v>
      </c>
      <c r="H142" s="1557">
        <f t="shared" si="76"/>
        <v>0</v>
      </c>
      <c r="I142" s="1551">
        <f t="shared" si="65"/>
        <v>1003.52124</v>
      </c>
      <c r="J142" s="1552"/>
      <c r="K142" s="1822">
        <v>551</v>
      </c>
      <c r="L142" s="1822">
        <v>5513</v>
      </c>
      <c r="M142" s="1824">
        <v>1003521.24</v>
      </c>
      <c r="N142" s="1816"/>
      <c r="O142" s="1817"/>
      <c r="P142" s="2219">
        <f t="shared" si="34"/>
        <v>2.5241372336946952E-3</v>
      </c>
      <c r="Q142" s="2219">
        <f t="shared" si="35"/>
        <v>0</v>
      </c>
      <c r="R142" s="1227"/>
      <c r="S142" s="1227"/>
      <c r="T142" s="139"/>
      <c r="U142" s="1227"/>
      <c r="V142" s="1227"/>
      <c r="W142" s="1227"/>
      <c r="X142" s="1227"/>
      <c r="Y142" s="1227"/>
      <c r="Z142" s="1227"/>
      <c r="AA142" s="139"/>
      <c r="AB142" s="139"/>
    </row>
    <row r="143" spans="1:30" x14ac:dyDescent="0.25">
      <c r="A143" s="2199">
        <f t="shared" si="36"/>
        <v>130</v>
      </c>
      <c r="B143" s="1621">
        <v>551</v>
      </c>
      <c r="C143" s="1622"/>
      <c r="D143" s="1622"/>
      <c r="E143" s="1623">
        <f>SUM(E140:E142)</f>
        <v>21692.100119999996</v>
      </c>
      <c r="F143" s="2238">
        <f>SUM(F140:F142)</f>
        <v>21692100.119999997</v>
      </c>
      <c r="G143" s="1623">
        <f>SUM(G140:G142)</f>
        <v>0</v>
      </c>
      <c r="H143" s="1625">
        <f>SUM(H140:H142)</f>
        <v>0</v>
      </c>
      <c r="I143" s="1626">
        <f>SUM(I140:I142)</f>
        <v>21692.100119999996</v>
      </c>
      <c r="J143" s="2239"/>
      <c r="K143" s="2250" t="s">
        <v>1825</v>
      </c>
      <c r="L143" s="2251"/>
      <c r="M143" s="2252">
        <f>SUM(M12:M142)</f>
        <v>397569723.03000009</v>
      </c>
      <c r="N143" s="2253"/>
      <c r="O143" s="2254">
        <f>SUM(O12:O142)</f>
        <v>45476889.800000004</v>
      </c>
      <c r="P143" s="2243">
        <f t="shared" ref="P143:P145" si="77">E143/397570</f>
        <v>5.4561712704680923E-2</v>
      </c>
      <c r="Q143" s="2219">
        <f t="shared" ref="Q143:Q145" si="78">G143/45477</f>
        <v>0</v>
      </c>
      <c r="R143" s="1227"/>
      <c r="S143" s="1227"/>
      <c r="T143" s="139"/>
      <c r="U143" s="1227"/>
      <c r="V143" s="1227"/>
      <c r="W143" s="1227"/>
      <c r="X143" s="1227"/>
      <c r="Y143" s="1227"/>
      <c r="Z143" s="1227"/>
      <c r="AA143" s="139"/>
      <c r="AB143" s="139"/>
    </row>
    <row r="144" spans="1:30" ht="15.75" thickBot="1" x14ac:dyDescent="0.3">
      <c r="A144" s="1659">
        <f t="shared" ref="A144:A145" si="79">A143+1</f>
        <v>131</v>
      </c>
      <c r="B144" s="1580">
        <v>591</v>
      </c>
      <c r="C144" s="1581">
        <v>591</v>
      </c>
      <c r="D144" s="1581" t="s">
        <v>1631</v>
      </c>
      <c r="E144" s="1582">
        <f t="shared" ref="E144" si="80">F144/1000</f>
        <v>374.69542999999999</v>
      </c>
      <c r="F144" s="1561">
        <f>M144</f>
        <v>374695.43</v>
      </c>
      <c r="G144" s="1582">
        <f t="shared" ref="G144" si="81">H144/1000</f>
        <v>1196.3545800000002</v>
      </c>
      <c r="H144" s="1835">
        <f>O144</f>
        <v>1196354.58</v>
      </c>
      <c r="I144" s="1571">
        <f>E144+G144</f>
        <v>1571.0500100000002</v>
      </c>
      <c r="J144" s="1564"/>
      <c r="K144" s="1227" t="s">
        <v>1826</v>
      </c>
      <c r="L144" s="1227">
        <v>591</v>
      </c>
      <c r="M144" s="1639">
        <v>374695.43</v>
      </c>
      <c r="N144" s="1822">
        <v>591</v>
      </c>
      <c r="O144" s="2215">
        <v>1196354.58</v>
      </c>
      <c r="P144" s="2219">
        <f t="shared" si="77"/>
        <v>9.4246404406771135E-4</v>
      </c>
      <c r="Q144" s="2219">
        <f t="shared" si="78"/>
        <v>2.6306805198232076E-2</v>
      </c>
      <c r="R144" s="1227"/>
      <c r="S144" s="1227"/>
      <c r="T144" s="139"/>
      <c r="U144" s="1227"/>
      <c r="V144" s="1227"/>
      <c r="W144" s="1227"/>
      <c r="X144" s="1227"/>
      <c r="Y144" s="1227"/>
      <c r="Z144" s="1227"/>
      <c r="AA144" s="139"/>
      <c r="AB144" s="139"/>
    </row>
    <row r="145" spans="1:33" ht="16.5" thickTop="1" thickBot="1" x14ac:dyDescent="0.3">
      <c r="A145" s="2213">
        <f t="shared" si="79"/>
        <v>132</v>
      </c>
      <c r="B145" s="1583"/>
      <c r="C145" s="1583"/>
      <c r="D145" s="1584" t="s">
        <v>427</v>
      </c>
      <c r="E145" s="1585">
        <f>SUM(E12:E144)-E20-E25-E29-E32-E37-E40-E87-E92-E95-E103-E109-E139-E143-E128-E96</f>
        <v>397944.41845999984</v>
      </c>
      <c r="F145" s="1585">
        <f t="shared" ref="F145:I145" si="82">SUM(F12:F144)-F20-F25-F29-F32-F37-F40-F87-F92-F95-F103-F109-F139-F143</f>
        <v>397944418.45999998</v>
      </c>
      <c r="G145" s="1585">
        <f>SUM(G12:G144)-G20-G25-G29-G32-G37-G40-G87-G92-G95-G103-G109-G139-G143-G96</f>
        <v>46673.244380000033</v>
      </c>
      <c r="H145" s="1585">
        <f t="shared" si="82"/>
        <v>46673244.38000001</v>
      </c>
      <c r="I145" s="1586">
        <f t="shared" si="82"/>
        <v>444617.66283999989</v>
      </c>
      <c r="J145" s="1564"/>
      <c r="K145" s="1832" t="s">
        <v>1827</v>
      </c>
      <c r="L145" s="1833"/>
      <c r="M145" s="1834">
        <f>SUM(M143:M144)</f>
        <v>397944418.4600001</v>
      </c>
      <c r="N145" s="1227"/>
      <c r="O145" s="1639">
        <f>SUM(O143:O144)</f>
        <v>46673244.380000003</v>
      </c>
      <c r="P145" s="2219">
        <f t="shared" si="77"/>
        <v>1.0009417673868748</v>
      </c>
      <c r="Q145" s="2219">
        <f t="shared" si="78"/>
        <v>1.0263043819952951</v>
      </c>
      <c r="R145" s="1227"/>
      <c r="S145" s="1227"/>
      <c r="T145" s="139"/>
      <c r="U145" s="1227"/>
      <c r="V145" s="1227"/>
      <c r="W145" s="1227"/>
      <c r="X145" s="1227"/>
      <c r="Y145" s="1227"/>
      <c r="Z145" s="1227"/>
      <c r="AA145" s="139"/>
      <c r="AB145" s="139"/>
    </row>
    <row r="146" spans="1:33" ht="15.75" thickTop="1" x14ac:dyDescent="0.25">
      <c r="A146" s="1587"/>
      <c r="B146" s="1588"/>
      <c r="C146" s="1588"/>
      <c r="D146" s="1588"/>
      <c r="E146" s="1589"/>
      <c r="F146" s="1590"/>
      <c r="G146" s="1589"/>
      <c r="H146" s="1590"/>
      <c r="I146" s="1589"/>
      <c r="J146" s="1589"/>
      <c r="K146" s="1227"/>
      <c r="L146" s="1227"/>
      <c r="M146" s="1227"/>
      <c r="N146" s="1227"/>
      <c r="O146" s="1227"/>
      <c r="P146" s="1227"/>
      <c r="Q146" s="1227"/>
      <c r="R146" s="1227"/>
      <c r="S146" s="1227"/>
      <c r="T146" s="139"/>
      <c r="U146" s="1227"/>
      <c r="V146" s="1227"/>
      <c r="W146" s="1227"/>
      <c r="X146" s="1227"/>
      <c r="Y146" s="1227"/>
      <c r="Z146" s="1227"/>
      <c r="AA146" s="139"/>
      <c r="AB146" s="139"/>
    </row>
    <row r="147" spans="1:33" x14ac:dyDescent="0.25">
      <c r="A147" s="1587"/>
      <c r="B147" s="1588"/>
      <c r="C147" s="1588"/>
      <c r="D147" s="1588"/>
      <c r="E147" s="1591">
        <f>E145/I145</f>
        <v>0.89502611281370559</v>
      </c>
      <c r="F147" s="1592"/>
      <c r="G147" s="1592">
        <f>G145/I145</f>
        <v>0.10497388718629441</v>
      </c>
      <c r="H147" s="1592"/>
      <c r="I147" s="1592">
        <f>I145/I145</f>
        <v>1</v>
      </c>
      <c r="J147" s="1592"/>
      <c r="K147" s="1227"/>
      <c r="L147" s="1227"/>
      <c r="M147" s="1227"/>
      <c r="N147" s="1227"/>
      <c r="O147" s="1227"/>
      <c r="P147" s="1227"/>
      <c r="Q147" s="1227"/>
      <c r="R147" s="1227"/>
      <c r="S147" s="1227"/>
      <c r="T147" s="139"/>
      <c r="U147" s="1227"/>
      <c r="V147" s="1227"/>
      <c r="W147" s="1227"/>
      <c r="X147" s="1227"/>
      <c r="Y147" s="1227"/>
      <c r="Z147" s="1227"/>
      <c r="AA147" s="139"/>
      <c r="AB147" s="139"/>
    </row>
    <row r="148" spans="1:33" x14ac:dyDescent="0.25">
      <c r="A148" s="1587"/>
      <c r="B148" s="1588"/>
      <c r="C148" s="1588"/>
      <c r="D148" s="1588"/>
      <c r="E148" s="1589"/>
      <c r="F148" s="1590"/>
      <c r="G148" s="1589"/>
      <c r="H148" s="1590"/>
      <c r="I148" s="1593"/>
      <c r="J148" s="1593"/>
      <c r="K148" s="1227"/>
      <c r="L148" s="1227"/>
      <c r="M148" s="1227"/>
      <c r="N148" s="1227"/>
      <c r="O148" s="1227"/>
      <c r="P148" s="1227"/>
      <c r="Q148" s="1227"/>
      <c r="R148" s="1227"/>
      <c r="S148" s="1227"/>
      <c r="T148" s="139"/>
      <c r="U148" s="1227"/>
      <c r="V148" s="1227"/>
      <c r="W148" s="1227"/>
      <c r="X148" s="1227"/>
      <c r="Y148" s="1227"/>
      <c r="Z148" s="1227"/>
      <c r="AA148" s="139"/>
      <c r="AB148" s="139"/>
    </row>
    <row r="149" spans="1:33" x14ac:dyDescent="0.25">
      <c r="A149" s="1587"/>
      <c r="B149" s="1588"/>
      <c r="C149" s="1588"/>
      <c r="D149" s="1588"/>
      <c r="E149" s="1813">
        <v>397570</v>
      </c>
      <c r="F149" s="1814"/>
      <c r="G149" s="1813">
        <v>45477</v>
      </c>
      <c r="H149" s="1814"/>
      <c r="I149" s="1815">
        <f t="shared" ref="I149" si="83">E149+G149</f>
        <v>443047</v>
      </c>
      <c r="J149" s="1594"/>
      <c r="K149" s="1227"/>
      <c r="L149" s="1227"/>
      <c r="M149" s="1227"/>
      <c r="N149" s="1227"/>
      <c r="O149" s="1227"/>
      <c r="P149" s="1227"/>
      <c r="Q149" s="1227"/>
      <c r="R149" s="1227"/>
      <c r="S149" s="1227"/>
      <c r="T149" s="139"/>
      <c r="U149" s="1227"/>
      <c r="V149" s="1227"/>
      <c r="W149" s="1227"/>
      <c r="X149" s="1227"/>
      <c r="Y149" s="1227"/>
      <c r="Z149" s="1227"/>
      <c r="AA149" s="139"/>
      <c r="AB149" s="139"/>
    </row>
    <row r="150" spans="1:33" x14ac:dyDescent="0.25">
      <c r="A150" s="1587"/>
      <c r="B150" s="1588"/>
      <c r="C150" s="1588"/>
      <c r="D150" s="1588"/>
      <c r="E150" s="1589">
        <f>-E145</f>
        <v>-397944.41845999984</v>
      </c>
      <c r="F150" s="1040"/>
      <c r="G150" s="1589">
        <f>-G145</f>
        <v>-46673.244380000033</v>
      </c>
      <c r="H150" s="1040"/>
      <c r="I150" s="1589">
        <f>-I145</f>
        <v>-444617.66283999989</v>
      </c>
      <c r="J150" s="1594" t="s">
        <v>1632</v>
      </c>
      <c r="K150" s="1227"/>
      <c r="L150" s="1227"/>
      <c r="M150" s="1227"/>
      <c r="N150" s="1227"/>
      <c r="O150" s="1227"/>
      <c r="P150" s="1227"/>
      <c r="Q150" s="1227"/>
      <c r="R150" s="1227"/>
      <c r="S150" s="1227"/>
      <c r="T150" s="139"/>
      <c r="U150" s="1227"/>
      <c r="V150" s="1227"/>
      <c r="W150" s="1227"/>
      <c r="X150" s="1227"/>
      <c r="Y150" s="1227"/>
      <c r="Z150" s="1227"/>
      <c r="AA150" s="139"/>
      <c r="AB150" s="139"/>
    </row>
    <row r="151" spans="1:33" x14ac:dyDescent="0.25">
      <c r="A151" s="1587"/>
      <c r="B151" s="1588"/>
      <c r="C151" s="1588"/>
      <c r="D151" s="1588"/>
      <c r="E151" s="1589">
        <f>SUM(E149:E150)</f>
        <v>-374.41845999984071</v>
      </c>
      <c r="F151" s="1040"/>
      <c r="G151" s="1589">
        <f>SUM(G149:G150)</f>
        <v>-1196.2443800000328</v>
      </c>
      <c r="H151" s="1040"/>
      <c r="I151" s="1589">
        <f>SUM(I149:I150)</f>
        <v>-1570.6628399998881</v>
      </c>
      <c r="J151" s="1841" t="s">
        <v>1833</v>
      </c>
      <c r="K151" s="1227"/>
      <c r="L151" s="1227"/>
      <c r="M151" s="1227"/>
      <c r="N151" s="1227"/>
      <c r="O151" s="1227"/>
      <c r="P151" s="1227"/>
      <c r="Q151" s="1227"/>
      <c r="R151" s="1227"/>
      <c r="S151" s="1227"/>
      <c r="T151" s="139"/>
      <c r="U151" s="1227"/>
      <c r="V151" s="1227"/>
      <c r="W151" s="1227"/>
      <c r="X151" s="1227"/>
      <c r="Y151" s="1227"/>
      <c r="Z151" s="1227"/>
      <c r="AA151" s="139"/>
      <c r="AB151" s="139"/>
    </row>
    <row r="152" spans="1:33" x14ac:dyDescent="0.25">
      <c r="A152" s="1587"/>
      <c r="B152" s="1588"/>
      <c r="C152" s="1588"/>
      <c r="D152" s="1588"/>
      <c r="E152" s="1589"/>
      <c r="F152" s="1040"/>
      <c r="G152" s="1589"/>
      <c r="H152" s="1040"/>
      <c r="I152" s="1593"/>
      <c r="J152" s="1593"/>
      <c r="K152" s="1227"/>
      <c r="L152" s="1227"/>
      <c r="M152" s="1227"/>
      <c r="N152" s="1227"/>
      <c r="O152" s="1227"/>
      <c r="P152" s="1227"/>
      <c r="Q152" s="1227"/>
      <c r="R152" s="1227"/>
      <c r="S152" s="1227"/>
      <c r="T152" s="139"/>
      <c r="U152" s="1227"/>
      <c r="V152" s="1227"/>
      <c r="W152" s="1227"/>
      <c r="X152" s="1227"/>
      <c r="Y152" s="1227"/>
      <c r="Z152" s="1227"/>
      <c r="AA152" s="139"/>
      <c r="AB152" s="139"/>
    </row>
    <row r="153" spans="1:33" ht="26.25" x14ac:dyDescent="0.25">
      <c r="A153" s="2507" t="s">
        <v>1521</v>
      </c>
      <c r="B153" s="2507"/>
      <c r="C153" s="2507"/>
      <c r="D153" s="2507"/>
      <c r="E153" s="2507"/>
      <c r="F153" s="2507"/>
      <c r="G153" s="2507"/>
      <c r="H153" s="2507"/>
      <c r="I153" s="2507"/>
      <c r="J153" s="1589"/>
      <c r="K153" s="1227"/>
      <c r="L153" s="1227"/>
      <c r="M153" s="1227"/>
      <c r="N153" s="1227"/>
      <c r="O153" s="1227"/>
      <c r="P153" s="1227"/>
      <c r="Q153" s="1227"/>
      <c r="R153" s="1227"/>
      <c r="S153" s="1227"/>
      <c r="T153" s="139"/>
      <c r="U153" s="1227"/>
      <c r="V153" s="1227"/>
      <c r="W153" s="1227"/>
      <c r="X153" s="1227"/>
      <c r="Y153" s="1227"/>
      <c r="Z153" s="1227"/>
      <c r="AA153" s="139"/>
      <c r="AB153" s="139"/>
    </row>
    <row r="154" spans="1:33" ht="16.5" thickBot="1" x14ac:dyDescent="0.3">
      <c r="A154" s="1532"/>
      <c r="B154" s="1532"/>
      <c r="C154" s="1532"/>
      <c r="D154" s="1532"/>
      <c r="E154" s="1532"/>
      <c r="F154" s="1533" t="s">
        <v>1522</v>
      </c>
      <c r="G154" s="1533"/>
      <c r="H154" s="1533" t="s">
        <v>1523</v>
      </c>
      <c r="I154" s="1533"/>
      <c r="J154" s="1589"/>
      <c r="K154" s="1227"/>
      <c r="L154" s="1227"/>
      <c r="M154" s="1836" t="s">
        <v>1832</v>
      </c>
      <c r="N154" s="1227"/>
      <c r="O154" s="1227"/>
      <c r="P154" s="1227"/>
      <c r="Q154" s="1227"/>
      <c r="R154" s="1227"/>
      <c r="S154" s="1227"/>
      <c r="T154" s="139"/>
      <c r="U154" s="1227"/>
      <c r="V154" s="1227"/>
      <c r="W154" s="1227"/>
      <c r="X154" s="1227"/>
      <c r="Y154" s="1227"/>
      <c r="Z154" s="1227"/>
      <c r="AA154" s="139"/>
      <c r="AB154" s="139"/>
    </row>
    <row r="155" spans="1:33" ht="16.5" thickTop="1" thickBot="1" x14ac:dyDescent="0.3">
      <c r="A155" s="1534" t="s">
        <v>1524</v>
      </c>
      <c r="B155" s="1535" t="s">
        <v>1525</v>
      </c>
      <c r="C155" s="1535" t="s">
        <v>1526</v>
      </c>
      <c r="D155" s="1536" t="s">
        <v>1527</v>
      </c>
      <c r="E155" s="1536" t="s">
        <v>1522</v>
      </c>
      <c r="F155" s="1537"/>
      <c r="G155" s="1538" t="s">
        <v>1523</v>
      </c>
      <c r="H155" s="1538"/>
      <c r="I155" s="1539" t="s">
        <v>1528</v>
      </c>
      <c r="J155" s="1589"/>
      <c r="K155" s="1227"/>
      <c r="L155" s="1227"/>
      <c r="M155" s="1227"/>
      <c r="N155" s="1572">
        <v>549</v>
      </c>
      <c r="O155" s="1573">
        <v>549445</v>
      </c>
      <c r="X155" s="1227"/>
      <c r="Y155" s="1227"/>
      <c r="Z155" s="1227"/>
      <c r="AA155" s="139"/>
      <c r="AB155" s="139"/>
    </row>
    <row r="156" spans="1:33" ht="15.75" thickTop="1" x14ac:dyDescent="0.25">
      <c r="A156" s="2205"/>
      <c r="B156" s="2206" t="s">
        <v>558</v>
      </c>
      <c r="C156" s="2206" t="s">
        <v>559</v>
      </c>
      <c r="D156" s="2206" t="s">
        <v>560</v>
      </c>
      <c r="E156" s="2206" t="s">
        <v>561</v>
      </c>
      <c r="F156" s="2207"/>
      <c r="G156" s="2207" t="s">
        <v>562</v>
      </c>
      <c r="H156" s="2207"/>
      <c r="I156" s="2208" t="s">
        <v>563</v>
      </c>
      <c r="M156" s="1567">
        <f t="shared" ref="M156" si="84">M155+1</f>
        <v>1</v>
      </c>
      <c r="N156" s="1572">
        <v>549</v>
      </c>
      <c r="O156" s="1573">
        <v>549446</v>
      </c>
    </row>
    <row r="157" spans="1:33" x14ac:dyDescent="0.25">
      <c r="A157" s="2209">
        <v>1</v>
      </c>
      <c r="B157" s="1572">
        <v>501</v>
      </c>
      <c r="C157" s="1573">
        <v>5011</v>
      </c>
      <c r="D157" s="1573" t="s">
        <v>1529</v>
      </c>
      <c r="E157" s="1574">
        <f>F157/1000</f>
        <v>89.565989999999999</v>
      </c>
      <c r="F157" s="2166">
        <f>M157</f>
        <v>89565.99</v>
      </c>
      <c r="G157" s="1574">
        <f>H157/1000</f>
        <v>3.3847199999999997</v>
      </c>
      <c r="H157" s="1575">
        <f>O157</f>
        <v>3384.72</v>
      </c>
      <c r="I157" s="1551">
        <f>E157+G157</f>
        <v>92.950710000000001</v>
      </c>
      <c r="J157" s="1552"/>
      <c r="K157" s="1822">
        <v>501</v>
      </c>
      <c r="L157" s="1822">
        <v>5011</v>
      </c>
      <c r="M157" s="1824">
        <v>89565.99</v>
      </c>
      <c r="N157" s="1822">
        <v>5011</v>
      </c>
      <c r="O157" s="1839">
        <v>3384.72</v>
      </c>
      <c r="P157" s="1227"/>
      <c r="Q157" s="1227"/>
      <c r="R157" s="1227"/>
      <c r="S157" s="1227"/>
      <c r="T157" s="139"/>
      <c r="U157" s="1530"/>
      <c r="V157" s="1227"/>
      <c r="W157" s="1227"/>
      <c r="X157" s="1227"/>
      <c r="Y157" s="1227"/>
      <c r="Z157" s="1227"/>
      <c r="AA157" s="1228"/>
      <c r="AB157" s="1228"/>
      <c r="AC157" s="139"/>
      <c r="AD157" s="139"/>
      <c r="AE157" s="139"/>
      <c r="AF157" s="139"/>
      <c r="AG157" s="139"/>
    </row>
    <row r="158" spans="1:33" x14ac:dyDescent="0.25">
      <c r="A158" s="1567">
        <f>A157+1</f>
        <v>2</v>
      </c>
      <c r="B158" s="1572">
        <v>501</v>
      </c>
      <c r="C158" s="1573">
        <v>50111</v>
      </c>
      <c r="D158" s="1573" t="s">
        <v>1530</v>
      </c>
      <c r="E158" s="1574">
        <f t="shared" ref="E158:E164" si="85">F158/1000</f>
        <v>595.16543999999999</v>
      </c>
      <c r="F158" s="2166">
        <f t="shared" ref="F158:F164" si="86">M158</f>
        <v>595165.43999999994</v>
      </c>
      <c r="G158" s="1574">
        <f t="shared" ref="G158:G164" si="87">H158/1000</f>
        <v>42.753860000000003</v>
      </c>
      <c r="H158" s="1575">
        <f t="shared" ref="H158:H164" si="88">O158</f>
        <v>42753.86</v>
      </c>
      <c r="I158" s="1551">
        <f t="shared" ref="I158:I164" si="89">E158+G158</f>
        <v>637.91930000000002</v>
      </c>
      <c r="J158" s="1552"/>
      <c r="K158" s="1822">
        <v>501</v>
      </c>
      <c r="L158" s="1822">
        <v>50111</v>
      </c>
      <c r="M158" s="1824">
        <v>595165.43999999994</v>
      </c>
      <c r="N158" s="1822">
        <v>50111</v>
      </c>
      <c r="O158" s="1839">
        <v>42753.86</v>
      </c>
      <c r="P158" s="1227"/>
      <c r="Q158" s="1227"/>
      <c r="R158" s="1227"/>
      <c r="S158" s="1227"/>
      <c r="T158" s="139"/>
      <c r="U158" s="1530"/>
      <c r="V158" s="1227"/>
      <c r="W158" s="1227"/>
      <c r="X158" s="1227"/>
      <c r="Y158" s="1227"/>
      <c r="Z158" s="1227"/>
      <c r="AA158" s="1228"/>
      <c r="AB158" s="1228"/>
      <c r="AC158" s="139"/>
      <c r="AD158" s="139"/>
      <c r="AE158" s="139"/>
      <c r="AF158" s="139"/>
      <c r="AG158" s="139"/>
    </row>
    <row r="159" spans="1:33" x14ac:dyDescent="0.25">
      <c r="A159" s="1567">
        <f t="shared" ref="A159:A222" si="90">A158+1</f>
        <v>3</v>
      </c>
      <c r="B159" s="1572">
        <v>501</v>
      </c>
      <c r="C159" s="1573">
        <v>50112</v>
      </c>
      <c r="D159" s="1573" t="s">
        <v>1531</v>
      </c>
      <c r="E159" s="1574">
        <f t="shared" si="85"/>
        <v>5404.1273799999999</v>
      </c>
      <c r="F159" s="2166">
        <f t="shared" si="86"/>
        <v>5404127.3799999999</v>
      </c>
      <c r="G159" s="1574">
        <f t="shared" si="87"/>
        <v>236.40125</v>
      </c>
      <c r="H159" s="1575">
        <f t="shared" si="88"/>
        <v>236401.25</v>
      </c>
      <c r="I159" s="1551">
        <f t="shared" si="89"/>
        <v>5640.5286299999998</v>
      </c>
      <c r="J159" s="1552"/>
      <c r="K159" s="1822">
        <v>501</v>
      </c>
      <c r="L159" s="1822">
        <v>50112</v>
      </c>
      <c r="M159" s="1824">
        <v>5404127.3799999999</v>
      </c>
      <c r="N159" s="1822">
        <v>50112</v>
      </c>
      <c r="O159" s="1839">
        <v>236401.25</v>
      </c>
      <c r="P159" s="1227"/>
      <c r="Q159" s="1227"/>
      <c r="R159" s="1227"/>
      <c r="S159" s="1227"/>
      <c r="T159" s="139"/>
      <c r="U159" s="1530"/>
      <c r="V159" s="1227"/>
      <c r="W159" s="1227"/>
      <c r="X159" s="1227"/>
      <c r="Y159" s="1227"/>
      <c r="Z159" s="1227"/>
      <c r="AA159" s="1228"/>
      <c r="AB159" s="1228"/>
      <c r="AC159" s="139"/>
      <c r="AD159" s="139"/>
      <c r="AE159" s="139"/>
      <c r="AF159" s="139"/>
      <c r="AG159" s="139"/>
    </row>
    <row r="160" spans="1:33" x14ac:dyDescent="0.25">
      <c r="A160" s="1567">
        <f t="shared" si="90"/>
        <v>4</v>
      </c>
      <c r="B160" s="2179">
        <v>501</v>
      </c>
      <c r="C160" s="1578">
        <v>501122</v>
      </c>
      <c r="D160" s="1573" t="s">
        <v>1532</v>
      </c>
      <c r="E160" s="1574">
        <f t="shared" si="85"/>
        <v>31.398310000000002</v>
      </c>
      <c r="F160" s="2166">
        <f t="shared" si="86"/>
        <v>31398.31</v>
      </c>
      <c r="G160" s="1574">
        <f t="shared" si="87"/>
        <v>0</v>
      </c>
      <c r="H160" s="1575">
        <f t="shared" si="88"/>
        <v>0</v>
      </c>
      <c r="I160" s="1551">
        <f t="shared" si="89"/>
        <v>31.398310000000002</v>
      </c>
      <c r="J160" s="1552"/>
      <c r="K160" s="1822">
        <v>501</v>
      </c>
      <c r="L160" s="1822">
        <v>501122</v>
      </c>
      <c r="M160" s="1824">
        <v>31398.31</v>
      </c>
      <c r="N160" s="1822"/>
      <c r="O160" s="1839"/>
      <c r="P160" s="1227"/>
      <c r="Q160" s="1227"/>
      <c r="R160" s="1227"/>
      <c r="S160" s="1227"/>
      <c r="T160" s="139"/>
      <c r="U160" s="1530"/>
      <c r="V160" s="1227"/>
      <c r="W160" s="1227"/>
      <c r="X160" s="1227"/>
      <c r="Y160" s="1227"/>
      <c r="Z160" s="1227"/>
      <c r="AA160" s="1228"/>
      <c r="AB160" s="1228"/>
      <c r="AC160" s="139"/>
      <c r="AD160" s="139"/>
      <c r="AE160" s="139"/>
      <c r="AF160" s="139"/>
      <c r="AG160" s="139"/>
    </row>
    <row r="161" spans="1:33" x14ac:dyDescent="0.25">
      <c r="A161" s="1567">
        <f t="shared" si="90"/>
        <v>5</v>
      </c>
      <c r="B161" s="1572">
        <v>501</v>
      </c>
      <c r="C161" s="1573">
        <v>5012</v>
      </c>
      <c r="D161" s="1573" t="s">
        <v>1533</v>
      </c>
      <c r="E161" s="1574">
        <f t="shared" si="85"/>
        <v>8653.8283499999998</v>
      </c>
      <c r="F161" s="2166">
        <f t="shared" si="86"/>
        <v>8653828.3499999996</v>
      </c>
      <c r="G161" s="1574">
        <f t="shared" si="87"/>
        <v>2239.7550899999997</v>
      </c>
      <c r="H161" s="1575">
        <f t="shared" si="88"/>
        <v>2239755.09</v>
      </c>
      <c r="I161" s="1551">
        <f t="shared" si="89"/>
        <v>10893.583439999999</v>
      </c>
      <c r="J161" s="1552"/>
      <c r="K161" s="1822">
        <v>501</v>
      </c>
      <c r="L161" s="1822">
        <v>5012</v>
      </c>
      <c r="M161" s="1824">
        <v>8653828.3499999996</v>
      </c>
      <c r="N161" s="1822">
        <v>5012</v>
      </c>
      <c r="O161" s="1839">
        <v>2239755.09</v>
      </c>
      <c r="P161" s="1227"/>
      <c r="Q161" s="1227"/>
      <c r="R161" s="1227"/>
      <c r="S161" s="1227"/>
      <c r="T161" s="139"/>
      <c r="U161" s="1530"/>
      <c r="V161" s="1227"/>
      <c r="W161" s="1227"/>
      <c r="X161" s="1227"/>
      <c r="Y161" s="1227"/>
      <c r="Z161" s="1227"/>
      <c r="AA161" s="1228"/>
      <c r="AB161" s="1228"/>
      <c r="AC161" s="139"/>
      <c r="AD161" s="139"/>
      <c r="AE161" s="139"/>
      <c r="AF161" s="139"/>
      <c r="AG161" s="139"/>
    </row>
    <row r="162" spans="1:33" x14ac:dyDescent="0.25">
      <c r="A162" s="1567">
        <f t="shared" si="90"/>
        <v>6</v>
      </c>
      <c r="B162" s="1572">
        <v>501</v>
      </c>
      <c r="C162" s="1573">
        <v>50121</v>
      </c>
      <c r="D162" s="1573" t="s">
        <v>1534</v>
      </c>
      <c r="E162" s="1574">
        <f t="shared" si="85"/>
        <v>597.86916000000008</v>
      </c>
      <c r="F162" s="2166">
        <f t="shared" si="86"/>
        <v>597869.16</v>
      </c>
      <c r="G162" s="1574">
        <f t="shared" si="87"/>
        <v>413.42664000000002</v>
      </c>
      <c r="H162" s="1575">
        <f t="shared" si="88"/>
        <v>413426.64</v>
      </c>
      <c r="I162" s="1551">
        <f t="shared" si="89"/>
        <v>1011.2958000000001</v>
      </c>
      <c r="J162" s="1552"/>
      <c r="K162" s="1822">
        <v>501</v>
      </c>
      <c r="L162" s="1822">
        <v>50121</v>
      </c>
      <c r="M162" s="1824">
        <v>597869.16</v>
      </c>
      <c r="N162" s="1822">
        <v>50121</v>
      </c>
      <c r="O162" s="1839">
        <v>413426.64</v>
      </c>
      <c r="P162" s="1227"/>
      <c r="Q162" s="1227"/>
      <c r="R162" s="1227"/>
      <c r="S162" s="1227"/>
      <c r="T162" s="139"/>
      <c r="U162" s="1530"/>
      <c r="V162" s="1227"/>
      <c r="W162" s="1227"/>
      <c r="X162" s="1227"/>
      <c r="Y162" s="1227"/>
      <c r="Z162" s="1227"/>
      <c r="AA162" s="1228"/>
      <c r="AB162" s="1228"/>
      <c r="AC162" s="139"/>
      <c r="AD162" s="139"/>
      <c r="AE162" s="139"/>
      <c r="AF162" s="139"/>
      <c r="AG162" s="139"/>
    </row>
    <row r="163" spans="1:33" x14ac:dyDescent="0.25">
      <c r="A163" s="1567">
        <f t="shared" si="90"/>
        <v>7</v>
      </c>
      <c r="B163" s="1572">
        <v>501</v>
      </c>
      <c r="C163" s="1573">
        <v>5013</v>
      </c>
      <c r="D163" s="1573" t="s">
        <v>1535</v>
      </c>
      <c r="E163" s="1574">
        <f t="shared" si="85"/>
        <v>1122.74945</v>
      </c>
      <c r="F163" s="2166">
        <f t="shared" si="86"/>
        <v>1122749.45</v>
      </c>
      <c r="G163" s="1574">
        <f t="shared" si="87"/>
        <v>50.986930000000001</v>
      </c>
      <c r="H163" s="1575">
        <f t="shared" si="88"/>
        <v>50986.93</v>
      </c>
      <c r="I163" s="1551">
        <f t="shared" si="89"/>
        <v>1173.7363800000001</v>
      </c>
      <c r="J163" s="1552"/>
      <c r="K163" s="1822">
        <v>501</v>
      </c>
      <c r="L163" s="1822">
        <v>5013</v>
      </c>
      <c r="M163" s="1824">
        <v>1122749.45</v>
      </c>
      <c r="N163" s="1822">
        <v>5013</v>
      </c>
      <c r="O163" s="1839">
        <v>50986.93</v>
      </c>
      <c r="P163" s="1227"/>
      <c r="Q163" s="1227"/>
      <c r="R163" s="1227"/>
      <c r="S163" s="1227"/>
      <c r="T163" s="139"/>
      <c r="U163" s="1530"/>
      <c r="V163" s="1227"/>
      <c r="W163" s="1227"/>
      <c r="X163" s="1227"/>
      <c r="Y163" s="1227"/>
      <c r="Z163" s="1227"/>
      <c r="AA163" s="139"/>
      <c r="AB163" s="139"/>
      <c r="AC163" s="139"/>
      <c r="AD163" s="139"/>
      <c r="AE163" s="139"/>
      <c r="AF163" s="139"/>
      <c r="AG163" s="139"/>
    </row>
    <row r="164" spans="1:33" x14ac:dyDescent="0.25">
      <c r="A164" s="1567">
        <f t="shared" si="90"/>
        <v>8</v>
      </c>
      <c r="B164" s="1572">
        <v>501</v>
      </c>
      <c r="C164" s="1573">
        <v>5014</v>
      </c>
      <c r="D164" s="1573" t="s">
        <v>1536</v>
      </c>
      <c r="E164" s="1574">
        <f t="shared" si="85"/>
        <v>25.549060000000001</v>
      </c>
      <c r="F164" s="2166">
        <f t="shared" si="86"/>
        <v>25549.06</v>
      </c>
      <c r="G164" s="1574">
        <f t="shared" si="87"/>
        <v>1.47031</v>
      </c>
      <c r="H164" s="1575">
        <f t="shared" si="88"/>
        <v>1470.31</v>
      </c>
      <c r="I164" s="1551">
        <f t="shared" si="89"/>
        <v>27.019370000000002</v>
      </c>
      <c r="J164" s="1552"/>
      <c r="K164" s="1822">
        <v>501</v>
      </c>
      <c r="L164" s="1822">
        <v>5014</v>
      </c>
      <c r="M164" s="1824">
        <v>25549.06</v>
      </c>
      <c r="N164" s="1822">
        <v>5014</v>
      </c>
      <c r="O164" s="1839">
        <v>1470.31</v>
      </c>
      <c r="P164" s="1227"/>
      <c r="Q164" s="1227"/>
      <c r="R164" s="1227"/>
      <c r="S164" s="1227"/>
      <c r="T164" s="139"/>
      <c r="U164" s="1530"/>
      <c r="V164" s="1227"/>
      <c r="W164" s="1227"/>
      <c r="X164" s="1227"/>
      <c r="Y164" s="1227"/>
      <c r="Z164" s="1227"/>
      <c r="AA164" s="139"/>
      <c r="AB164" s="139"/>
      <c r="AC164" s="139"/>
      <c r="AD164" s="139"/>
      <c r="AE164" s="139"/>
      <c r="AF164" s="139"/>
      <c r="AG164" s="139"/>
    </row>
    <row r="165" spans="1:33" x14ac:dyDescent="0.25">
      <c r="A165" s="2181">
        <f t="shared" si="90"/>
        <v>9</v>
      </c>
      <c r="B165" s="1568">
        <v>501</v>
      </c>
      <c r="C165" s="1569"/>
      <c r="D165" s="1569"/>
      <c r="E165" s="1570">
        <f>SUM(E157:E164)</f>
        <v>16520.253140000001</v>
      </c>
      <c r="F165" s="2210">
        <f>SUM(F157:F164)</f>
        <v>16520253.139999999</v>
      </c>
      <c r="G165" s="1570">
        <f>SUM(G157:G164)</f>
        <v>2988.1788000000001</v>
      </c>
      <c r="H165" s="2178">
        <f>SUM(H157:H164)</f>
        <v>2988178.8000000003</v>
      </c>
      <c r="I165" s="1563">
        <f>SUM(I157:I164)</f>
        <v>19508.431939999999</v>
      </c>
      <c r="J165" s="1564"/>
      <c r="K165" s="1822"/>
      <c r="L165" s="1822"/>
      <c r="M165" s="1823"/>
      <c r="N165" s="1822"/>
      <c r="O165" s="1839"/>
      <c r="P165" s="1227"/>
      <c r="Q165" s="1227"/>
      <c r="R165" s="1227"/>
      <c r="S165" s="1227"/>
      <c r="T165" s="139"/>
      <c r="U165" s="1530"/>
      <c r="V165" s="1227"/>
      <c r="W165" s="1227"/>
      <c r="X165" s="1227"/>
      <c r="Y165" s="1227"/>
      <c r="Z165" s="1227"/>
      <c r="AA165" s="139"/>
      <c r="AB165" s="139"/>
      <c r="AC165" s="139"/>
      <c r="AD165" s="139"/>
      <c r="AE165" s="139"/>
      <c r="AF165" s="139"/>
      <c r="AG165" s="139"/>
    </row>
    <row r="166" spans="1:33" x14ac:dyDescent="0.25">
      <c r="A166" s="1567">
        <f t="shared" si="90"/>
        <v>10</v>
      </c>
      <c r="B166" s="1572">
        <v>502</v>
      </c>
      <c r="C166" s="1573">
        <v>50211</v>
      </c>
      <c r="D166" s="1573" t="s">
        <v>1537</v>
      </c>
      <c r="E166" s="1574">
        <f t="shared" ref="E166:E169" si="91">F166/1000</f>
        <v>5426.1738099999993</v>
      </c>
      <c r="F166" s="1575">
        <f>M166</f>
        <v>5426173.8099999996</v>
      </c>
      <c r="G166" s="1574">
        <f t="shared" ref="G166:G169" si="92">H166/1000</f>
        <v>394.75781999999998</v>
      </c>
      <c r="H166" s="1575">
        <f>O166</f>
        <v>394757.82</v>
      </c>
      <c r="I166" s="1551">
        <f>E166+G166</f>
        <v>5820.9316299999991</v>
      </c>
      <c r="J166" s="1552"/>
      <c r="K166" s="1822">
        <v>502</v>
      </c>
      <c r="L166" s="1822">
        <v>50211</v>
      </c>
      <c r="M166" s="1824">
        <v>5426173.8099999996</v>
      </c>
      <c r="N166" s="1822">
        <v>50211</v>
      </c>
      <c r="O166" s="1839">
        <v>394757.82</v>
      </c>
      <c r="P166" s="1227"/>
      <c r="Q166" s="1227"/>
      <c r="R166" s="1227"/>
      <c r="S166" s="1227"/>
      <c r="T166" s="139"/>
      <c r="U166" s="1530"/>
      <c r="V166" s="1227"/>
      <c r="W166" s="1227"/>
      <c r="X166" s="1227"/>
      <c r="Y166" s="1227"/>
      <c r="Z166" s="1227"/>
      <c r="AA166" s="139"/>
      <c r="AB166" s="139"/>
      <c r="AC166" s="139"/>
      <c r="AD166" s="139"/>
      <c r="AE166" s="139"/>
      <c r="AF166" s="139"/>
      <c r="AG166" s="139"/>
    </row>
    <row r="167" spans="1:33" x14ac:dyDescent="0.25">
      <c r="A167" s="1567">
        <f t="shared" si="90"/>
        <v>11</v>
      </c>
      <c r="B167" s="1572">
        <v>502</v>
      </c>
      <c r="C167" s="1573">
        <v>50212</v>
      </c>
      <c r="D167" s="1573" t="s">
        <v>1538</v>
      </c>
      <c r="E167" s="1574">
        <f t="shared" si="91"/>
        <v>3374.1259799999998</v>
      </c>
      <c r="F167" s="1575">
        <f t="shared" ref="F167:F168" si="93">M167</f>
        <v>3374125.98</v>
      </c>
      <c r="G167" s="1574">
        <f t="shared" si="92"/>
        <v>528.49598000000003</v>
      </c>
      <c r="H167" s="1575">
        <f t="shared" ref="H167:H169" si="94">O167</f>
        <v>528495.98</v>
      </c>
      <c r="I167" s="1551">
        <f t="shared" ref="I167:I169" si="95">E167+G167</f>
        <v>3902.6219599999999</v>
      </c>
      <c r="J167" s="1552"/>
      <c r="K167" s="1822">
        <v>502</v>
      </c>
      <c r="L167" s="1822">
        <v>50212</v>
      </c>
      <c r="M167" s="1824">
        <v>3374125.98</v>
      </c>
      <c r="N167" s="1822">
        <v>50212</v>
      </c>
      <c r="O167" s="1839">
        <v>528495.98</v>
      </c>
      <c r="P167" s="1227"/>
      <c r="Q167" s="1227"/>
      <c r="R167" s="1227"/>
      <c r="S167" s="1227"/>
      <c r="T167" s="139"/>
      <c r="U167" s="1530"/>
      <c r="V167" s="1227"/>
      <c r="W167" s="1227"/>
      <c r="X167" s="1227"/>
      <c r="Y167" s="1227"/>
      <c r="Z167" s="1227"/>
      <c r="AA167" s="139"/>
      <c r="AB167" s="139"/>
      <c r="AC167" s="139"/>
      <c r="AD167" s="139"/>
      <c r="AE167" s="139"/>
      <c r="AF167" s="139"/>
      <c r="AG167" s="139"/>
    </row>
    <row r="168" spans="1:33" x14ac:dyDescent="0.25">
      <c r="A168" s="1567">
        <f t="shared" si="90"/>
        <v>12</v>
      </c>
      <c r="B168" s="1572">
        <v>502</v>
      </c>
      <c r="C168" s="1573">
        <v>50213</v>
      </c>
      <c r="D168" s="1573" t="s">
        <v>1539</v>
      </c>
      <c r="E168" s="1574">
        <f t="shared" si="91"/>
        <v>767.26946999999996</v>
      </c>
      <c r="F168" s="1575">
        <f t="shared" si="93"/>
        <v>767269.47</v>
      </c>
      <c r="G168" s="1574">
        <f t="shared" si="92"/>
        <v>271.80314000000004</v>
      </c>
      <c r="H168" s="1575">
        <f t="shared" si="94"/>
        <v>271803.14</v>
      </c>
      <c r="I168" s="1551">
        <f t="shared" si="95"/>
        <v>1039.0726099999999</v>
      </c>
      <c r="J168" s="1552"/>
      <c r="K168" s="1822">
        <v>502</v>
      </c>
      <c r="L168" s="1822">
        <v>50213</v>
      </c>
      <c r="M168" s="1824">
        <v>767269.47</v>
      </c>
      <c r="N168" s="1822">
        <v>50213</v>
      </c>
      <c r="O168" s="1839">
        <v>271803.14</v>
      </c>
      <c r="P168" s="1227"/>
      <c r="Q168" s="1227"/>
      <c r="R168" s="1227"/>
      <c r="S168" s="1227"/>
      <c r="T168" s="139"/>
      <c r="U168" s="1530"/>
      <c r="V168" s="1227"/>
      <c r="W168" s="1227"/>
      <c r="X168" s="1227"/>
      <c r="Y168" s="1227"/>
      <c r="Z168" s="1227"/>
      <c r="AA168" s="139"/>
      <c r="AB168" s="139"/>
      <c r="AC168" s="139"/>
      <c r="AD168" s="139"/>
      <c r="AE168" s="139"/>
      <c r="AF168" s="139"/>
      <c r="AG168" s="139"/>
    </row>
    <row r="169" spans="1:33" x14ac:dyDescent="0.25">
      <c r="A169" s="1567">
        <f t="shared" si="90"/>
        <v>13</v>
      </c>
      <c r="B169" s="1572">
        <v>502</v>
      </c>
      <c r="C169" s="2211" t="s">
        <v>1540</v>
      </c>
      <c r="D169" s="1573" t="s">
        <v>1541</v>
      </c>
      <c r="E169" s="1574">
        <f t="shared" si="91"/>
        <v>0</v>
      </c>
      <c r="F169" s="1575">
        <v>0</v>
      </c>
      <c r="G169" s="1574">
        <f t="shared" si="92"/>
        <v>0</v>
      </c>
      <c r="H169" s="1575">
        <f t="shared" si="94"/>
        <v>0</v>
      </c>
      <c r="I169" s="1551">
        <f t="shared" si="95"/>
        <v>0</v>
      </c>
      <c r="J169" s="1552"/>
      <c r="K169" s="1822"/>
      <c r="L169" s="1822"/>
      <c r="M169" s="1823"/>
      <c r="N169" s="1822"/>
      <c r="O169" s="1839"/>
      <c r="P169" s="1227"/>
      <c r="Q169" s="1227"/>
      <c r="R169" s="1227"/>
      <c r="S169" s="1227"/>
      <c r="T169" s="139"/>
      <c r="U169" s="1530"/>
      <c r="V169" s="1227"/>
      <c r="W169" s="1227"/>
      <c r="X169" s="1227"/>
      <c r="Y169" s="1227"/>
      <c r="Z169" s="1227"/>
      <c r="AA169" s="139"/>
      <c r="AB169" s="139"/>
      <c r="AC169" s="139"/>
      <c r="AD169" s="139"/>
      <c r="AE169" s="139"/>
      <c r="AF169" s="139"/>
      <c r="AG169" s="139"/>
    </row>
    <row r="170" spans="1:33" x14ac:dyDescent="0.25">
      <c r="A170" s="2181">
        <f t="shared" si="90"/>
        <v>14</v>
      </c>
      <c r="B170" s="1568">
        <v>502</v>
      </c>
      <c r="C170" s="1569"/>
      <c r="D170" s="1569"/>
      <c r="E170" s="1570">
        <f>SUM(E166:E169)</f>
        <v>9567.5692599999984</v>
      </c>
      <c r="F170" s="2210">
        <f>SUM(F166:F169)</f>
        <v>9567569.2599999998</v>
      </c>
      <c r="G170" s="1570">
        <f>SUM(G166:G169)</f>
        <v>1195.0569399999999</v>
      </c>
      <c r="H170" s="2178">
        <f>SUM(H166:H169)</f>
        <v>1195056.94</v>
      </c>
      <c r="I170" s="1563">
        <f>SUM(I166:I169)</f>
        <v>10762.626199999999</v>
      </c>
      <c r="J170" s="1564"/>
      <c r="K170" s="1822"/>
      <c r="L170" s="1822"/>
      <c r="M170" s="1823"/>
      <c r="N170" s="1822"/>
      <c r="O170" s="1839"/>
      <c r="P170" s="1227"/>
      <c r="Q170" s="1227"/>
      <c r="R170" s="1227"/>
      <c r="S170" s="1227"/>
      <c r="T170" s="139"/>
      <c r="U170" s="1530"/>
      <c r="V170" s="1227"/>
      <c r="W170" s="1227"/>
      <c r="X170" s="1227"/>
      <c r="Y170" s="1227"/>
      <c r="Z170" s="1227"/>
      <c r="AA170" s="139"/>
      <c r="AB170" s="139"/>
      <c r="AC170" s="139"/>
      <c r="AD170" s="139"/>
      <c r="AE170" s="139"/>
      <c r="AF170" s="139"/>
      <c r="AG170" s="139"/>
    </row>
    <row r="171" spans="1:33" x14ac:dyDescent="0.25">
      <c r="A171" s="1567">
        <f t="shared" si="90"/>
        <v>15</v>
      </c>
      <c r="B171" s="1572">
        <v>503</v>
      </c>
      <c r="C171" s="1573">
        <v>5033</v>
      </c>
      <c r="D171" s="1573" t="s">
        <v>1542</v>
      </c>
      <c r="E171" s="1574">
        <f t="shared" ref="E171:E173" si="96">F171/1000</f>
        <v>285.94578999999999</v>
      </c>
      <c r="F171" s="1575">
        <f>M171</f>
        <v>285945.78999999998</v>
      </c>
      <c r="G171" s="1574">
        <f t="shared" ref="G171:G173" si="97">H171/1000</f>
        <v>0.33056000000000002</v>
      </c>
      <c r="H171" s="1575">
        <f>O171</f>
        <v>330.56</v>
      </c>
      <c r="I171" s="1551">
        <f>E171+G171</f>
        <v>286.27634999999998</v>
      </c>
      <c r="J171" s="1552"/>
      <c r="K171" s="1822">
        <v>503</v>
      </c>
      <c r="L171" s="1822">
        <v>5033</v>
      </c>
      <c r="M171" s="1824">
        <v>285945.78999999998</v>
      </c>
      <c r="N171" s="1822">
        <v>5033</v>
      </c>
      <c r="O171" s="1839">
        <v>330.56</v>
      </c>
      <c r="P171" s="1227"/>
      <c r="Q171" s="1227"/>
      <c r="R171" s="1227"/>
      <c r="S171" s="1227"/>
      <c r="T171" s="139"/>
      <c r="U171" s="1530"/>
      <c r="V171" s="1227"/>
      <c r="W171" s="1227"/>
      <c r="X171" s="1227"/>
      <c r="Y171" s="1227"/>
      <c r="Z171" s="1227"/>
      <c r="AA171" s="139"/>
      <c r="AB171" s="139"/>
      <c r="AC171" s="139"/>
      <c r="AD171" s="139"/>
      <c r="AE171" s="139"/>
      <c r="AF171" s="139"/>
      <c r="AG171" s="139"/>
    </row>
    <row r="172" spans="1:33" x14ac:dyDescent="0.25">
      <c r="A172" s="1567">
        <f t="shared" si="90"/>
        <v>16</v>
      </c>
      <c r="B172" s="1572">
        <v>503</v>
      </c>
      <c r="C172" s="1573">
        <v>50331</v>
      </c>
      <c r="D172" s="1573" t="s">
        <v>1543</v>
      </c>
      <c r="E172" s="1574">
        <f t="shared" si="96"/>
        <v>30.918209999999998</v>
      </c>
      <c r="F172" s="1575">
        <f t="shared" ref="F172:F173" si="98">M172</f>
        <v>30918.21</v>
      </c>
      <c r="G172" s="1574">
        <f t="shared" si="97"/>
        <v>5.3958699999999995</v>
      </c>
      <c r="H172" s="1575">
        <f t="shared" ref="H172:H173" si="99">O172</f>
        <v>5395.87</v>
      </c>
      <c r="I172" s="1551">
        <f t="shared" ref="I172:I185" si="100">E172+G172</f>
        <v>36.314079999999997</v>
      </c>
      <c r="J172" s="1552"/>
      <c r="K172" s="1822">
        <v>503</v>
      </c>
      <c r="L172" s="1822">
        <v>50331</v>
      </c>
      <c r="M172" s="1824">
        <v>30918.21</v>
      </c>
      <c r="N172" s="1822">
        <v>504</v>
      </c>
      <c r="O172" s="1839">
        <v>5395.87</v>
      </c>
      <c r="P172" s="1227"/>
      <c r="Q172" s="1227"/>
      <c r="R172" s="1227"/>
      <c r="S172" s="1227"/>
      <c r="T172" s="139"/>
      <c r="U172" s="1530"/>
      <c r="V172" s="1227"/>
      <c r="W172" s="1227"/>
      <c r="X172" s="1227"/>
      <c r="Y172" s="1227"/>
      <c r="Z172" s="1227"/>
      <c r="AA172" s="139"/>
      <c r="AB172" s="139"/>
      <c r="AC172" s="139"/>
      <c r="AD172" s="139"/>
      <c r="AE172" s="139"/>
      <c r="AF172" s="139"/>
      <c r="AG172" s="139"/>
    </row>
    <row r="173" spans="1:33" x14ac:dyDescent="0.25">
      <c r="A173" s="1567">
        <f t="shared" si="90"/>
        <v>17</v>
      </c>
      <c r="B173" s="1572">
        <v>503</v>
      </c>
      <c r="C173" s="1573">
        <v>5039</v>
      </c>
      <c r="D173" s="1573" t="s">
        <v>1544</v>
      </c>
      <c r="E173" s="1574">
        <f t="shared" si="96"/>
        <v>9.7128600000000009</v>
      </c>
      <c r="F173" s="1575">
        <f t="shared" si="98"/>
        <v>9712.86</v>
      </c>
      <c r="G173" s="1574">
        <f t="shared" si="97"/>
        <v>0</v>
      </c>
      <c r="H173" s="1575">
        <f t="shared" si="99"/>
        <v>0</v>
      </c>
      <c r="I173" s="1551">
        <f t="shared" si="100"/>
        <v>9.7128600000000009</v>
      </c>
      <c r="J173" s="1552"/>
      <c r="K173" s="1822">
        <v>503</v>
      </c>
      <c r="L173" s="1822">
        <v>5039</v>
      </c>
      <c r="M173" s="1824">
        <v>9712.86</v>
      </c>
      <c r="N173" s="1822"/>
      <c r="O173" s="1839"/>
      <c r="P173" s="1227"/>
      <c r="Q173" s="1227"/>
      <c r="R173" s="1227"/>
      <c r="S173" s="1227"/>
      <c r="T173" s="139"/>
      <c r="U173" s="1530"/>
      <c r="V173" s="1227"/>
      <c r="W173" s="1227"/>
      <c r="X173" s="1227"/>
      <c r="Y173" s="1227"/>
      <c r="Z173" s="1227"/>
      <c r="AA173" s="139"/>
      <c r="AB173" s="139"/>
      <c r="AC173" s="139"/>
      <c r="AD173" s="139"/>
      <c r="AE173" s="139"/>
      <c r="AF173" s="139"/>
      <c r="AG173" s="139"/>
    </row>
    <row r="174" spans="1:33" x14ac:dyDescent="0.25">
      <c r="A174" s="2181">
        <f t="shared" si="90"/>
        <v>18</v>
      </c>
      <c r="B174" s="1568">
        <v>503</v>
      </c>
      <c r="C174" s="1569"/>
      <c r="D174" s="1569"/>
      <c r="E174" s="1570">
        <f>SUM(E171:E173)</f>
        <v>326.57685999999995</v>
      </c>
      <c r="F174" s="2210">
        <f>SUM(F171:F173)</f>
        <v>326576.86</v>
      </c>
      <c r="G174" s="1570">
        <f>SUM(G171:G173)</f>
        <v>5.7264299999999997</v>
      </c>
      <c r="H174" s="2178">
        <f>SUM(H171:H173)</f>
        <v>5726.43</v>
      </c>
      <c r="I174" s="1563">
        <f t="shared" si="100"/>
        <v>332.30328999999995</v>
      </c>
      <c r="J174" s="1552"/>
      <c r="K174" s="1822"/>
      <c r="L174" s="1822"/>
      <c r="M174" s="1823"/>
      <c r="N174" s="1822"/>
      <c r="O174" s="1839"/>
      <c r="P174" s="1227"/>
      <c r="Q174" s="1227"/>
      <c r="R174" s="1227"/>
      <c r="S174" s="1227"/>
      <c r="T174" s="139"/>
      <c r="U174" s="1530"/>
      <c r="V174" s="1227"/>
      <c r="W174" s="1227"/>
      <c r="X174" s="1227"/>
      <c r="Y174" s="1227"/>
      <c r="Z174" s="1227"/>
      <c r="AA174" s="139"/>
      <c r="AB174" s="139"/>
      <c r="AC174" s="139"/>
      <c r="AD174" s="139"/>
      <c r="AE174" s="139"/>
      <c r="AF174" s="139"/>
      <c r="AG174" s="139"/>
    </row>
    <row r="175" spans="1:33" x14ac:dyDescent="0.25">
      <c r="A175" s="1567">
        <f t="shared" si="90"/>
        <v>19</v>
      </c>
      <c r="B175" s="1572">
        <v>511</v>
      </c>
      <c r="C175" s="1573">
        <v>5111</v>
      </c>
      <c r="D175" s="1573" t="s">
        <v>1545</v>
      </c>
      <c r="E175" s="1574">
        <f t="shared" ref="E175:E176" si="101">F175/1000</f>
        <v>2196.8742499999998</v>
      </c>
      <c r="F175" s="1575">
        <f>M175</f>
        <v>2196874.25</v>
      </c>
      <c r="G175" s="1574">
        <f t="shared" ref="G175:G176" si="102">H175/1000</f>
        <v>75.759919999999994</v>
      </c>
      <c r="H175" s="1575">
        <f>O175</f>
        <v>75759.92</v>
      </c>
      <c r="I175" s="1551">
        <f t="shared" si="100"/>
        <v>2272.6341699999998</v>
      </c>
      <c r="J175" s="1552"/>
      <c r="K175" s="1822">
        <v>511</v>
      </c>
      <c r="L175" s="1822">
        <v>5111</v>
      </c>
      <c r="M175" s="1824">
        <v>2196874.25</v>
      </c>
      <c r="N175" s="1822">
        <v>5111</v>
      </c>
      <c r="O175" s="1839">
        <v>75759.92</v>
      </c>
      <c r="P175" s="1227"/>
      <c r="Q175" s="1227"/>
      <c r="R175" s="1227"/>
      <c r="S175" s="1227"/>
      <c r="T175" s="139"/>
      <c r="U175" s="1530"/>
      <c r="V175" s="1227"/>
      <c r="W175" s="1227"/>
      <c r="X175" s="1227"/>
      <c r="Y175" s="1227"/>
      <c r="Z175" s="1227"/>
      <c r="AA175" s="139"/>
      <c r="AB175" s="139"/>
      <c r="AC175" s="139"/>
      <c r="AD175" s="139"/>
      <c r="AE175" s="139"/>
      <c r="AF175" s="139"/>
      <c r="AG175" s="139"/>
    </row>
    <row r="176" spans="1:33" x14ac:dyDescent="0.25">
      <c r="A176" s="1567">
        <f t="shared" si="90"/>
        <v>20</v>
      </c>
      <c r="B176" s="1572">
        <v>511</v>
      </c>
      <c r="C176" s="1573">
        <v>5112</v>
      </c>
      <c r="D176" s="1573" t="s">
        <v>1546</v>
      </c>
      <c r="E176" s="1574">
        <f t="shared" si="101"/>
        <v>5238.4189999999999</v>
      </c>
      <c r="F176" s="1575">
        <f>M176</f>
        <v>5238419</v>
      </c>
      <c r="G176" s="1574">
        <f t="shared" si="102"/>
        <v>1642.3415</v>
      </c>
      <c r="H176" s="1575">
        <f>O176</f>
        <v>1642341.5</v>
      </c>
      <c r="I176" s="1551">
        <f t="shared" si="100"/>
        <v>6880.7605000000003</v>
      </c>
      <c r="J176" s="1552"/>
      <c r="K176" s="1822">
        <v>511</v>
      </c>
      <c r="L176" s="1822">
        <v>5112</v>
      </c>
      <c r="M176" s="1824">
        <v>5238419</v>
      </c>
      <c r="N176" s="1822">
        <v>5112</v>
      </c>
      <c r="O176" s="1839">
        <v>1642341.5</v>
      </c>
      <c r="P176" s="1227"/>
      <c r="Q176" s="1227"/>
      <c r="R176" s="1227"/>
      <c r="S176" s="1227"/>
      <c r="T176" s="139"/>
      <c r="U176" s="1530"/>
      <c r="V176" s="1227"/>
      <c r="W176" s="1227"/>
      <c r="X176" s="1227"/>
      <c r="Y176" s="1227"/>
      <c r="Z176" s="1227"/>
      <c r="AA176" s="139"/>
      <c r="AB176" s="139"/>
      <c r="AC176" s="139"/>
      <c r="AD176" s="139"/>
      <c r="AE176" s="139"/>
      <c r="AF176" s="139"/>
      <c r="AG176" s="139"/>
    </row>
    <row r="177" spans="1:33" x14ac:dyDescent="0.25">
      <c r="A177" s="2181">
        <f t="shared" si="90"/>
        <v>21</v>
      </c>
      <c r="B177" s="1568">
        <v>511</v>
      </c>
      <c r="C177" s="1569"/>
      <c r="D177" s="1569"/>
      <c r="E177" s="1570">
        <f>SUM(E175:E176)</f>
        <v>7435.2932499999997</v>
      </c>
      <c r="F177" s="2210">
        <f>SUM(F175:F176)</f>
        <v>7435293.25</v>
      </c>
      <c r="G177" s="1570">
        <f>SUM(G175:G176)</f>
        <v>1718.10142</v>
      </c>
      <c r="H177" s="2178">
        <f>SUM(H175:H176)</f>
        <v>1718101.42</v>
      </c>
      <c r="I177" s="1563">
        <f t="shared" si="100"/>
        <v>9153.3946699999997</v>
      </c>
      <c r="J177" s="1564"/>
      <c r="K177" s="1822"/>
      <c r="L177" s="1822"/>
      <c r="M177" s="1823"/>
      <c r="N177" s="1822"/>
      <c r="O177" s="1839"/>
      <c r="P177" s="1227"/>
      <c r="Q177" s="1227"/>
      <c r="R177" s="1227"/>
      <c r="S177" s="1227"/>
      <c r="T177" s="139"/>
      <c r="U177" s="1530"/>
      <c r="V177" s="1227"/>
      <c r="W177" s="1227"/>
      <c r="X177" s="1227"/>
      <c r="Y177" s="1227"/>
      <c r="Z177" s="1227"/>
      <c r="AA177" s="139"/>
      <c r="AB177" s="139"/>
      <c r="AC177" s="139"/>
      <c r="AD177" s="139"/>
      <c r="AE177" s="139"/>
      <c r="AF177" s="139"/>
      <c r="AG177" s="139"/>
    </row>
    <row r="178" spans="1:33" x14ac:dyDescent="0.25">
      <c r="A178" s="1567">
        <f t="shared" si="90"/>
        <v>22</v>
      </c>
      <c r="B178" s="1572">
        <v>512</v>
      </c>
      <c r="C178" s="1573">
        <v>51211</v>
      </c>
      <c r="D178" s="1573" t="s">
        <v>1547</v>
      </c>
      <c r="E178" s="1574">
        <f t="shared" ref="E178:E181" si="103">F178/1000</f>
        <v>792.50387999999998</v>
      </c>
      <c r="F178" s="1575">
        <f>M178</f>
        <v>792503.88</v>
      </c>
      <c r="G178" s="1574">
        <f t="shared" ref="G178:G231" si="104">H178/1000</f>
        <v>17.960570000000001</v>
      </c>
      <c r="H178" s="1575">
        <f>O178</f>
        <v>17960.57</v>
      </c>
      <c r="I178" s="1551">
        <f t="shared" si="100"/>
        <v>810.46444999999994</v>
      </c>
      <c r="J178" s="1552"/>
      <c r="K178" s="1822">
        <v>512</v>
      </c>
      <c r="L178" s="1822">
        <v>51211</v>
      </c>
      <c r="M178" s="1824">
        <v>792503.88</v>
      </c>
      <c r="N178" s="1822">
        <v>51211</v>
      </c>
      <c r="O178" s="1839">
        <v>17960.57</v>
      </c>
      <c r="P178" s="1227"/>
      <c r="Q178" s="1227"/>
      <c r="R178" s="1227"/>
      <c r="S178" s="1227"/>
      <c r="T178" s="139"/>
      <c r="U178" s="1530"/>
      <c r="V178" s="1227"/>
      <c r="W178" s="1227"/>
      <c r="X178" s="1227"/>
      <c r="Y178" s="1227"/>
      <c r="Z178" s="1227"/>
      <c r="AA178" s="139"/>
      <c r="AB178" s="139"/>
      <c r="AC178" s="139"/>
      <c r="AD178" s="139"/>
      <c r="AE178" s="139"/>
      <c r="AF178" s="139"/>
      <c r="AG178" s="139"/>
    </row>
    <row r="179" spans="1:33" x14ac:dyDescent="0.25">
      <c r="A179" s="1567">
        <f t="shared" si="90"/>
        <v>23</v>
      </c>
      <c r="B179" s="2212">
        <v>512</v>
      </c>
      <c r="C179" s="2177">
        <v>512111</v>
      </c>
      <c r="D179" s="2174" t="s">
        <v>1828</v>
      </c>
      <c r="E179" s="1574">
        <f t="shared" si="103"/>
        <v>0.52400000000000002</v>
      </c>
      <c r="F179" s="1575">
        <f>M179</f>
        <v>524</v>
      </c>
      <c r="G179" s="1574">
        <f t="shared" si="104"/>
        <v>0</v>
      </c>
      <c r="H179" s="1575">
        <f t="shared" ref="H179:H181" si="105">O179</f>
        <v>0</v>
      </c>
      <c r="I179" s="1551">
        <f t="shared" si="100"/>
        <v>0.52400000000000002</v>
      </c>
      <c r="J179" s="1552"/>
      <c r="K179" s="1822">
        <v>512</v>
      </c>
      <c r="L179" s="1822">
        <v>512111</v>
      </c>
      <c r="M179" s="1824">
        <v>524</v>
      </c>
      <c r="N179" s="1822"/>
      <c r="O179" s="1839"/>
      <c r="P179" s="1227"/>
      <c r="Q179" s="1227"/>
      <c r="R179" s="1227"/>
      <c r="S179" s="1227"/>
      <c r="T179" s="139"/>
      <c r="U179" s="1530"/>
      <c r="V179" s="1227"/>
      <c r="W179" s="1227"/>
      <c r="X179" s="1227"/>
      <c r="Y179" s="1227"/>
      <c r="Z179" s="1227"/>
      <c r="AA179" s="139"/>
      <c r="AB179" s="139"/>
      <c r="AC179" s="139"/>
      <c r="AD179" s="139"/>
      <c r="AE179" s="139"/>
      <c r="AF179" s="139"/>
      <c r="AG179" s="139"/>
    </row>
    <row r="180" spans="1:33" x14ac:dyDescent="0.25">
      <c r="A180" s="1567">
        <f t="shared" si="90"/>
        <v>24</v>
      </c>
      <c r="B180" s="1572">
        <v>512</v>
      </c>
      <c r="C180" s="1573">
        <v>51212</v>
      </c>
      <c r="D180" s="1573" t="s">
        <v>1548</v>
      </c>
      <c r="E180" s="1574">
        <f t="shared" si="103"/>
        <v>4153.4264599999997</v>
      </c>
      <c r="F180" s="1575">
        <f>M180</f>
        <v>4153426.46</v>
      </c>
      <c r="G180" s="1574">
        <f t="shared" si="104"/>
        <v>460.79629</v>
      </c>
      <c r="H180" s="1575">
        <f t="shared" si="105"/>
        <v>460796.29</v>
      </c>
      <c r="I180" s="1551">
        <f t="shared" si="100"/>
        <v>4614.2227499999999</v>
      </c>
      <c r="J180" s="1552"/>
      <c r="K180" s="1822">
        <v>512</v>
      </c>
      <c r="L180" s="1822">
        <v>51212</v>
      </c>
      <c r="M180" s="1824">
        <v>4153426.46</v>
      </c>
      <c r="N180" s="1822">
        <v>51212</v>
      </c>
      <c r="O180" s="1839">
        <v>460796.29</v>
      </c>
      <c r="P180" s="1227"/>
      <c r="Q180" s="1227"/>
      <c r="R180" s="1227"/>
      <c r="S180" s="1227"/>
      <c r="T180" s="139"/>
      <c r="U180" s="1530"/>
      <c r="V180" s="1227"/>
      <c r="W180" s="1227"/>
      <c r="X180" s="1227"/>
      <c r="Y180" s="1227"/>
      <c r="Z180" s="1227"/>
      <c r="AA180" s="139"/>
      <c r="AB180" s="139"/>
      <c r="AC180" s="139"/>
      <c r="AD180" s="139"/>
      <c r="AE180" s="139"/>
      <c r="AF180" s="139"/>
      <c r="AG180" s="139"/>
    </row>
    <row r="181" spans="1:33" x14ac:dyDescent="0.25">
      <c r="A181" s="1567">
        <f t="shared" si="90"/>
        <v>25</v>
      </c>
      <c r="B181" s="1572">
        <v>512</v>
      </c>
      <c r="C181" s="1573">
        <v>51213</v>
      </c>
      <c r="D181" s="1573" t="s">
        <v>1549</v>
      </c>
      <c r="E181" s="1574">
        <f t="shared" si="103"/>
        <v>1053.1929299999999</v>
      </c>
      <c r="F181" s="1575">
        <f>M181</f>
        <v>1053192.93</v>
      </c>
      <c r="G181" s="1574">
        <f t="shared" si="104"/>
        <v>0</v>
      </c>
      <c r="H181" s="1575">
        <f t="shared" si="105"/>
        <v>0</v>
      </c>
      <c r="I181" s="1551">
        <f t="shared" si="100"/>
        <v>1053.1929299999999</v>
      </c>
      <c r="J181" s="1552"/>
      <c r="K181" s="1822">
        <v>512</v>
      </c>
      <c r="L181" s="1822">
        <v>51213</v>
      </c>
      <c r="M181" s="1824">
        <v>1053192.93</v>
      </c>
      <c r="N181" s="1822"/>
      <c r="O181" s="1839"/>
      <c r="P181" s="1227"/>
      <c r="Q181" s="1227"/>
      <c r="R181" s="1227"/>
      <c r="S181" s="1227"/>
      <c r="T181" s="139"/>
      <c r="U181" s="1530"/>
      <c r="V181" s="1227"/>
      <c r="W181" s="1227"/>
      <c r="X181" s="1227"/>
      <c r="Y181" s="1227"/>
      <c r="Z181" s="1227"/>
      <c r="AA181" s="139"/>
      <c r="AB181" s="139"/>
      <c r="AC181" s="139"/>
      <c r="AD181" s="139"/>
      <c r="AE181" s="139"/>
      <c r="AF181" s="139"/>
      <c r="AG181" s="139"/>
    </row>
    <row r="182" spans="1:33" x14ac:dyDescent="0.25">
      <c r="A182" s="2181">
        <f t="shared" si="90"/>
        <v>26</v>
      </c>
      <c r="B182" s="1568">
        <v>512</v>
      </c>
      <c r="C182" s="1569"/>
      <c r="D182" s="1569"/>
      <c r="E182" s="1570">
        <f>SUM(E178:E181)</f>
        <v>5999.6472699999995</v>
      </c>
      <c r="F182" s="2210">
        <f>SUM(F178:F181)</f>
        <v>5999647.2699999996</v>
      </c>
      <c r="G182" s="1570">
        <f t="shared" si="104"/>
        <v>478.75685999999996</v>
      </c>
      <c r="H182" s="2178">
        <f>SUM(H178:H181)</f>
        <v>478756.86</v>
      </c>
      <c r="I182" s="1563">
        <f t="shared" si="100"/>
        <v>6478.404129999999</v>
      </c>
      <c r="J182" s="1564"/>
      <c r="K182" s="1822"/>
      <c r="L182" s="1822"/>
      <c r="M182" s="1823"/>
      <c r="N182" s="1822"/>
      <c r="O182" s="1839"/>
      <c r="P182" s="1227"/>
      <c r="Q182" s="1227"/>
      <c r="R182" s="1227"/>
      <c r="S182" s="1227"/>
      <c r="T182" s="139"/>
      <c r="U182" s="1227"/>
      <c r="V182" s="1227"/>
      <c r="W182" s="1227"/>
      <c r="X182" s="1227"/>
      <c r="Y182" s="1227"/>
      <c r="Z182" s="1227"/>
      <c r="AA182" s="139"/>
      <c r="AB182" s="139"/>
      <c r="AC182" s="139"/>
      <c r="AD182" s="139"/>
      <c r="AE182" s="139"/>
      <c r="AF182" s="139"/>
      <c r="AG182" s="139"/>
    </row>
    <row r="183" spans="1:33" x14ac:dyDescent="0.25">
      <c r="A183" s="1567">
        <f t="shared" si="90"/>
        <v>27</v>
      </c>
      <c r="B183" s="1572">
        <v>513</v>
      </c>
      <c r="C183" s="1573">
        <v>513</v>
      </c>
      <c r="D183" s="1573" t="s">
        <v>1550</v>
      </c>
      <c r="E183" s="1574">
        <f t="shared" ref="E183:E231" si="106">F183/1000</f>
        <v>1320.9678000000001</v>
      </c>
      <c r="F183" s="1575">
        <f>M183</f>
        <v>1320967.8</v>
      </c>
      <c r="G183" s="1574">
        <f t="shared" si="104"/>
        <v>275.38678000000004</v>
      </c>
      <c r="H183" s="1575">
        <f>O183</f>
        <v>275386.78000000003</v>
      </c>
      <c r="I183" s="1551">
        <f t="shared" si="100"/>
        <v>1596.3545800000002</v>
      </c>
      <c r="J183" s="1552"/>
      <c r="K183" s="1822">
        <v>513</v>
      </c>
      <c r="L183" s="1822">
        <v>513</v>
      </c>
      <c r="M183" s="1824">
        <v>1320967.8</v>
      </c>
      <c r="N183" s="1822">
        <v>513</v>
      </c>
      <c r="O183" s="1839">
        <v>275386.78000000003</v>
      </c>
      <c r="P183" s="1227"/>
      <c r="Q183" s="1227"/>
      <c r="R183" s="1227"/>
      <c r="S183" s="1227"/>
      <c r="T183" s="139"/>
      <c r="U183" s="1227"/>
      <c r="V183" s="1227"/>
      <c r="W183" s="1227"/>
      <c r="X183" s="1227"/>
      <c r="Y183" s="1227"/>
      <c r="Z183" s="1227"/>
      <c r="AA183" s="139"/>
      <c r="AB183" s="139"/>
      <c r="AC183" s="139"/>
      <c r="AD183" s="139"/>
      <c r="AE183" s="139"/>
      <c r="AF183" s="139"/>
      <c r="AG183" s="139"/>
    </row>
    <row r="184" spans="1:33" x14ac:dyDescent="0.25">
      <c r="A184" s="1567">
        <f t="shared" si="90"/>
        <v>28</v>
      </c>
      <c r="B184" s="1572">
        <v>513</v>
      </c>
      <c r="C184" s="1573">
        <v>5131</v>
      </c>
      <c r="D184" s="1573" t="s">
        <v>1551</v>
      </c>
      <c r="E184" s="1574">
        <f t="shared" si="106"/>
        <v>179.22051000000002</v>
      </c>
      <c r="F184" s="1575">
        <f>M184</f>
        <v>179220.51</v>
      </c>
      <c r="G184" s="1574">
        <f t="shared" si="104"/>
        <v>5.8543000000000003</v>
      </c>
      <c r="H184" s="1575">
        <f>O184</f>
        <v>5854.3</v>
      </c>
      <c r="I184" s="1551">
        <f t="shared" si="100"/>
        <v>185.07481000000001</v>
      </c>
      <c r="J184" s="1552"/>
      <c r="K184" s="1822">
        <v>513</v>
      </c>
      <c r="L184" s="1822">
        <v>5131</v>
      </c>
      <c r="M184" s="1824">
        <v>179220.51</v>
      </c>
      <c r="N184" s="1822">
        <v>5131</v>
      </c>
      <c r="O184" s="1839">
        <v>5854.3</v>
      </c>
      <c r="P184" s="1227"/>
      <c r="Q184" s="1227"/>
      <c r="R184" s="1227"/>
      <c r="S184" s="1227"/>
      <c r="T184" s="139"/>
      <c r="U184" s="1227"/>
      <c r="V184" s="1227"/>
      <c r="W184" s="1227"/>
      <c r="X184" s="1227"/>
      <c r="Y184" s="1227"/>
      <c r="Z184" s="1227"/>
      <c r="AA184" s="139"/>
      <c r="AB184" s="139"/>
      <c r="AC184" s="139"/>
      <c r="AD184" s="139"/>
      <c r="AE184" s="139"/>
      <c r="AF184" s="139"/>
      <c r="AG184" s="139"/>
    </row>
    <row r="185" spans="1:33" x14ac:dyDescent="0.25">
      <c r="A185" s="2181">
        <f t="shared" si="90"/>
        <v>29</v>
      </c>
      <c r="B185" s="1568">
        <v>513</v>
      </c>
      <c r="C185" s="1569"/>
      <c r="D185" s="1569"/>
      <c r="E185" s="1570">
        <f t="shared" si="106"/>
        <v>1500.18831</v>
      </c>
      <c r="F185" s="2210">
        <f>SUM(F183:F184)</f>
        <v>1500188.31</v>
      </c>
      <c r="G185" s="1570">
        <f t="shared" si="104"/>
        <v>281.24108000000001</v>
      </c>
      <c r="H185" s="2178">
        <f>SUM(H183:H184)</f>
        <v>281241.08</v>
      </c>
      <c r="I185" s="1563">
        <f t="shared" si="100"/>
        <v>1781.42939</v>
      </c>
      <c r="J185" s="1564"/>
      <c r="K185" s="1822"/>
      <c r="L185" s="1822"/>
      <c r="M185" s="1823"/>
      <c r="N185" s="1822"/>
      <c r="O185" s="1839"/>
      <c r="P185" s="1227"/>
      <c r="Q185" s="1227"/>
      <c r="R185" s="1227"/>
      <c r="S185" s="1227"/>
      <c r="T185" s="139"/>
      <c r="U185" s="1227"/>
      <c r="V185" s="1227"/>
      <c r="W185" s="1227"/>
      <c r="X185" s="1227"/>
      <c r="Y185" s="1227"/>
      <c r="Z185" s="1227"/>
      <c r="AA185" s="139"/>
      <c r="AB185" s="139"/>
      <c r="AC185" s="139"/>
      <c r="AD185" s="139"/>
      <c r="AE185" s="139"/>
      <c r="AF185" s="139"/>
      <c r="AG185" s="139"/>
    </row>
    <row r="186" spans="1:33" x14ac:dyDescent="0.25">
      <c r="A186" s="1567">
        <f t="shared" si="90"/>
        <v>30</v>
      </c>
      <c r="B186" s="1572">
        <v>518</v>
      </c>
      <c r="C186" s="1573">
        <v>5181</v>
      </c>
      <c r="D186" s="1573" t="s">
        <v>1552</v>
      </c>
      <c r="E186" s="1574">
        <f t="shared" si="106"/>
        <v>136.51497000000001</v>
      </c>
      <c r="F186" s="1575">
        <f>M186</f>
        <v>136514.97</v>
      </c>
      <c r="G186" s="1574">
        <f t="shared" si="104"/>
        <v>11.0151</v>
      </c>
      <c r="H186" s="1575">
        <f>O186</f>
        <v>11015.1</v>
      </c>
      <c r="I186" s="1551">
        <f>E186+G186</f>
        <v>147.53006999999999</v>
      </c>
      <c r="J186" s="1552"/>
      <c r="K186" s="1822">
        <v>518</v>
      </c>
      <c r="L186" s="1822">
        <v>5181</v>
      </c>
      <c r="M186" s="1824">
        <v>136514.97</v>
      </c>
      <c r="N186" s="1822">
        <v>5181</v>
      </c>
      <c r="O186" s="1839">
        <v>11015.1</v>
      </c>
      <c r="P186" s="1227"/>
      <c r="Q186" s="1227"/>
      <c r="R186" s="1227"/>
      <c r="S186" s="1227"/>
      <c r="T186" s="139"/>
      <c r="U186" s="1227"/>
      <c r="V186" s="1227"/>
      <c r="W186" s="1227"/>
      <c r="X186" s="1227"/>
      <c r="Y186" s="1227"/>
      <c r="Z186" s="1227"/>
      <c r="AA186" s="139"/>
      <c r="AB186" s="139"/>
      <c r="AC186" s="139"/>
      <c r="AD186" s="139"/>
      <c r="AE186" s="139"/>
      <c r="AF186" s="139"/>
      <c r="AG186" s="139"/>
    </row>
    <row r="187" spans="1:33" x14ac:dyDescent="0.25">
      <c r="A187" s="1567">
        <f t="shared" si="90"/>
        <v>31</v>
      </c>
      <c r="B187" s="1572">
        <v>518</v>
      </c>
      <c r="C187" s="1573">
        <v>51811</v>
      </c>
      <c r="D187" s="1573" t="s">
        <v>1553</v>
      </c>
      <c r="E187" s="1574">
        <f t="shared" si="106"/>
        <v>233.66315</v>
      </c>
      <c r="F187" s="1575">
        <f>M187</f>
        <v>233663.15</v>
      </c>
      <c r="G187" s="1574">
        <f t="shared" si="104"/>
        <v>15.015739999999999</v>
      </c>
      <c r="H187" s="1575">
        <f t="shared" ref="H187:H231" si="107">O187</f>
        <v>15015.74</v>
      </c>
      <c r="I187" s="1551">
        <f t="shared" ref="I187:I231" si="108">E187+G187</f>
        <v>248.67889</v>
      </c>
      <c r="J187" s="1552"/>
      <c r="K187" s="1822">
        <v>518</v>
      </c>
      <c r="L187" s="1822">
        <v>51811</v>
      </c>
      <c r="M187" s="1824">
        <v>233663.15</v>
      </c>
      <c r="N187" s="1822">
        <v>51811</v>
      </c>
      <c r="O187" s="1839">
        <v>15015.74</v>
      </c>
      <c r="P187" s="1227"/>
      <c r="Q187" s="1227"/>
      <c r="R187" s="1227"/>
      <c r="S187" s="1227"/>
      <c r="T187" s="139"/>
      <c r="U187" s="1227"/>
      <c r="V187" s="1227"/>
      <c r="W187" s="1227"/>
      <c r="X187" s="1227"/>
      <c r="Y187" s="1227"/>
      <c r="Z187" s="1227"/>
      <c r="AA187" s="139"/>
      <c r="AB187" s="139"/>
      <c r="AC187" s="139"/>
      <c r="AD187" s="139"/>
      <c r="AE187" s="139"/>
      <c r="AF187" s="139"/>
      <c r="AG187" s="139"/>
    </row>
    <row r="188" spans="1:33" x14ac:dyDescent="0.25">
      <c r="A188" s="1567">
        <f t="shared" si="90"/>
        <v>32</v>
      </c>
      <c r="B188" s="1572">
        <v>518</v>
      </c>
      <c r="C188" s="1573">
        <v>51812</v>
      </c>
      <c r="D188" s="2174" t="s">
        <v>1829</v>
      </c>
      <c r="E188" s="1574">
        <f t="shared" si="106"/>
        <v>1.17</v>
      </c>
      <c r="F188" s="1575">
        <f>M188</f>
        <v>1170</v>
      </c>
      <c r="G188" s="1574">
        <f t="shared" si="104"/>
        <v>0</v>
      </c>
      <c r="H188" s="1575">
        <f t="shared" si="107"/>
        <v>0</v>
      </c>
      <c r="I188" s="1551">
        <f t="shared" si="108"/>
        <v>1.17</v>
      </c>
      <c r="J188" s="1552"/>
      <c r="K188" s="1822">
        <v>518</v>
      </c>
      <c r="L188" s="1822">
        <v>51812</v>
      </c>
      <c r="M188" s="1824">
        <v>1170</v>
      </c>
      <c r="N188" s="1822"/>
      <c r="O188" s="1839"/>
      <c r="P188" s="1227"/>
      <c r="Q188" s="1227"/>
      <c r="R188" s="1227"/>
      <c r="S188" s="1227"/>
      <c r="T188" s="139"/>
      <c r="U188" s="1227"/>
      <c r="V188" s="1227"/>
      <c r="W188" s="1227"/>
      <c r="X188" s="1227"/>
      <c r="Y188" s="1227"/>
      <c r="Z188" s="1227"/>
      <c r="AA188" s="139"/>
      <c r="AB188" s="139"/>
      <c r="AC188" s="139"/>
      <c r="AD188" s="139"/>
      <c r="AE188" s="139"/>
      <c r="AF188" s="139"/>
      <c r="AG188" s="139"/>
    </row>
    <row r="189" spans="1:33" x14ac:dyDescent="0.25">
      <c r="A189" s="1567">
        <f t="shared" si="90"/>
        <v>33</v>
      </c>
      <c r="B189" s="1572">
        <v>518</v>
      </c>
      <c r="C189" s="1573">
        <v>518121</v>
      </c>
      <c r="D189" s="1573" t="s">
        <v>1554</v>
      </c>
      <c r="E189" s="1574">
        <f t="shared" si="106"/>
        <v>7.6049499999999997</v>
      </c>
      <c r="F189" s="1575">
        <f>M189</f>
        <v>7604.95</v>
      </c>
      <c r="G189" s="1574">
        <f t="shared" si="104"/>
        <v>55.777120000000004</v>
      </c>
      <c r="H189" s="1575">
        <f t="shared" si="107"/>
        <v>55777.120000000003</v>
      </c>
      <c r="I189" s="1551">
        <f t="shared" si="108"/>
        <v>63.382070000000006</v>
      </c>
      <c r="J189" s="1552"/>
      <c r="K189" s="1822">
        <v>518</v>
      </c>
      <c r="L189" s="1822">
        <v>518121</v>
      </c>
      <c r="M189" s="1824">
        <v>7604.95</v>
      </c>
      <c r="N189" s="1822">
        <v>518121</v>
      </c>
      <c r="O189" s="1839">
        <v>55777.120000000003</v>
      </c>
      <c r="P189" s="1227"/>
      <c r="Q189" s="1227"/>
      <c r="R189" s="1227"/>
      <c r="S189" s="1227"/>
      <c r="T189" s="139"/>
      <c r="U189" s="1227"/>
      <c r="V189" s="1227"/>
      <c r="W189" s="1227"/>
      <c r="X189" s="1227"/>
      <c r="Y189" s="1227"/>
      <c r="Z189" s="1227"/>
      <c r="AA189" s="139"/>
      <c r="AB189" s="139"/>
      <c r="AC189" s="139"/>
      <c r="AD189" s="139"/>
      <c r="AE189" s="139"/>
      <c r="AF189" s="139"/>
      <c r="AG189" s="139"/>
    </row>
    <row r="190" spans="1:33" x14ac:dyDescent="0.25">
      <c r="A190" s="1567">
        <f t="shared" si="90"/>
        <v>34</v>
      </c>
      <c r="B190" s="1572">
        <v>518</v>
      </c>
      <c r="C190" s="1573">
        <v>518122</v>
      </c>
      <c r="D190" s="1573" t="s">
        <v>1555</v>
      </c>
      <c r="E190" s="1574">
        <f t="shared" si="106"/>
        <v>0</v>
      </c>
      <c r="F190" s="1575">
        <v>0</v>
      </c>
      <c r="G190" s="1574">
        <f t="shared" si="104"/>
        <v>1.0676600000000001</v>
      </c>
      <c r="H190" s="1575">
        <f t="shared" si="107"/>
        <v>1067.6600000000001</v>
      </c>
      <c r="I190" s="1551">
        <f t="shared" si="108"/>
        <v>1.0676600000000001</v>
      </c>
      <c r="J190" s="1552"/>
      <c r="K190" s="1822"/>
      <c r="L190" s="1822"/>
      <c r="M190" s="1823"/>
      <c r="N190" s="1822">
        <v>518122</v>
      </c>
      <c r="O190" s="1839">
        <v>1067.6600000000001</v>
      </c>
      <c r="P190" s="1227"/>
      <c r="Q190" s="1227"/>
      <c r="R190" s="1227"/>
      <c r="S190" s="1227"/>
      <c r="T190" s="139"/>
      <c r="U190" s="1227"/>
      <c r="V190" s="1227"/>
      <c r="W190" s="1227"/>
      <c r="X190" s="1227"/>
      <c r="Y190" s="1227"/>
      <c r="Z190" s="1227"/>
      <c r="AA190" s="139"/>
      <c r="AB190" s="139"/>
      <c r="AC190" s="139"/>
      <c r="AD190" s="139"/>
      <c r="AE190" s="139"/>
      <c r="AF190" s="139"/>
      <c r="AG190" s="139"/>
    </row>
    <row r="191" spans="1:33" x14ac:dyDescent="0.25">
      <c r="A191" s="1567">
        <f t="shared" si="90"/>
        <v>35</v>
      </c>
      <c r="B191" s="1572">
        <v>518</v>
      </c>
      <c r="C191" s="1573">
        <v>518123</v>
      </c>
      <c r="D191" s="1573" t="s">
        <v>1556</v>
      </c>
      <c r="E191" s="1574">
        <f t="shared" si="106"/>
        <v>116.44896</v>
      </c>
      <c r="F191" s="1575">
        <f>M191</f>
        <v>116448.96000000001</v>
      </c>
      <c r="G191" s="1574">
        <f t="shared" si="104"/>
        <v>96.823189999999997</v>
      </c>
      <c r="H191" s="1575">
        <f t="shared" si="107"/>
        <v>96823.19</v>
      </c>
      <c r="I191" s="1551">
        <f t="shared" si="108"/>
        <v>213.27215000000001</v>
      </c>
      <c r="J191" s="1552"/>
      <c r="K191" s="1822">
        <v>518</v>
      </c>
      <c r="L191" s="1822">
        <v>518123</v>
      </c>
      <c r="M191" s="1824">
        <v>116448.96000000001</v>
      </c>
      <c r="N191" s="1822">
        <v>518123</v>
      </c>
      <c r="O191" s="1839">
        <v>96823.19</v>
      </c>
      <c r="P191" s="1227"/>
      <c r="Q191" s="1227"/>
      <c r="R191" s="1227"/>
      <c r="S191" s="1227"/>
      <c r="T191" s="139"/>
      <c r="U191" s="1227"/>
      <c r="V191" s="1227"/>
      <c r="W191" s="1227"/>
      <c r="X191" s="1227"/>
      <c r="Y191" s="1227"/>
      <c r="Z191" s="1227"/>
      <c r="AA191" s="139"/>
      <c r="AB191" s="139"/>
      <c r="AC191" s="139"/>
      <c r="AD191" s="139"/>
      <c r="AE191" s="139"/>
      <c r="AF191" s="139"/>
      <c r="AG191" s="139"/>
    </row>
    <row r="192" spans="1:33" x14ac:dyDescent="0.25">
      <c r="A192" s="1567">
        <f t="shared" si="90"/>
        <v>36</v>
      </c>
      <c r="B192" s="1572">
        <v>518</v>
      </c>
      <c r="C192" s="1573">
        <v>518124</v>
      </c>
      <c r="D192" s="1573" t="s">
        <v>1557</v>
      </c>
      <c r="E192" s="1574">
        <f t="shared" si="106"/>
        <v>349.55626000000001</v>
      </c>
      <c r="F192" s="1575">
        <f>M192</f>
        <v>349556.26</v>
      </c>
      <c r="G192" s="1574">
        <f t="shared" si="104"/>
        <v>62.56832</v>
      </c>
      <c r="H192" s="1575">
        <f t="shared" si="107"/>
        <v>62568.32</v>
      </c>
      <c r="I192" s="1551">
        <f t="shared" si="108"/>
        <v>412.12458000000004</v>
      </c>
      <c r="J192" s="1552"/>
      <c r="K192" s="1822">
        <v>518</v>
      </c>
      <c r="L192" s="1822">
        <v>518124</v>
      </c>
      <c r="M192" s="1824">
        <v>349556.26</v>
      </c>
      <c r="N192" s="1822">
        <v>518124</v>
      </c>
      <c r="O192" s="1839">
        <v>62568.32</v>
      </c>
      <c r="P192" s="1227"/>
      <c r="Q192" s="1227"/>
      <c r="R192" s="1227"/>
      <c r="S192" s="1227"/>
      <c r="T192" s="139"/>
      <c r="U192" s="1227"/>
      <c r="V192" s="1227"/>
      <c r="W192" s="1227"/>
      <c r="X192" s="1227"/>
      <c r="Y192" s="1227"/>
      <c r="Z192" s="1227"/>
      <c r="AA192" s="139"/>
      <c r="AB192" s="139"/>
      <c r="AC192" s="139"/>
      <c r="AD192" s="139"/>
      <c r="AE192" s="139"/>
      <c r="AF192" s="139"/>
      <c r="AG192" s="139"/>
    </row>
    <row r="193" spans="1:33" x14ac:dyDescent="0.25">
      <c r="A193" s="1567">
        <f t="shared" si="90"/>
        <v>37</v>
      </c>
      <c r="B193" s="1572">
        <v>518</v>
      </c>
      <c r="C193" s="1573">
        <v>5181291</v>
      </c>
      <c r="D193" s="1573" t="s">
        <v>1558</v>
      </c>
      <c r="E193" s="1574">
        <f t="shared" si="106"/>
        <v>0</v>
      </c>
      <c r="F193" s="1575">
        <f>M193</f>
        <v>0</v>
      </c>
      <c r="G193" s="1574">
        <f t="shared" si="104"/>
        <v>0</v>
      </c>
      <c r="H193" s="1575">
        <f t="shared" si="107"/>
        <v>0</v>
      </c>
      <c r="I193" s="1551">
        <f t="shared" si="108"/>
        <v>0</v>
      </c>
      <c r="J193" s="1552"/>
      <c r="K193" s="1822"/>
      <c r="L193" s="1822"/>
      <c r="M193" s="1823"/>
      <c r="N193" s="1822"/>
      <c r="O193" s="1839"/>
      <c r="P193" s="1227"/>
      <c r="Q193" s="1227"/>
      <c r="R193" s="1227"/>
      <c r="S193" s="1227"/>
      <c r="T193" s="139"/>
      <c r="U193" s="1227"/>
      <c r="V193" s="1227"/>
      <c r="W193" s="1227"/>
      <c r="X193" s="1227"/>
      <c r="Y193" s="1227"/>
      <c r="Z193" s="1227"/>
      <c r="AA193" s="139"/>
      <c r="AB193" s="139"/>
      <c r="AC193" s="139"/>
      <c r="AD193" s="139"/>
      <c r="AE193" s="139"/>
      <c r="AF193" s="139"/>
      <c r="AG193" s="139"/>
    </row>
    <row r="194" spans="1:33" x14ac:dyDescent="0.25">
      <c r="A194" s="1567">
        <f t="shared" si="90"/>
        <v>38</v>
      </c>
      <c r="B194" s="1572">
        <v>518</v>
      </c>
      <c r="C194" s="1573">
        <v>51813</v>
      </c>
      <c r="D194" s="1573" t="s">
        <v>1559</v>
      </c>
      <c r="E194" s="1574">
        <f t="shared" si="106"/>
        <v>4014.2167000000004</v>
      </c>
      <c r="F194" s="1575">
        <f t="shared" ref="F194:F198" si="109">M194</f>
        <v>4014216.7</v>
      </c>
      <c r="G194" s="1574">
        <f t="shared" si="104"/>
        <v>2472.2440799999999</v>
      </c>
      <c r="H194" s="1575">
        <f t="shared" si="107"/>
        <v>2472244.08</v>
      </c>
      <c r="I194" s="1551">
        <f t="shared" si="108"/>
        <v>6486.4607800000003</v>
      </c>
      <c r="J194" s="1552"/>
      <c r="K194" s="1822">
        <v>518</v>
      </c>
      <c r="L194" s="1822">
        <v>51813</v>
      </c>
      <c r="M194" s="1824">
        <v>4014216.7</v>
      </c>
      <c r="N194" s="1822">
        <v>51813</v>
      </c>
      <c r="O194" s="1839">
        <v>2472244.08</v>
      </c>
      <c r="P194" s="1227"/>
      <c r="Q194" s="1227"/>
      <c r="R194" s="1227"/>
      <c r="S194" s="1227"/>
      <c r="T194" s="139"/>
      <c r="U194" s="1227"/>
      <c r="V194" s="1227"/>
      <c r="W194" s="1227"/>
      <c r="X194" s="1227"/>
      <c r="Y194" s="1227"/>
      <c r="Z194" s="1227"/>
      <c r="AA194" s="139"/>
      <c r="AB194" s="139"/>
      <c r="AC194" s="139"/>
      <c r="AD194" s="139"/>
      <c r="AE194" s="139"/>
      <c r="AF194" s="139"/>
      <c r="AG194" s="139"/>
    </row>
    <row r="195" spans="1:33" x14ac:dyDescent="0.25">
      <c r="A195" s="1567">
        <f t="shared" si="90"/>
        <v>39</v>
      </c>
      <c r="B195" s="1572">
        <v>518</v>
      </c>
      <c r="C195" s="1573">
        <v>51814</v>
      </c>
      <c r="D195" s="1573" t="s">
        <v>1560</v>
      </c>
      <c r="E195" s="1574">
        <f t="shared" si="106"/>
        <v>58.587600000000002</v>
      </c>
      <c r="F195" s="1575">
        <f t="shared" si="109"/>
        <v>58587.6</v>
      </c>
      <c r="G195" s="1574">
        <f t="shared" si="104"/>
        <v>271.02742999999998</v>
      </c>
      <c r="H195" s="1575">
        <f t="shared" si="107"/>
        <v>271027.43</v>
      </c>
      <c r="I195" s="1551">
        <f t="shared" si="108"/>
        <v>329.61502999999999</v>
      </c>
      <c r="J195" s="1552"/>
      <c r="K195" s="1822">
        <v>518</v>
      </c>
      <c r="L195" s="1822">
        <v>51814</v>
      </c>
      <c r="M195" s="1824">
        <v>58587.6</v>
      </c>
      <c r="N195" s="1822">
        <v>51814</v>
      </c>
      <c r="O195" s="1839">
        <v>271027.43</v>
      </c>
      <c r="P195" s="1227"/>
      <c r="Q195" s="1227"/>
      <c r="R195" s="1227"/>
      <c r="S195" s="1227"/>
      <c r="T195" s="139"/>
      <c r="U195" s="1227"/>
      <c r="V195" s="1227"/>
      <c r="W195" s="1227"/>
      <c r="X195" s="1227"/>
      <c r="Y195" s="1227"/>
      <c r="Z195" s="1227"/>
      <c r="AA195" s="139"/>
      <c r="AB195" s="139"/>
      <c r="AC195" s="139"/>
      <c r="AD195" s="139"/>
      <c r="AE195" s="139"/>
      <c r="AF195" s="139"/>
      <c r="AG195" s="139"/>
    </row>
    <row r="196" spans="1:33" x14ac:dyDescent="0.25">
      <c r="A196" s="1567">
        <f t="shared" si="90"/>
        <v>40</v>
      </c>
      <c r="B196" s="1572">
        <v>518</v>
      </c>
      <c r="C196" s="1573">
        <v>51815</v>
      </c>
      <c r="D196" s="1573" t="s">
        <v>1561</v>
      </c>
      <c r="E196" s="1574">
        <f t="shared" si="106"/>
        <v>516.86156000000005</v>
      </c>
      <c r="F196" s="1575">
        <f t="shared" si="109"/>
        <v>516861.56</v>
      </c>
      <c r="G196" s="1574">
        <f t="shared" si="104"/>
        <v>0</v>
      </c>
      <c r="H196" s="1575">
        <f t="shared" si="107"/>
        <v>0</v>
      </c>
      <c r="I196" s="1551">
        <f t="shared" si="108"/>
        <v>516.86156000000005</v>
      </c>
      <c r="J196" s="1552"/>
      <c r="K196" s="1822">
        <v>518</v>
      </c>
      <c r="L196" s="1822">
        <v>51815</v>
      </c>
      <c r="M196" s="1824">
        <v>516861.56</v>
      </c>
      <c r="N196" s="1822"/>
      <c r="O196" s="1839"/>
      <c r="P196" s="1227"/>
      <c r="Q196" s="1227"/>
      <c r="R196" s="1227"/>
      <c r="S196" s="1227"/>
      <c r="T196" s="139"/>
      <c r="U196" s="1227"/>
      <c r="V196" s="1227"/>
      <c r="W196" s="1227"/>
      <c r="X196" s="1227"/>
      <c r="Y196" s="1227"/>
      <c r="Z196" s="1227"/>
      <c r="AA196" s="139"/>
      <c r="AB196" s="139"/>
      <c r="AC196" s="139"/>
      <c r="AD196" s="139"/>
      <c r="AE196" s="139"/>
      <c r="AF196" s="139"/>
      <c r="AG196" s="139"/>
    </row>
    <row r="197" spans="1:33" x14ac:dyDescent="0.25">
      <c r="A197" s="1567">
        <f t="shared" si="90"/>
        <v>41</v>
      </c>
      <c r="B197" s="1572">
        <v>518</v>
      </c>
      <c r="C197" s="1573">
        <v>51816</v>
      </c>
      <c r="D197" s="1573" t="s">
        <v>1562</v>
      </c>
      <c r="E197" s="1574">
        <f t="shared" si="106"/>
        <v>0</v>
      </c>
      <c r="F197" s="1575">
        <f t="shared" si="109"/>
        <v>0</v>
      </c>
      <c r="G197" s="1574">
        <f t="shared" si="104"/>
        <v>0</v>
      </c>
      <c r="H197" s="1575">
        <f t="shared" si="107"/>
        <v>0</v>
      </c>
      <c r="I197" s="1551">
        <f t="shared" si="108"/>
        <v>0</v>
      </c>
      <c r="J197" s="1552"/>
      <c r="K197" s="1822"/>
      <c r="L197" s="1822"/>
      <c r="M197" s="1824"/>
      <c r="N197" s="1822"/>
      <c r="O197" s="1839"/>
      <c r="P197" s="1227"/>
      <c r="Q197" s="1227"/>
      <c r="R197" s="1227"/>
      <c r="S197" s="1227"/>
      <c r="T197" s="139"/>
      <c r="U197" s="1227"/>
      <c r="V197" s="1227"/>
      <c r="W197" s="1227"/>
      <c r="X197" s="1227"/>
      <c r="Y197" s="1227"/>
      <c r="Z197" s="1227"/>
      <c r="AA197" s="139"/>
      <c r="AB197" s="139"/>
      <c r="AC197" s="139"/>
      <c r="AD197" s="139"/>
      <c r="AE197" s="139"/>
      <c r="AF197" s="139"/>
      <c r="AG197" s="139"/>
    </row>
    <row r="198" spans="1:33" x14ac:dyDescent="0.25">
      <c r="A198" s="1567">
        <f t="shared" si="90"/>
        <v>42</v>
      </c>
      <c r="B198" s="1572">
        <v>518</v>
      </c>
      <c r="C198" s="1573">
        <v>51817</v>
      </c>
      <c r="D198" s="1573" t="s">
        <v>1563</v>
      </c>
      <c r="E198" s="1574">
        <f t="shared" si="106"/>
        <v>1049.9530400000001</v>
      </c>
      <c r="F198" s="1575">
        <f t="shared" si="109"/>
        <v>1049953.04</v>
      </c>
      <c r="G198" s="1574">
        <f t="shared" si="104"/>
        <v>300.04525000000001</v>
      </c>
      <c r="H198" s="1575">
        <f t="shared" si="107"/>
        <v>300045.25</v>
      </c>
      <c r="I198" s="1551">
        <f t="shared" si="108"/>
        <v>1349.99829</v>
      </c>
      <c r="J198" s="1552"/>
      <c r="K198" s="1822">
        <v>518</v>
      </c>
      <c r="L198" s="1822">
        <v>51817</v>
      </c>
      <c r="M198" s="1824">
        <v>1049953.04</v>
      </c>
      <c r="N198" s="1822">
        <v>51817</v>
      </c>
      <c r="O198" s="1839">
        <v>300045.25</v>
      </c>
      <c r="P198" s="1227"/>
      <c r="Q198" s="1227"/>
      <c r="R198" s="1227"/>
      <c r="S198" s="1227"/>
      <c r="T198" s="139"/>
      <c r="U198" s="1227"/>
      <c r="V198" s="1227"/>
      <c r="W198" s="1227"/>
      <c r="X198" s="1227"/>
      <c r="Y198" s="1227"/>
      <c r="Z198" s="1227"/>
      <c r="AA198" s="139"/>
      <c r="AB198" s="139"/>
      <c r="AC198" s="139"/>
      <c r="AD198" s="139"/>
      <c r="AE198" s="139"/>
      <c r="AF198" s="139"/>
      <c r="AG198" s="139"/>
    </row>
    <row r="199" spans="1:33" x14ac:dyDescent="0.25">
      <c r="A199" s="1567">
        <f t="shared" si="90"/>
        <v>43</v>
      </c>
      <c r="B199" s="1572">
        <v>518</v>
      </c>
      <c r="C199" s="1573">
        <v>518171</v>
      </c>
      <c r="D199" s="1573" t="s">
        <v>1564</v>
      </c>
      <c r="E199" s="1574">
        <f t="shared" si="106"/>
        <v>78.664109999999994</v>
      </c>
      <c r="F199" s="1575">
        <f>M199</f>
        <v>78664.11</v>
      </c>
      <c r="G199" s="1574">
        <f t="shared" si="104"/>
        <v>57.146000000000001</v>
      </c>
      <c r="H199" s="1575">
        <f t="shared" si="107"/>
        <v>57146</v>
      </c>
      <c r="I199" s="1551">
        <f t="shared" si="108"/>
        <v>135.81011000000001</v>
      </c>
      <c r="J199" s="1552"/>
      <c r="K199" s="1822">
        <v>518</v>
      </c>
      <c r="L199" s="1822">
        <v>518171</v>
      </c>
      <c r="M199" s="1824">
        <v>78664.11</v>
      </c>
      <c r="N199" s="1822">
        <v>518171</v>
      </c>
      <c r="O199" s="1839">
        <v>57146</v>
      </c>
      <c r="P199" s="1227"/>
      <c r="Q199" s="1227"/>
      <c r="R199" s="1227"/>
      <c r="S199" s="1227"/>
      <c r="T199" s="139"/>
      <c r="U199" s="1227"/>
      <c r="V199" s="1227"/>
      <c r="W199" s="1227"/>
      <c r="X199" s="1227"/>
      <c r="Y199" s="1227"/>
      <c r="Z199" s="1227"/>
      <c r="AA199" s="139"/>
      <c r="AB199" s="139"/>
      <c r="AC199" s="139"/>
      <c r="AD199" s="139"/>
      <c r="AE199" s="139"/>
      <c r="AF199" s="139"/>
      <c r="AG199" s="139"/>
    </row>
    <row r="200" spans="1:33" x14ac:dyDescent="0.25">
      <c r="A200" s="1567">
        <f t="shared" si="90"/>
        <v>44</v>
      </c>
      <c r="B200" s="1572">
        <v>518</v>
      </c>
      <c r="C200" s="1573">
        <v>51818</v>
      </c>
      <c r="D200" s="1573" t="s">
        <v>1565</v>
      </c>
      <c r="E200" s="1574">
        <f t="shared" si="106"/>
        <v>391.20171000000005</v>
      </c>
      <c r="F200" s="1575">
        <f t="shared" ref="F200:F231" si="110">M200</f>
        <v>391201.71</v>
      </c>
      <c r="G200" s="1574">
        <f t="shared" si="104"/>
        <v>85.984999999999999</v>
      </c>
      <c r="H200" s="1575">
        <f t="shared" si="107"/>
        <v>85985</v>
      </c>
      <c r="I200" s="1551">
        <f t="shared" si="108"/>
        <v>477.18671000000006</v>
      </c>
      <c r="J200" s="1552"/>
      <c r="K200" s="1822">
        <v>518</v>
      </c>
      <c r="L200" s="1822">
        <v>51818</v>
      </c>
      <c r="M200" s="1824">
        <v>391201.71</v>
      </c>
      <c r="N200" s="1822">
        <v>51818</v>
      </c>
      <c r="O200" s="1839">
        <v>85985</v>
      </c>
      <c r="P200" s="1227"/>
      <c r="Q200" s="1227"/>
      <c r="R200" s="1227"/>
      <c r="S200" s="1227"/>
      <c r="T200" s="139"/>
      <c r="U200" s="1227"/>
      <c r="V200" s="1227"/>
      <c r="W200" s="1227"/>
      <c r="X200" s="1227"/>
      <c r="Y200" s="1227"/>
      <c r="Z200" s="1227"/>
      <c r="AA200" s="139"/>
      <c r="AB200" s="139"/>
      <c r="AC200" s="139"/>
      <c r="AD200" s="139"/>
      <c r="AE200" s="139"/>
      <c r="AF200" s="139"/>
      <c r="AG200" s="139"/>
    </row>
    <row r="201" spans="1:33" x14ac:dyDescent="0.25">
      <c r="A201" s="1567">
        <f t="shared" si="90"/>
        <v>45</v>
      </c>
      <c r="B201" s="1572">
        <v>518</v>
      </c>
      <c r="C201" s="1573">
        <v>51819</v>
      </c>
      <c r="D201" s="1573" t="s">
        <v>1566</v>
      </c>
      <c r="E201" s="1574">
        <f t="shared" si="106"/>
        <v>256.18270999999999</v>
      </c>
      <c r="F201" s="1575">
        <f t="shared" si="110"/>
        <v>256182.71</v>
      </c>
      <c r="G201" s="1574">
        <f t="shared" si="104"/>
        <v>2.6974299999999998</v>
      </c>
      <c r="H201" s="1575">
        <f t="shared" si="107"/>
        <v>2697.43</v>
      </c>
      <c r="I201" s="1551">
        <f t="shared" si="108"/>
        <v>258.88013999999998</v>
      </c>
      <c r="J201" s="1552"/>
      <c r="K201" s="1822">
        <v>518</v>
      </c>
      <c r="L201" s="1822">
        <v>51819</v>
      </c>
      <c r="M201" s="1824">
        <v>256182.71</v>
      </c>
      <c r="N201" s="1822">
        <v>51819</v>
      </c>
      <c r="O201" s="1839">
        <v>2697.43</v>
      </c>
      <c r="P201" s="1227"/>
      <c r="Q201" s="1227"/>
      <c r="R201" s="1227"/>
      <c r="S201" s="1227"/>
      <c r="T201" s="139"/>
      <c r="U201" s="1227"/>
      <c r="V201" s="1227"/>
      <c r="W201" s="1227"/>
      <c r="X201" s="1227"/>
      <c r="Y201" s="1227"/>
      <c r="Z201" s="1227"/>
      <c r="AA201" s="139"/>
      <c r="AB201" s="139"/>
      <c r="AC201" s="139"/>
      <c r="AD201" s="139"/>
      <c r="AE201" s="139"/>
      <c r="AF201" s="139"/>
      <c r="AG201" s="139"/>
    </row>
    <row r="202" spans="1:33" x14ac:dyDescent="0.25">
      <c r="A202" s="1567">
        <f t="shared" si="90"/>
        <v>46</v>
      </c>
      <c r="B202" s="1572">
        <v>518</v>
      </c>
      <c r="C202" s="1573">
        <v>51820</v>
      </c>
      <c r="D202" s="1573" t="s">
        <v>1567</v>
      </c>
      <c r="E202" s="1574">
        <f t="shared" si="106"/>
        <v>163.95650000000001</v>
      </c>
      <c r="F202" s="1575">
        <f t="shared" si="110"/>
        <v>163956.5</v>
      </c>
      <c r="G202" s="1574">
        <f t="shared" si="104"/>
        <v>31.125</v>
      </c>
      <c r="H202" s="1575">
        <f t="shared" si="107"/>
        <v>31125</v>
      </c>
      <c r="I202" s="1551">
        <f t="shared" si="108"/>
        <v>195.08150000000001</v>
      </c>
      <c r="J202" s="1552"/>
      <c r="K202" s="1822">
        <v>518</v>
      </c>
      <c r="L202" s="1822">
        <v>51820</v>
      </c>
      <c r="M202" s="1824">
        <v>163956.5</v>
      </c>
      <c r="N202" s="1822">
        <v>51820</v>
      </c>
      <c r="O202" s="1839">
        <v>31125</v>
      </c>
      <c r="P202" s="1227"/>
      <c r="Q202" s="1227"/>
      <c r="R202" s="1227"/>
      <c r="S202" s="1227"/>
      <c r="T202" s="139"/>
      <c r="U202" s="1227"/>
      <c r="V202" s="1227"/>
      <c r="W202" s="1227"/>
      <c r="X202" s="1227"/>
      <c r="Y202" s="1227"/>
      <c r="Z202" s="1227"/>
      <c r="AA202" s="139"/>
      <c r="AB202" s="139"/>
      <c r="AC202" s="139"/>
      <c r="AD202" s="139"/>
      <c r="AE202" s="139"/>
      <c r="AF202" s="139"/>
      <c r="AG202" s="139"/>
    </row>
    <row r="203" spans="1:33" x14ac:dyDescent="0.25">
      <c r="A203" s="1567">
        <f t="shared" si="90"/>
        <v>47</v>
      </c>
      <c r="B203" s="1572">
        <v>518</v>
      </c>
      <c r="C203" s="1573">
        <v>51821</v>
      </c>
      <c r="D203" s="1573" t="s">
        <v>1568</v>
      </c>
      <c r="E203" s="1574">
        <f t="shared" si="106"/>
        <v>3167.69931</v>
      </c>
      <c r="F203" s="1575">
        <f t="shared" si="110"/>
        <v>3167699.31</v>
      </c>
      <c r="G203" s="1574">
        <f t="shared" si="104"/>
        <v>2701.2681499999999</v>
      </c>
      <c r="H203" s="1575">
        <f t="shared" si="107"/>
        <v>2701268.15</v>
      </c>
      <c r="I203" s="1551">
        <f t="shared" si="108"/>
        <v>5868.9674599999998</v>
      </c>
      <c r="J203" s="1552"/>
      <c r="K203" s="1822">
        <v>518</v>
      </c>
      <c r="L203" s="1822">
        <v>51821</v>
      </c>
      <c r="M203" s="1824">
        <v>3167699.31</v>
      </c>
      <c r="N203" s="1822">
        <v>51821</v>
      </c>
      <c r="O203" s="1839">
        <v>2701268.15</v>
      </c>
      <c r="P203" s="1227"/>
      <c r="Q203" s="1227"/>
      <c r="R203" s="1227"/>
      <c r="S203" s="1227"/>
      <c r="T203" s="139"/>
      <c r="U203" s="1227"/>
      <c r="V203" s="1227"/>
      <c r="W203" s="1227"/>
      <c r="X203" s="1227"/>
      <c r="Y203" s="1227"/>
      <c r="Z203" s="1227"/>
      <c r="AA203" s="139"/>
      <c r="AB203" s="139"/>
      <c r="AC203" s="139"/>
      <c r="AD203" s="139"/>
      <c r="AE203" s="139"/>
      <c r="AF203" s="139"/>
      <c r="AG203" s="139"/>
    </row>
    <row r="204" spans="1:33" x14ac:dyDescent="0.25">
      <c r="A204" s="1567">
        <f t="shared" si="90"/>
        <v>48</v>
      </c>
      <c r="B204" s="1572">
        <v>518</v>
      </c>
      <c r="C204" s="1573">
        <v>518211</v>
      </c>
      <c r="D204" s="1573" t="s">
        <v>1569</v>
      </c>
      <c r="E204" s="1574">
        <f t="shared" si="106"/>
        <v>4055.5121300000001</v>
      </c>
      <c r="F204" s="1575">
        <f t="shared" si="110"/>
        <v>4055512.13</v>
      </c>
      <c r="G204" s="1574">
        <f t="shared" si="104"/>
        <v>363.59010999999998</v>
      </c>
      <c r="H204" s="1575">
        <f t="shared" si="107"/>
        <v>363590.11</v>
      </c>
      <c r="I204" s="1551">
        <f t="shared" si="108"/>
        <v>4419.1022400000002</v>
      </c>
      <c r="J204" s="1552"/>
      <c r="K204" s="1822">
        <v>518</v>
      </c>
      <c r="L204" s="1822">
        <v>518211</v>
      </c>
      <c r="M204" s="1824">
        <v>4055512.13</v>
      </c>
      <c r="N204" s="1822">
        <v>518211</v>
      </c>
      <c r="O204" s="1839">
        <v>363590.11</v>
      </c>
      <c r="P204" s="1227"/>
      <c r="Q204" s="1227"/>
      <c r="R204" s="1227"/>
      <c r="S204" s="1227"/>
      <c r="T204" s="139"/>
      <c r="U204" s="1227"/>
      <c r="V204" s="1227"/>
      <c r="W204" s="1227"/>
      <c r="X204" s="1227"/>
      <c r="Y204" s="1227"/>
      <c r="Z204" s="1227"/>
      <c r="AA204" s="139"/>
      <c r="AB204" s="139"/>
      <c r="AC204" s="139"/>
      <c r="AD204" s="139"/>
      <c r="AE204" s="139"/>
      <c r="AF204" s="139"/>
      <c r="AG204" s="139"/>
    </row>
    <row r="205" spans="1:33" x14ac:dyDescent="0.25">
      <c r="A205" s="1567">
        <f t="shared" si="90"/>
        <v>49</v>
      </c>
      <c r="B205" s="1572">
        <v>518</v>
      </c>
      <c r="C205" s="1573">
        <v>5184</v>
      </c>
      <c r="D205" s="1573" t="s">
        <v>1570</v>
      </c>
      <c r="E205" s="1574">
        <f t="shared" si="106"/>
        <v>241.30180999999999</v>
      </c>
      <c r="F205" s="1575">
        <f t="shared" si="110"/>
        <v>241301.81</v>
      </c>
      <c r="G205" s="1574">
        <f t="shared" si="104"/>
        <v>143.46054999999998</v>
      </c>
      <c r="H205" s="1575">
        <f t="shared" si="107"/>
        <v>143460.54999999999</v>
      </c>
      <c r="I205" s="1551">
        <f t="shared" si="108"/>
        <v>384.76235999999994</v>
      </c>
      <c r="J205" s="1552"/>
      <c r="K205" s="1822">
        <v>518</v>
      </c>
      <c r="L205" s="1822">
        <v>5184</v>
      </c>
      <c r="M205" s="1824">
        <v>241301.81</v>
      </c>
      <c r="N205" s="1822">
        <v>5184</v>
      </c>
      <c r="O205" s="1839">
        <v>143460.54999999999</v>
      </c>
      <c r="P205" s="1227"/>
      <c r="Q205" s="1227"/>
      <c r="R205" s="1227"/>
      <c r="S205" s="1227"/>
      <c r="T205" s="139"/>
      <c r="U205" s="1227"/>
      <c r="V205" s="1227"/>
      <c r="W205" s="1227"/>
      <c r="X205" s="1227"/>
      <c r="Y205" s="1227"/>
      <c r="Z205" s="1227"/>
      <c r="AA205" s="139"/>
      <c r="AB205" s="139"/>
      <c r="AC205" s="139"/>
      <c r="AD205" s="139"/>
      <c r="AE205" s="139"/>
      <c r="AF205" s="139"/>
      <c r="AG205" s="139"/>
    </row>
    <row r="206" spans="1:33" x14ac:dyDescent="0.25">
      <c r="A206" s="1567">
        <f t="shared" si="90"/>
        <v>50</v>
      </c>
      <c r="B206" s="1572">
        <v>518</v>
      </c>
      <c r="C206" s="1573">
        <v>5186</v>
      </c>
      <c r="D206" s="1573" t="s">
        <v>1571</v>
      </c>
      <c r="E206" s="1574">
        <f t="shared" si="106"/>
        <v>422.50178999999997</v>
      </c>
      <c r="F206" s="1575">
        <f t="shared" si="110"/>
        <v>422501.79</v>
      </c>
      <c r="G206" s="1574">
        <f t="shared" si="104"/>
        <v>55.965240000000001</v>
      </c>
      <c r="H206" s="1575">
        <f t="shared" si="107"/>
        <v>55965.24</v>
      </c>
      <c r="I206" s="1551">
        <f t="shared" si="108"/>
        <v>478.46702999999997</v>
      </c>
      <c r="J206" s="1552"/>
      <c r="K206" s="1822">
        <v>518</v>
      </c>
      <c r="L206" s="1822">
        <v>5186</v>
      </c>
      <c r="M206" s="1824">
        <v>422501.79</v>
      </c>
      <c r="N206" s="1822">
        <v>5186</v>
      </c>
      <c r="O206" s="1839">
        <v>55965.24</v>
      </c>
      <c r="P206" s="1227"/>
      <c r="Q206" s="1227"/>
      <c r="R206" s="1227"/>
      <c r="S206" s="1227"/>
      <c r="T206" s="139"/>
      <c r="U206" s="1227"/>
      <c r="V206" s="1227"/>
      <c r="W206" s="1227"/>
      <c r="X206" s="1227"/>
      <c r="Y206" s="1227"/>
      <c r="Z206" s="1227"/>
      <c r="AA206" s="139"/>
      <c r="AB206" s="139"/>
      <c r="AC206" s="139"/>
      <c r="AD206" s="139"/>
      <c r="AE206" s="139"/>
      <c r="AF206" s="139"/>
      <c r="AG206" s="139"/>
    </row>
    <row r="207" spans="1:33" x14ac:dyDescent="0.25">
      <c r="A207" s="1567">
        <f t="shared" si="90"/>
        <v>51</v>
      </c>
      <c r="B207" s="1572">
        <v>518</v>
      </c>
      <c r="C207" s="1573">
        <v>51861</v>
      </c>
      <c r="D207" s="1573" t="s">
        <v>1572</v>
      </c>
      <c r="E207" s="1574">
        <f t="shared" si="106"/>
        <v>98.081980000000001</v>
      </c>
      <c r="F207" s="1575">
        <f t="shared" si="110"/>
        <v>98081.98</v>
      </c>
      <c r="G207" s="1574">
        <f t="shared" si="104"/>
        <v>0.65</v>
      </c>
      <c r="H207" s="1575">
        <f t="shared" si="107"/>
        <v>650</v>
      </c>
      <c r="I207" s="1551">
        <f t="shared" si="108"/>
        <v>98.731980000000007</v>
      </c>
      <c r="J207" s="1552"/>
      <c r="K207" s="1822">
        <v>518</v>
      </c>
      <c r="L207" s="1822">
        <v>51861</v>
      </c>
      <c r="M207" s="1824">
        <v>98081.98</v>
      </c>
      <c r="N207" s="1822">
        <v>51861</v>
      </c>
      <c r="O207" s="1839">
        <v>650</v>
      </c>
      <c r="P207" s="1227"/>
      <c r="Q207" s="1227"/>
      <c r="R207" s="1227"/>
      <c r="S207" s="1227"/>
      <c r="T207" s="139"/>
      <c r="U207" s="1227"/>
      <c r="V207" s="1227"/>
      <c r="W207" s="1227"/>
      <c r="X207" s="1227"/>
      <c r="Y207" s="1227"/>
      <c r="Z207" s="1227"/>
      <c r="AA207" s="139"/>
      <c r="AB207" s="139"/>
      <c r="AC207" s="139"/>
      <c r="AD207" s="139"/>
      <c r="AE207" s="139"/>
      <c r="AF207" s="139"/>
      <c r="AG207" s="139"/>
    </row>
    <row r="208" spans="1:33" x14ac:dyDescent="0.25">
      <c r="A208" s="1567">
        <f t="shared" si="90"/>
        <v>52</v>
      </c>
      <c r="B208" s="1572">
        <v>518</v>
      </c>
      <c r="C208" s="1573">
        <v>51862</v>
      </c>
      <c r="D208" s="1573" t="s">
        <v>1573</v>
      </c>
      <c r="E208" s="1574">
        <f t="shared" si="106"/>
        <v>4699.8283899999997</v>
      </c>
      <c r="F208" s="1575">
        <f t="shared" si="110"/>
        <v>4699828.3899999997</v>
      </c>
      <c r="G208" s="1574">
        <f t="shared" si="104"/>
        <v>682.75056000000006</v>
      </c>
      <c r="H208" s="1575">
        <f t="shared" si="107"/>
        <v>682750.56</v>
      </c>
      <c r="I208" s="1551">
        <f t="shared" si="108"/>
        <v>5382.5789500000001</v>
      </c>
      <c r="J208" s="1552"/>
      <c r="K208" s="1822">
        <v>518</v>
      </c>
      <c r="L208" s="1822">
        <v>51862</v>
      </c>
      <c r="M208" s="1824">
        <v>4699828.3899999997</v>
      </c>
      <c r="N208" s="1822">
        <v>51862</v>
      </c>
      <c r="O208" s="1839">
        <v>682750.56</v>
      </c>
      <c r="P208" s="1227"/>
      <c r="Q208" s="1227"/>
      <c r="R208" s="1227"/>
      <c r="S208" s="1227"/>
      <c r="T208" s="139"/>
      <c r="U208" s="1227"/>
      <c r="V208" s="1227"/>
      <c r="W208" s="1227"/>
      <c r="X208" s="1227"/>
      <c r="Y208" s="1227"/>
      <c r="Z208" s="1227"/>
      <c r="AA208" s="139"/>
      <c r="AB208" s="139"/>
      <c r="AC208" s="139"/>
      <c r="AD208" s="139"/>
      <c r="AE208" s="139"/>
      <c r="AF208" s="139"/>
      <c r="AG208" s="139"/>
    </row>
    <row r="209" spans="1:33" x14ac:dyDescent="0.25">
      <c r="A209" s="1567">
        <f t="shared" si="90"/>
        <v>53</v>
      </c>
      <c r="B209" s="1572">
        <v>518</v>
      </c>
      <c r="C209" s="1573">
        <v>51871</v>
      </c>
      <c r="D209" s="1573" t="s">
        <v>1574</v>
      </c>
      <c r="E209" s="1574">
        <f t="shared" si="106"/>
        <v>1565.0965800000001</v>
      </c>
      <c r="F209" s="1575">
        <f t="shared" si="110"/>
        <v>1565096.58</v>
      </c>
      <c r="G209" s="1574">
        <f t="shared" si="104"/>
        <v>925.00628000000006</v>
      </c>
      <c r="H209" s="1575">
        <f t="shared" si="107"/>
        <v>925006.28</v>
      </c>
      <c r="I209" s="1551">
        <f t="shared" si="108"/>
        <v>2490.10286</v>
      </c>
      <c r="J209" s="1552"/>
      <c r="K209" s="1822">
        <v>518</v>
      </c>
      <c r="L209" s="1822">
        <v>51871</v>
      </c>
      <c r="M209" s="1824">
        <v>1565096.58</v>
      </c>
      <c r="N209" s="1822">
        <v>51871</v>
      </c>
      <c r="O209" s="1839">
        <v>925006.28</v>
      </c>
      <c r="P209" s="1227"/>
      <c r="Q209" s="1227"/>
      <c r="R209" s="1227"/>
      <c r="S209" s="1227"/>
      <c r="T209" s="139"/>
      <c r="U209" s="1227"/>
      <c r="V209" s="1227"/>
      <c r="W209" s="1227"/>
      <c r="X209" s="1227"/>
      <c r="Y209" s="1227"/>
      <c r="Z209" s="1227"/>
      <c r="AA209" s="139"/>
      <c r="AB209" s="139"/>
      <c r="AC209" s="139"/>
      <c r="AD209" s="139"/>
      <c r="AE209" s="139"/>
      <c r="AF209" s="139"/>
      <c r="AG209" s="139"/>
    </row>
    <row r="210" spans="1:33" x14ac:dyDescent="0.25">
      <c r="A210" s="1567">
        <f t="shared" si="90"/>
        <v>54</v>
      </c>
      <c r="B210" s="1572">
        <v>518</v>
      </c>
      <c r="C210" s="1573">
        <v>5189</v>
      </c>
      <c r="D210" s="1573" t="s">
        <v>1575</v>
      </c>
      <c r="E210" s="1574">
        <f t="shared" si="106"/>
        <v>26640.69514</v>
      </c>
      <c r="F210" s="1575">
        <f t="shared" si="110"/>
        <v>26640695.140000001</v>
      </c>
      <c r="G210" s="1574">
        <f t="shared" si="104"/>
        <v>4525.0744999999997</v>
      </c>
      <c r="H210" s="1575">
        <f t="shared" si="107"/>
        <v>4525074.5</v>
      </c>
      <c r="I210" s="1551">
        <f t="shared" si="108"/>
        <v>31165.769639999999</v>
      </c>
      <c r="J210" s="1552"/>
      <c r="K210" s="1822">
        <v>518</v>
      </c>
      <c r="L210" s="1822">
        <v>5189</v>
      </c>
      <c r="M210" s="1824">
        <v>26640695.140000001</v>
      </c>
      <c r="N210" s="1822">
        <v>5189</v>
      </c>
      <c r="O210" s="1839">
        <v>4525074.5</v>
      </c>
      <c r="P210" s="1227"/>
      <c r="Q210" s="1227"/>
      <c r="R210" s="1227"/>
      <c r="S210" s="1227"/>
      <c r="T210" s="139"/>
      <c r="U210" s="1227"/>
      <c r="V210" s="1227"/>
      <c r="W210" s="1227"/>
      <c r="X210" s="1227"/>
      <c r="Y210" s="1227"/>
      <c r="Z210" s="1227"/>
      <c r="AA210" s="139"/>
      <c r="AB210" s="139"/>
      <c r="AC210" s="139"/>
      <c r="AD210" s="139"/>
      <c r="AE210" s="139"/>
      <c r="AF210" s="139"/>
      <c r="AG210" s="139"/>
    </row>
    <row r="211" spans="1:33" x14ac:dyDescent="0.25">
      <c r="A211" s="1567">
        <f t="shared" si="90"/>
        <v>55</v>
      </c>
      <c r="B211" s="1572">
        <v>518</v>
      </c>
      <c r="C211" s="1573">
        <v>51890</v>
      </c>
      <c r="D211" s="1573" t="s">
        <v>1576</v>
      </c>
      <c r="E211" s="1574">
        <f t="shared" si="106"/>
        <v>11.218999999999999</v>
      </c>
      <c r="F211" s="1575">
        <f t="shared" si="110"/>
        <v>11219</v>
      </c>
      <c r="G211" s="1574">
        <f t="shared" si="104"/>
        <v>1.54331</v>
      </c>
      <c r="H211" s="1575">
        <f t="shared" si="107"/>
        <v>1543.31</v>
      </c>
      <c r="I211" s="1551">
        <f t="shared" si="108"/>
        <v>12.762309999999999</v>
      </c>
      <c r="J211" s="1552"/>
      <c r="K211" s="1822">
        <v>518</v>
      </c>
      <c r="L211" s="1822">
        <v>51890</v>
      </c>
      <c r="M211" s="1824">
        <v>11219</v>
      </c>
      <c r="N211" s="1822">
        <v>51890</v>
      </c>
      <c r="O211" s="1839">
        <v>1543.31</v>
      </c>
      <c r="P211" s="1227"/>
      <c r="Q211" s="1227"/>
      <c r="R211" s="1227"/>
      <c r="S211" s="1227"/>
      <c r="T211" s="139"/>
      <c r="U211" s="1227"/>
      <c r="V211" s="1227"/>
      <c r="W211" s="1227"/>
      <c r="X211" s="1227"/>
      <c r="Y211" s="1227"/>
      <c r="Z211" s="1227"/>
      <c r="AA211" s="139"/>
      <c r="AB211" s="139"/>
      <c r="AC211" s="139"/>
      <c r="AD211" s="139"/>
      <c r="AE211" s="139"/>
      <c r="AF211" s="139"/>
      <c r="AG211" s="139"/>
    </row>
    <row r="212" spans="1:33" x14ac:dyDescent="0.25">
      <c r="A212" s="1567">
        <f t="shared" si="90"/>
        <v>56</v>
      </c>
      <c r="B212" s="1572">
        <v>518</v>
      </c>
      <c r="C212" s="1573">
        <v>518901</v>
      </c>
      <c r="D212" s="1573" t="s">
        <v>1577</v>
      </c>
      <c r="E212" s="1574">
        <f t="shared" si="106"/>
        <v>0</v>
      </c>
      <c r="F212" s="1575">
        <f t="shared" si="110"/>
        <v>0</v>
      </c>
      <c r="G212" s="1574">
        <f t="shared" si="104"/>
        <v>113.66</v>
      </c>
      <c r="H212" s="1575">
        <f t="shared" si="107"/>
        <v>113660</v>
      </c>
      <c r="I212" s="1551">
        <f t="shared" si="108"/>
        <v>113.66</v>
      </c>
      <c r="J212" s="1552"/>
      <c r="K212" s="1822">
        <v>518</v>
      </c>
      <c r="L212" s="1822">
        <v>518901</v>
      </c>
      <c r="M212" s="1823"/>
      <c r="N212" s="1822">
        <v>518901</v>
      </c>
      <c r="O212" s="1839">
        <v>113660</v>
      </c>
      <c r="P212" s="1227"/>
      <c r="Q212" s="1227"/>
      <c r="R212" s="1227"/>
      <c r="S212" s="1227"/>
      <c r="T212" s="139"/>
      <c r="U212" s="1227"/>
      <c r="V212" s="1227"/>
      <c r="W212" s="1227"/>
      <c r="X212" s="1227"/>
      <c r="Y212" s="1227"/>
      <c r="Z212" s="1227"/>
      <c r="AA212" s="139"/>
      <c r="AB212" s="139"/>
      <c r="AC212" s="139"/>
      <c r="AD212" s="139"/>
      <c r="AE212" s="139"/>
      <c r="AF212" s="139"/>
      <c r="AG212" s="139"/>
    </row>
    <row r="213" spans="1:33" x14ac:dyDescent="0.25">
      <c r="A213" s="1567">
        <f t="shared" si="90"/>
        <v>57</v>
      </c>
      <c r="B213" s="1572">
        <v>518</v>
      </c>
      <c r="C213" s="1573">
        <v>518902</v>
      </c>
      <c r="D213" s="1573" t="s">
        <v>1578</v>
      </c>
      <c r="E213" s="1574">
        <f t="shared" si="106"/>
        <v>161.14400000000001</v>
      </c>
      <c r="F213" s="1575">
        <f t="shared" si="110"/>
        <v>161144</v>
      </c>
      <c r="G213" s="1574">
        <f t="shared" si="104"/>
        <v>0</v>
      </c>
      <c r="H213" s="1575">
        <f t="shared" si="107"/>
        <v>0</v>
      </c>
      <c r="I213" s="1551">
        <f t="shared" si="108"/>
        <v>161.14400000000001</v>
      </c>
      <c r="J213" s="1552"/>
      <c r="K213" s="1822">
        <v>518</v>
      </c>
      <c r="L213" s="1822">
        <v>518902</v>
      </c>
      <c r="M213" s="1824">
        <v>161144</v>
      </c>
      <c r="N213" s="1822"/>
      <c r="O213" s="1839"/>
      <c r="P213" s="1227"/>
      <c r="Q213" s="1227"/>
      <c r="R213" s="1227"/>
      <c r="S213" s="1227"/>
      <c r="T213" s="139"/>
      <c r="U213" s="1227"/>
      <c r="V213" s="1227"/>
      <c r="W213" s="1227"/>
      <c r="X213" s="1227"/>
      <c r="Y213" s="1227"/>
      <c r="Z213" s="1227"/>
      <c r="AA213" s="139"/>
      <c r="AB213" s="139"/>
      <c r="AC213" s="139"/>
      <c r="AD213" s="139"/>
      <c r="AE213" s="139"/>
      <c r="AF213" s="139"/>
      <c r="AG213" s="139"/>
    </row>
    <row r="214" spans="1:33" x14ac:dyDescent="0.25">
      <c r="A214" s="1567">
        <f t="shared" si="90"/>
        <v>58</v>
      </c>
      <c r="B214" s="1572">
        <v>518</v>
      </c>
      <c r="C214" s="1573">
        <v>518903</v>
      </c>
      <c r="D214" s="1573" t="s">
        <v>1579</v>
      </c>
      <c r="E214" s="1574">
        <f t="shared" si="106"/>
        <v>45.994</v>
      </c>
      <c r="F214" s="1575">
        <f t="shared" si="110"/>
        <v>45994</v>
      </c>
      <c r="G214" s="1574">
        <f t="shared" si="104"/>
        <v>85.493539999999996</v>
      </c>
      <c r="H214" s="1575">
        <f t="shared" si="107"/>
        <v>85493.54</v>
      </c>
      <c r="I214" s="1551">
        <f t="shared" si="108"/>
        <v>131.48754</v>
      </c>
      <c r="J214" s="1552"/>
      <c r="K214" s="1822">
        <v>518</v>
      </c>
      <c r="L214" s="1822">
        <v>518903</v>
      </c>
      <c r="M214" s="1824">
        <v>45994</v>
      </c>
      <c r="N214" s="1822">
        <v>518903</v>
      </c>
      <c r="O214" s="1839">
        <v>85493.54</v>
      </c>
      <c r="P214" s="1227"/>
      <c r="Q214" s="1227"/>
      <c r="R214" s="1227"/>
      <c r="S214" s="1227"/>
      <c r="T214" s="139"/>
      <c r="U214" s="1227"/>
      <c r="V214" s="1227"/>
      <c r="W214" s="1227"/>
      <c r="X214" s="1227"/>
      <c r="Y214" s="1227"/>
      <c r="Z214" s="1227"/>
      <c r="AA214" s="139"/>
      <c r="AB214" s="139"/>
      <c r="AC214" s="139"/>
      <c r="AD214" s="139"/>
      <c r="AE214" s="139"/>
      <c r="AF214" s="139"/>
      <c r="AG214" s="139"/>
    </row>
    <row r="215" spans="1:33" x14ac:dyDescent="0.25">
      <c r="A215" s="1567">
        <f t="shared" si="90"/>
        <v>59</v>
      </c>
      <c r="B215" s="1572">
        <v>518</v>
      </c>
      <c r="C215" s="1573">
        <v>51894</v>
      </c>
      <c r="D215" s="1573" t="s">
        <v>1580</v>
      </c>
      <c r="E215" s="1574">
        <f t="shared" si="106"/>
        <v>2090.3937700000001</v>
      </c>
      <c r="F215" s="1575">
        <f t="shared" si="110"/>
        <v>2090393.77</v>
      </c>
      <c r="G215" s="1574">
        <f t="shared" si="104"/>
        <v>152.28044</v>
      </c>
      <c r="H215" s="1575">
        <f t="shared" si="107"/>
        <v>152280.44</v>
      </c>
      <c r="I215" s="1551">
        <f t="shared" si="108"/>
        <v>2242.6742100000001</v>
      </c>
      <c r="J215" s="1552"/>
      <c r="K215" s="1822">
        <v>518</v>
      </c>
      <c r="L215" s="1822">
        <v>51894</v>
      </c>
      <c r="M215" s="1824">
        <v>2090393.77</v>
      </c>
      <c r="N215" s="1822">
        <v>51894</v>
      </c>
      <c r="O215" s="1839">
        <v>152280.44</v>
      </c>
      <c r="P215" s="1227"/>
      <c r="Q215" s="1227"/>
      <c r="R215" s="1227"/>
      <c r="S215" s="1227"/>
      <c r="T215" s="139"/>
      <c r="U215" s="1227"/>
      <c r="V215" s="1227"/>
      <c r="W215" s="1227"/>
      <c r="X215" s="1227"/>
      <c r="Y215" s="1227"/>
      <c r="Z215" s="1227"/>
      <c r="AA215" s="139"/>
      <c r="AB215" s="139"/>
      <c r="AC215" s="139"/>
      <c r="AD215" s="139"/>
      <c r="AE215" s="139"/>
      <c r="AF215" s="139"/>
      <c r="AG215" s="139"/>
    </row>
    <row r="216" spans="1:33" x14ac:dyDescent="0.25">
      <c r="A216" s="1567">
        <f t="shared" si="90"/>
        <v>60</v>
      </c>
      <c r="B216" s="1572">
        <v>518</v>
      </c>
      <c r="C216" s="1573">
        <v>51896</v>
      </c>
      <c r="D216" s="1573" t="s">
        <v>1581</v>
      </c>
      <c r="E216" s="1574">
        <f t="shared" si="106"/>
        <v>73.473160000000007</v>
      </c>
      <c r="F216" s="1575">
        <f t="shared" si="110"/>
        <v>73473.16</v>
      </c>
      <c r="G216" s="1574">
        <f t="shared" si="104"/>
        <v>0</v>
      </c>
      <c r="H216" s="1575">
        <f t="shared" si="107"/>
        <v>0</v>
      </c>
      <c r="I216" s="1551">
        <f t="shared" si="108"/>
        <v>73.473160000000007</v>
      </c>
      <c r="J216" s="1552"/>
      <c r="K216" s="1822">
        <v>518</v>
      </c>
      <c r="L216" s="1822">
        <v>51896</v>
      </c>
      <c r="M216" s="1824">
        <v>73473.16</v>
      </c>
      <c r="N216" s="1822"/>
      <c r="O216" s="1839"/>
      <c r="P216" s="1227"/>
      <c r="Q216" s="1227"/>
      <c r="R216" s="1227"/>
      <c r="S216" s="1227"/>
      <c r="T216" s="139"/>
      <c r="U216" s="1227"/>
      <c r="V216" s="1227"/>
      <c r="W216" s="1227"/>
      <c r="X216" s="1227"/>
      <c r="Y216" s="1227"/>
      <c r="Z216" s="1227"/>
      <c r="AA216" s="139"/>
      <c r="AB216" s="139"/>
      <c r="AC216" s="139"/>
      <c r="AD216" s="139"/>
      <c r="AE216" s="139"/>
      <c r="AF216" s="139"/>
      <c r="AG216" s="139"/>
    </row>
    <row r="217" spans="1:33" x14ac:dyDescent="0.25">
      <c r="A217" s="1567">
        <f t="shared" si="90"/>
        <v>61</v>
      </c>
      <c r="B217" s="1572">
        <v>518</v>
      </c>
      <c r="C217" s="1573">
        <v>51897</v>
      </c>
      <c r="D217" s="1573" t="s">
        <v>1582</v>
      </c>
      <c r="E217" s="1574">
        <f t="shared" si="106"/>
        <v>3367.5127000000002</v>
      </c>
      <c r="F217" s="1575">
        <f t="shared" si="110"/>
        <v>3367512.7</v>
      </c>
      <c r="G217" s="1574">
        <f t="shared" si="104"/>
        <v>1421.4157499999999</v>
      </c>
      <c r="H217" s="1575">
        <f t="shared" si="107"/>
        <v>1421415.75</v>
      </c>
      <c r="I217" s="1551">
        <f t="shared" si="108"/>
        <v>4788.9284500000003</v>
      </c>
      <c r="J217" s="1552"/>
      <c r="K217" s="1822">
        <v>518</v>
      </c>
      <c r="L217" s="1822">
        <v>51897</v>
      </c>
      <c r="M217" s="1824">
        <v>3367512.7</v>
      </c>
      <c r="N217" s="1822">
        <v>51897</v>
      </c>
      <c r="O217" s="1839">
        <v>1421415.75</v>
      </c>
      <c r="P217" s="1227"/>
      <c r="Q217" s="1227"/>
      <c r="R217" s="1227"/>
      <c r="S217" s="1227"/>
      <c r="T217" s="139"/>
      <c r="U217" s="1227"/>
      <c r="V217" s="1227"/>
      <c r="W217" s="1227"/>
      <c r="X217" s="1227"/>
      <c r="Y217" s="1227"/>
      <c r="Z217" s="1227"/>
      <c r="AA217" s="139"/>
      <c r="AB217" s="139"/>
      <c r="AC217" s="139"/>
      <c r="AD217" s="139"/>
      <c r="AE217" s="139"/>
      <c r="AF217" s="139"/>
      <c r="AG217" s="139"/>
    </row>
    <row r="218" spans="1:33" x14ac:dyDescent="0.25">
      <c r="A218" s="1567">
        <f t="shared" si="90"/>
        <v>62</v>
      </c>
      <c r="B218" s="1572">
        <v>518</v>
      </c>
      <c r="C218" s="1573">
        <v>51898</v>
      </c>
      <c r="D218" s="1573" t="s">
        <v>1583</v>
      </c>
      <c r="E218" s="1574">
        <f t="shared" si="106"/>
        <v>646.38575000000003</v>
      </c>
      <c r="F218" s="1575">
        <f t="shared" si="110"/>
        <v>646385.75</v>
      </c>
      <c r="G218" s="1574">
        <f t="shared" si="104"/>
        <v>148.928</v>
      </c>
      <c r="H218" s="1575">
        <f t="shared" si="107"/>
        <v>148928</v>
      </c>
      <c r="I218" s="1551">
        <f t="shared" si="108"/>
        <v>795.31375000000003</v>
      </c>
      <c r="J218" s="1552"/>
      <c r="K218" s="1822">
        <v>518</v>
      </c>
      <c r="L218" s="1822">
        <v>51898</v>
      </c>
      <c r="M218" s="1824">
        <v>646385.75</v>
      </c>
      <c r="N218" s="1822">
        <v>51898</v>
      </c>
      <c r="O218" s="1839">
        <v>148928</v>
      </c>
      <c r="P218" s="1227"/>
      <c r="Q218" s="1227"/>
      <c r="R218" s="1227"/>
      <c r="S218" s="1227"/>
      <c r="T218" s="139"/>
      <c r="U218" s="1227"/>
      <c r="V218" s="1227"/>
      <c r="W218" s="1227"/>
      <c r="X218" s="1227"/>
      <c r="Y218" s="1227"/>
      <c r="Z218" s="1227"/>
      <c r="AA218" s="139"/>
      <c r="AB218" s="139"/>
      <c r="AC218" s="139"/>
      <c r="AD218" s="139"/>
      <c r="AE218" s="139"/>
      <c r="AF218" s="139"/>
      <c r="AG218" s="139"/>
    </row>
    <row r="219" spans="1:33" x14ac:dyDescent="0.25">
      <c r="A219" s="1567">
        <f t="shared" si="90"/>
        <v>63</v>
      </c>
      <c r="B219" s="1572">
        <v>518</v>
      </c>
      <c r="C219" s="1573">
        <v>518981</v>
      </c>
      <c r="D219" s="1573" t="s">
        <v>1584</v>
      </c>
      <c r="E219" s="1574">
        <f t="shared" si="106"/>
        <v>0</v>
      </c>
      <c r="F219" s="1575">
        <f t="shared" si="110"/>
        <v>0</v>
      </c>
      <c r="G219" s="1574">
        <f t="shared" si="104"/>
        <v>0</v>
      </c>
      <c r="H219" s="1575">
        <f t="shared" si="107"/>
        <v>0</v>
      </c>
      <c r="I219" s="1551">
        <f t="shared" si="108"/>
        <v>0</v>
      </c>
      <c r="J219" s="1552"/>
      <c r="K219" s="1822"/>
      <c r="L219" s="1822"/>
      <c r="M219" s="1823"/>
      <c r="N219" s="1822"/>
      <c r="O219" s="1839"/>
      <c r="P219" s="1227"/>
      <c r="Q219" s="1227"/>
      <c r="R219" s="1227"/>
      <c r="S219" s="1227"/>
      <c r="T219" s="139"/>
      <c r="U219" s="1227"/>
      <c r="V219" s="1227"/>
      <c r="W219" s="1227"/>
      <c r="X219" s="1227"/>
      <c r="Y219" s="1227"/>
      <c r="Z219" s="1227"/>
      <c r="AA219" s="139"/>
      <c r="AB219" s="139"/>
      <c r="AC219" s="139"/>
      <c r="AD219" s="139"/>
      <c r="AE219" s="139"/>
      <c r="AF219" s="139"/>
      <c r="AG219" s="139"/>
    </row>
    <row r="220" spans="1:33" x14ac:dyDescent="0.25">
      <c r="A220" s="1567">
        <f t="shared" si="90"/>
        <v>64</v>
      </c>
      <c r="B220" s="1572">
        <v>518</v>
      </c>
      <c r="C220" s="1573">
        <v>51899</v>
      </c>
      <c r="D220" s="1573" t="s">
        <v>1585</v>
      </c>
      <c r="E220" s="1574">
        <f t="shared" si="106"/>
        <v>15.3744</v>
      </c>
      <c r="F220" s="1575">
        <f t="shared" si="110"/>
        <v>15374.4</v>
      </c>
      <c r="G220" s="1574">
        <f t="shared" si="104"/>
        <v>0</v>
      </c>
      <c r="H220" s="1575">
        <f t="shared" si="107"/>
        <v>0</v>
      </c>
      <c r="I220" s="1551">
        <f t="shared" si="108"/>
        <v>15.3744</v>
      </c>
      <c r="J220" s="1552"/>
      <c r="K220" s="1546">
        <v>518</v>
      </c>
      <c r="L220" s="1566">
        <v>51899</v>
      </c>
      <c r="M220" s="1824">
        <v>15374.4</v>
      </c>
      <c r="N220" s="1822"/>
      <c r="O220" s="1839"/>
      <c r="P220" s="1227"/>
      <c r="Q220" s="1227"/>
      <c r="R220" s="1227"/>
      <c r="S220" s="1227"/>
      <c r="T220" s="139"/>
      <c r="U220" s="1227"/>
      <c r="V220" s="1227"/>
      <c r="W220" s="1227"/>
      <c r="X220" s="1227"/>
      <c r="Y220" s="1227"/>
      <c r="Z220" s="1227"/>
      <c r="AA220" s="139"/>
      <c r="AB220" s="139"/>
      <c r="AC220" s="139"/>
      <c r="AD220" s="139"/>
      <c r="AE220" s="139"/>
      <c r="AF220" s="139"/>
      <c r="AG220" s="139"/>
    </row>
    <row r="221" spans="1:33" x14ac:dyDescent="0.25">
      <c r="A221" s="1567">
        <f t="shared" si="90"/>
        <v>65</v>
      </c>
      <c r="B221" s="1572">
        <v>518</v>
      </c>
      <c r="C221" s="1573">
        <v>518990</v>
      </c>
      <c r="D221" s="1573" t="s">
        <v>1586</v>
      </c>
      <c r="E221" s="1574">
        <f t="shared" si="106"/>
        <v>265.68326999999999</v>
      </c>
      <c r="F221" s="1575">
        <f t="shared" si="110"/>
        <v>265683.27</v>
      </c>
      <c r="G221" s="1574">
        <f t="shared" si="104"/>
        <v>70.406679999999994</v>
      </c>
      <c r="H221" s="1575">
        <f t="shared" si="107"/>
        <v>70406.679999999993</v>
      </c>
      <c r="I221" s="1551">
        <f t="shared" si="108"/>
        <v>336.08994999999999</v>
      </c>
      <c r="J221" s="1552"/>
      <c r="K221" s="1822">
        <v>518</v>
      </c>
      <c r="L221" s="1822">
        <v>518990</v>
      </c>
      <c r="M221" s="1824">
        <v>265683.27</v>
      </c>
      <c r="N221" s="1822">
        <v>518990</v>
      </c>
      <c r="O221" s="1839">
        <v>70406.679999999993</v>
      </c>
      <c r="P221" s="1227"/>
      <c r="Q221" s="1227"/>
      <c r="R221" s="1227"/>
      <c r="S221" s="1227"/>
      <c r="T221" s="139"/>
      <c r="U221" s="1227"/>
      <c r="V221" s="1227"/>
      <c r="W221" s="1227"/>
      <c r="X221" s="1227"/>
      <c r="Y221" s="1227"/>
      <c r="Z221" s="1227"/>
      <c r="AA221" s="139"/>
      <c r="AB221" s="139"/>
      <c r="AC221" s="139"/>
      <c r="AD221" s="139"/>
      <c r="AE221" s="139"/>
      <c r="AF221" s="139"/>
      <c r="AG221" s="139"/>
    </row>
    <row r="222" spans="1:33" x14ac:dyDescent="0.25">
      <c r="A222" s="1567">
        <f t="shared" si="90"/>
        <v>66</v>
      </c>
      <c r="B222" s="1572">
        <v>518</v>
      </c>
      <c r="C222" s="1573">
        <v>518991</v>
      </c>
      <c r="D222" s="1573" t="s">
        <v>1587</v>
      </c>
      <c r="E222" s="1574">
        <f t="shared" si="106"/>
        <v>14.397200000000002</v>
      </c>
      <c r="F222" s="1575">
        <f t="shared" si="110"/>
        <v>14397.2</v>
      </c>
      <c r="G222" s="1574">
        <f t="shared" si="104"/>
        <v>97.866070000000008</v>
      </c>
      <c r="H222" s="1575">
        <f t="shared" si="107"/>
        <v>97866.07</v>
      </c>
      <c r="I222" s="1551">
        <f t="shared" si="108"/>
        <v>112.26327000000001</v>
      </c>
      <c r="J222" s="1552"/>
      <c r="K222" s="1822">
        <v>518</v>
      </c>
      <c r="L222" s="1822">
        <v>518991</v>
      </c>
      <c r="M222" s="1824">
        <v>14397.2</v>
      </c>
      <c r="N222" s="1822">
        <v>518991</v>
      </c>
      <c r="O222" s="1839">
        <v>97866.07</v>
      </c>
      <c r="P222" s="1227"/>
      <c r="Q222" s="1227"/>
      <c r="R222" s="1227"/>
      <c r="S222" s="1227"/>
      <c r="T222" s="139"/>
      <c r="U222" s="1227"/>
      <c r="V222" s="1227"/>
      <c r="W222" s="1227"/>
      <c r="X222" s="1227"/>
      <c r="Y222" s="1227"/>
      <c r="Z222" s="1227"/>
      <c r="AA222" s="139"/>
      <c r="AB222" s="139"/>
      <c r="AC222" s="139"/>
      <c r="AD222" s="139"/>
      <c r="AE222" s="139"/>
      <c r="AF222" s="139"/>
      <c r="AG222" s="139"/>
    </row>
    <row r="223" spans="1:33" x14ac:dyDescent="0.25">
      <c r="A223" s="1567">
        <f t="shared" ref="A223:A286" si="111">A222+1</f>
        <v>67</v>
      </c>
      <c r="B223" s="1572">
        <v>518</v>
      </c>
      <c r="C223" s="1573">
        <v>518992</v>
      </c>
      <c r="D223" s="1573" t="s">
        <v>1588</v>
      </c>
      <c r="E223" s="1574">
        <f t="shared" si="106"/>
        <v>1300.99515</v>
      </c>
      <c r="F223" s="1575">
        <f t="shared" si="110"/>
        <v>1300995.1499999999</v>
      </c>
      <c r="G223" s="1574">
        <f t="shared" si="104"/>
        <v>467.07</v>
      </c>
      <c r="H223" s="1575">
        <f t="shared" si="107"/>
        <v>467070</v>
      </c>
      <c r="I223" s="1551">
        <f t="shared" si="108"/>
        <v>1768.0651499999999</v>
      </c>
      <c r="J223" s="1552"/>
      <c r="K223" s="1822">
        <v>518</v>
      </c>
      <c r="L223" s="1822">
        <v>518992</v>
      </c>
      <c r="M223" s="1824">
        <v>1300995.1499999999</v>
      </c>
      <c r="N223" s="1822">
        <v>518992</v>
      </c>
      <c r="O223" s="1839">
        <v>467070</v>
      </c>
      <c r="P223" s="1227"/>
      <c r="Q223" s="1227"/>
      <c r="R223" s="1227"/>
      <c r="S223" s="1227"/>
      <c r="T223" s="139"/>
      <c r="U223" s="1227"/>
      <c r="V223" s="1227"/>
      <c r="W223" s="1227"/>
      <c r="X223" s="1227"/>
      <c r="Y223" s="1227"/>
      <c r="Z223" s="1227"/>
      <c r="AA223" s="139"/>
      <c r="AB223" s="139"/>
      <c r="AC223" s="139"/>
      <c r="AD223" s="139"/>
      <c r="AE223" s="139"/>
      <c r="AF223" s="139"/>
      <c r="AG223" s="139"/>
    </row>
    <row r="224" spans="1:33" x14ac:dyDescent="0.25">
      <c r="A224" s="1567">
        <f t="shared" si="111"/>
        <v>68</v>
      </c>
      <c r="B224" s="1572">
        <v>518</v>
      </c>
      <c r="C224" s="1573">
        <v>518993</v>
      </c>
      <c r="D224" s="1573" t="s">
        <v>1589</v>
      </c>
      <c r="E224" s="1574">
        <f t="shared" si="106"/>
        <v>101.68735000000001</v>
      </c>
      <c r="F224" s="1575">
        <f t="shared" si="110"/>
        <v>101687.35</v>
      </c>
      <c r="G224" s="1574">
        <f t="shared" si="104"/>
        <v>14.2407</v>
      </c>
      <c r="H224" s="1575">
        <f t="shared" si="107"/>
        <v>14240.7</v>
      </c>
      <c r="I224" s="1551">
        <f t="shared" si="108"/>
        <v>115.92805000000001</v>
      </c>
      <c r="J224" s="1552"/>
      <c r="K224" s="1822">
        <v>518</v>
      </c>
      <c r="L224" s="1822">
        <v>518993</v>
      </c>
      <c r="M224" s="1824">
        <v>101687.35</v>
      </c>
      <c r="N224" s="1822">
        <v>518993</v>
      </c>
      <c r="O224" s="1839">
        <v>14240.7</v>
      </c>
      <c r="P224" s="1227"/>
      <c r="Q224" s="1227"/>
      <c r="R224" s="1227"/>
      <c r="S224" s="1227"/>
      <c r="T224" s="139"/>
      <c r="U224" s="1227"/>
      <c r="V224" s="1227"/>
      <c r="W224" s="1227"/>
      <c r="X224" s="1227"/>
      <c r="Y224" s="1227"/>
      <c r="Z224" s="1227"/>
      <c r="AA224" s="139"/>
      <c r="AB224" s="139"/>
      <c r="AC224" s="139"/>
      <c r="AD224" s="139"/>
      <c r="AE224" s="139"/>
      <c r="AF224" s="139"/>
      <c r="AG224" s="139"/>
    </row>
    <row r="225" spans="1:33" x14ac:dyDescent="0.25">
      <c r="A225" s="1567">
        <f t="shared" si="111"/>
        <v>69</v>
      </c>
      <c r="B225" s="1572">
        <v>518</v>
      </c>
      <c r="C225" s="1573">
        <v>518994</v>
      </c>
      <c r="D225" s="1573" t="s">
        <v>1590</v>
      </c>
      <c r="E225" s="1574">
        <f t="shared" si="106"/>
        <v>1069.604</v>
      </c>
      <c r="F225" s="1575">
        <f t="shared" si="110"/>
        <v>1069604</v>
      </c>
      <c r="G225" s="1574">
        <f t="shared" si="104"/>
        <v>166.73877999999999</v>
      </c>
      <c r="H225" s="1575">
        <f t="shared" si="107"/>
        <v>166738.78</v>
      </c>
      <c r="I225" s="1551">
        <f t="shared" si="108"/>
        <v>1236.3427799999999</v>
      </c>
      <c r="J225" s="1552"/>
      <c r="K225" s="1822">
        <v>518</v>
      </c>
      <c r="L225" s="1822">
        <v>518994</v>
      </c>
      <c r="M225" s="1824">
        <v>1069604</v>
      </c>
      <c r="N225" s="1822">
        <v>518994</v>
      </c>
      <c r="O225" s="1839">
        <v>166738.78</v>
      </c>
      <c r="P225" s="1227"/>
      <c r="Q225" s="1227"/>
      <c r="R225" s="1227"/>
      <c r="S225" s="1227"/>
      <c r="T225" s="139"/>
      <c r="U225" s="1227"/>
      <c r="V225" s="1227"/>
      <c r="W225" s="1227"/>
      <c r="X225" s="1227"/>
      <c r="Y225" s="1227"/>
      <c r="Z225" s="1227"/>
      <c r="AA225" s="139"/>
      <c r="AB225" s="139"/>
      <c r="AC225" s="139"/>
      <c r="AD225" s="139"/>
      <c r="AE225" s="139"/>
      <c r="AF225" s="139"/>
      <c r="AG225" s="139"/>
    </row>
    <row r="226" spans="1:33" x14ac:dyDescent="0.25">
      <c r="A226" s="1567">
        <f t="shared" si="111"/>
        <v>70</v>
      </c>
      <c r="B226" s="1572">
        <v>518</v>
      </c>
      <c r="C226" s="1573">
        <v>518995</v>
      </c>
      <c r="D226" s="1573" t="s">
        <v>1591</v>
      </c>
      <c r="E226" s="1574">
        <f t="shared" si="106"/>
        <v>1040.70802</v>
      </c>
      <c r="F226" s="1575">
        <f t="shared" si="110"/>
        <v>1040708.02</v>
      </c>
      <c r="G226" s="1574">
        <f t="shared" si="104"/>
        <v>31.67746</v>
      </c>
      <c r="H226" s="1575">
        <f t="shared" si="107"/>
        <v>31677.46</v>
      </c>
      <c r="I226" s="1551">
        <f t="shared" si="108"/>
        <v>1072.3854800000001</v>
      </c>
      <c r="J226" s="1552"/>
      <c r="K226" s="1822">
        <v>518</v>
      </c>
      <c r="L226" s="1822">
        <v>518995</v>
      </c>
      <c r="M226" s="1824">
        <v>1040708.02</v>
      </c>
      <c r="N226" s="1822">
        <v>518995</v>
      </c>
      <c r="O226" s="1839">
        <v>31677.46</v>
      </c>
      <c r="P226" s="1227"/>
      <c r="Q226" s="1227"/>
      <c r="R226" s="1227"/>
      <c r="S226" s="1227"/>
      <c r="T226" s="139"/>
      <c r="U226" s="1227"/>
      <c r="V226" s="1227"/>
      <c r="W226" s="1227"/>
      <c r="X226" s="1227"/>
      <c r="Y226" s="1227"/>
      <c r="Z226" s="1227"/>
      <c r="AA226" s="139"/>
      <c r="AB226" s="139"/>
      <c r="AC226" s="139"/>
      <c r="AD226" s="139"/>
      <c r="AE226" s="139"/>
      <c r="AF226" s="139"/>
      <c r="AG226" s="139"/>
    </row>
    <row r="227" spans="1:33" x14ac:dyDescent="0.25">
      <c r="A227" s="1567">
        <f t="shared" si="111"/>
        <v>71</v>
      </c>
      <c r="B227" s="1572">
        <v>518</v>
      </c>
      <c r="C227" s="1573">
        <v>518996</v>
      </c>
      <c r="D227" s="1573" t="s">
        <v>1592</v>
      </c>
      <c r="E227" s="1574">
        <f t="shared" si="106"/>
        <v>747.11890000000005</v>
      </c>
      <c r="F227" s="1575">
        <f t="shared" si="110"/>
        <v>747118.9</v>
      </c>
      <c r="G227" s="1574">
        <f t="shared" si="104"/>
        <v>16.808019999999999</v>
      </c>
      <c r="H227" s="1575">
        <f t="shared" si="107"/>
        <v>16808.02</v>
      </c>
      <c r="I227" s="1551">
        <f t="shared" si="108"/>
        <v>763.92692000000011</v>
      </c>
      <c r="J227" s="1552"/>
      <c r="K227" s="1822">
        <v>518</v>
      </c>
      <c r="L227" s="1822">
        <v>518996</v>
      </c>
      <c r="M227" s="1824">
        <v>747118.9</v>
      </c>
      <c r="N227" s="1822">
        <v>518996</v>
      </c>
      <c r="O227" s="1839">
        <v>16808.02</v>
      </c>
      <c r="P227" s="1227"/>
      <c r="Q227" s="1227"/>
      <c r="R227" s="1227"/>
      <c r="S227" s="1227"/>
      <c r="T227" s="139"/>
      <c r="U227" s="1227"/>
      <c r="V227" s="1227"/>
      <c r="W227" s="1227"/>
      <c r="X227" s="1227"/>
      <c r="Y227" s="1227"/>
      <c r="Z227" s="1227"/>
      <c r="AA227" s="139"/>
      <c r="AB227" s="139"/>
      <c r="AC227" s="139"/>
      <c r="AD227" s="139"/>
      <c r="AE227" s="139"/>
      <c r="AF227" s="139"/>
      <c r="AG227" s="139"/>
    </row>
    <row r="228" spans="1:33" x14ac:dyDescent="0.25">
      <c r="A228" s="1567">
        <f t="shared" si="111"/>
        <v>72</v>
      </c>
      <c r="B228" s="1572">
        <v>518</v>
      </c>
      <c r="C228" s="1573">
        <v>518997</v>
      </c>
      <c r="D228" s="1573" t="s">
        <v>1593</v>
      </c>
      <c r="E228" s="1574">
        <f t="shared" si="106"/>
        <v>447.3</v>
      </c>
      <c r="F228" s="1575">
        <f t="shared" si="110"/>
        <v>447300</v>
      </c>
      <c r="G228" s="1574">
        <f t="shared" si="104"/>
        <v>171.73945999999998</v>
      </c>
      <c r="H228" s="1575">
        <f t="shared" si="107"/>
        <v>171739.46</v>
      </c>
      <c r="I228" s="1551">
        <f t="shared" si="108"/>
        <v>619.03945999999996</v>
      </c>
      <c r="J228" s="1552"/>
      <c r="K228" s="1822">
        <v>518</v>
      </c>
      <c r="L228" s="1822">
        <v>518997</v>
      </c>
      <c r="M228" s="1824">
        <v>447300</v>
      </c>
      <c r="N228" s="1822">
        <v>518997</v>
      </c>
      <c r="O228" s="1839">
        <v>171739.46</v>
      </c>
      <c r="P228" s="1227"/>
      <c r="Q228" s="1227"/>
      <c r="R228" s="1227"/>
      <c r="S228" s="1227"/>
      <c r="T228" s="139"/>
      <c r="U228" s="1227"/>
      <c r="V228" s="1227"/>
      <c r="W228" s="1227"/>
      <c r="X228" s="1227"/>
      <c r="Y228" s="1227"/>
      <c r="Z228" s="1227"/>
      <c r="AA228" s="139"/>
      <c r="AB228" s="139"/>
      <c r="AC228" s="139"/>
      <c r="AD228" s="139"/>
      <c r="AE228" s="139"/>
      <c r="AF228" s="139"/>
      <c r="AG228" s="139"/>
    </row>
    <row r="229" spans="1:33" x14ac:dyDescent="0.25">
      <c r="A229" s="1567">
        <f t="shared" si="111"/>
        <v>73</v>
      </c>
      <c r="B229" s="1572">
        <v>518</v>
      </c>
      <c r="C229" s="1573">
        <v>518998</v>
      </c>
      <c r="D229" s="1573" t="s">
        <v>1594</v>
      </c>
      <c r="E229" s="1574">
        <f t="shared" si="106"/>
        <v>790.57104000000004</v>
      </c>
      <c r="F229" s="1575">
        <f t="shared" si="110"/>
        <v>790571.04</v>
      </c>
      <c r="G229" s="1574">
        <f t="shared" si="104"/>
        <v>379.86180000000002</v>
      </c>
      <c r="H229" s="1575">
        <f t="shared" si="107"/>
        <v>379861.8</v>
      </c>
      <c r="I229" s="1551">
        <f t="shared" si="108"/>
        <v>1170.4328399999999</v>
      </c>
      <c r="J229" s="1552"/>
      <c r="K229" s="1822">
        <v>518</v>
      </c>
      <c r="L229" s="1822">
        <v>518998</v>
      </c>
      <c r="M229" s="1824">
        <v>790571.04</v>
      </c>
      <c r="N229" s="1822">
        <v>518998</v>
      </c>
      <c r="O229" s="1839">
        <v>379861.8</v>
      </c>
      <c r="P229" s="1227"/>
      <c r="Q229" s="1227"/>
      <c r="R229" s="1227"/>
      <c r="S229" s="1227"/>
      <c r="T229" s="139"/>
      <c r="U229" s="1227"/>
      <c r="V229" s="1227"/>
      <c r="W229" s="1227"/>
      <c r="X229" s="1227"/>
      <c r="Y229" s="1227"/>
      <c r="Z229" s="1227"/>
      <c r="AA229" s="139"/>
      <c r="AB229" s="139"/>
      <c r="AC229" s="139"/>
      <c r="AD229" s="139"/>
      <c r="AE229" s="139"/>
      <c r="AF229" s="139"/>
      <c r="AG229" s="139"/>
    </row>
    <row r="230" spans="1:33" x14ac:dyDescent="0.25">
      <c r="A230" s="1567">
        <f t="shared" si="111"/>
        <v>74</v>
      </c>
      <c r="B230" s="1572">
        <v>518</v>
      </c>
      <c r="C230" s="1573">
        <v>518999</v>
      </c>
      <c r="D230" s="1573" t="s">
        <v>1595</v>
      </c>
      <c r="E230" s="1574">
        <f t="shared" si="106"/>
        <v>179.56432000000001</v>
      </c>
      <c r="F230" s="1575">
        <f t="shared" si="110"/>
        <v>179564.32</v>
      </c>
      <c r="G230" s="1574">
        <f t="shared" si="104"/>
        <v>0.60520000000000007</v>
      </c>
      <c r="H230" s="1575">
        <f t="shared" si="107"/>
        <v>605.20000000000005</v>
      </c>
      <c r="I230" s="1551">
        <f t="shared" si="108"/>
        <v>180.16952000000001</v>
      </c>
      <c r="J230" s="1552"/>
      <c r="K230" s="1822">
        <v>518</v>
      </c>
      <c r="L230" s="1822">
        <v>518999</v>
      </c>
      <c r="M230" s="1824">
        <v>179564.32</v>
      </c>
      <c r="N230" s="1822">
        <v>518999</v>
      </c>
      <c r="O230" s="1839">
        <v>605.20000000000005</v>
      </c>
      <c r="P230" s="1227"/>
      <c r="Q230" s="1227"/>
      <c r="R230" s="1227"/>
      <c r="S230" s="1227"/>
      <c r="T230" s="139"/>
      <c r="U230" s="1227"/>
      <c r="V230" s="1227"/>
      <c r="W230" s="1227"/>
      <c r="X230" s="1227"/>
      <c r="Y230" s="1227"/>
      <c r="Z230" s="1227"/>
      <c r="AA230" s="139"/>
      <c r="AB230" s="139"/>
      <c r="AC230" s="139"/>
      <c r="AD230" s="139"/>
      <c r="AE230" s="139"/>
      <c r="AF230" s="139"/>
      <c r="AG230" s="139"/>
    </row>
    <row r="231" spans="1:33" x14ac:dyDescent="0.25">
      <c r="A231" s="1567">
        <f t="shared" si="111"/>
        <v>75</v>
      </c>
      <c r="B231" s="2212">
        <v>518</v>
      </c>
      <c r="C231" s="2177">
        <v>5189991</v>
      </c>
      <c r="D231" s="2174" t="s">
        <v>1830</v>
      </c>
      <c r="E231" s="1574">
        <f t="shared" si="106"/>
        <v>1.47403</v>
      </c>
      <c r="F231" s="1575">
        <f t="shared" si="110"/>
        <v>1474.03</v>
      </c>
      <c r="G231" s="1574">
        <f t="shared" si="104"/>
        <v>0</v>
      </c>
      <c r="H231" s="1575">
        <f t="shared" si="107"/>
        <v>0</v>
      </c>
      <c r="I231" s="1551">
        <f t="shared" si="108"/>
        <v>1.47403</v>
      </c>
      <c r="J231" s="1552"/>
      <c r="K231" s="1822">
        <v>518</v>
      </c>
      <c r="L231" s="1822">
        <v>5189991</v>
      </c>
      <c r="M231" s="1824">
        <v>1474.03</v>
      </c>
      <c r="N231" s="1822"/>
      <c r="O231" s="1839"/>
      <c r="P231" s="1227"/>
      <c r="Q231" s="1227"/>
      <c r="R231" s="1227"/>
      <c r="S231" s="1227"/>
      <c r="T231" s="139"/>
      <c r="U231" s="1227"/>
      <c r="V231" s="1227"/>
      <c r="W231" s="1227"/>
      <c r="X231" s="1227"/>
      <c r="Y231" s="1227"/>
      <c r="Z231" s="1227"/>
      <c r="AA231" s="139"/>
      <c r="AB231" s="139"/>
      <c r="AC231" s="139"/>
      <c r="AD231" s="139"/>
      <c r="AE231" s="139"/>
      <c r="AF231" s="139"/>
      <c r="AG231" s="139"/>
    </row>
    <row r="232" spans="1:33" x14ac:dyDescent="0.25">
      <c r="A232" s="2181">
        <f t="shared" si="111"/>
        <v>76</v>
      </c>
      <c r="B232" s="1568">
        <v>518</v>
      </c>
      <c r="C232" s="1569"/>
      <c r="D232" s="1569"/>
      <c r="E232" s="1570">
        <f>SUM(E186:E230)</f>
        <v>60634.425380000008</v>
      </c>
      <c r="F232" s="2210">
        <f>SUM(F186:F230)</f>
        <v>60634425.38000001</v>
      </c>
      <c r="G232" s="1570">
        <f>SUM(G186:G230)</f>
        <v>16200.637920000001</v>
      </c>
      <c r="H232" s="2178">
        <f>SUM(H186:H230)</f>
        <v>16200637.92</v>
      </c>
      <c r="I232" s="1563">
        <f>SUM(I186:I230)</f>
        <v>76835.06329999998</v>
      </c>
      <c r="J232" s="1564"/>
      <c r="K232" s="1822"/>
      <c r="L232" s="1822"/>
      <c r="M232" s="1823"/>
      <c r="N232" s="1822"/>
      <c r="O232" s="1839"/>
      <c r="P232" s="1227"/>
      <c r="Q232" s="1227"/>
      <c r="R232" s="1227"/>
      <c r="S232" s="1227"/>
      <c r="T232" s="139"/>
      <c r="U232" s="1227"/>
      <c r="V232" s="1227"/>
      <c r="W232" s="1227"/>
      <c r="X232" s="1227"/>
      <c r="Y232" s="1227"/>
      <c r="Z232" s="1227"/>
      <c r="AA232" s="139"/>
      <c r="AB232" s="139"/>
      <c r="AC232" s="139"/>
      <c r="AD232" s="139"/>
      <c r="AE232" s="139"/>
      <c r="AF232" s="139"/>
      <c r="AG232" s="139"/>
    </row>
    <row r="233" spans="1:33" x14ac:dyDescent="0.25">
      <c r="A233" s="1567">
        <f t="shared" si="111"/>
        <v>77</v>
      </c>
      <c r="B233" s="1572">
        <v>521</v>
      </c>
      <c r="C233" s="1573">
        <v>5211</v>
      </c>
      <c r="D233" s="1573" t="s">
        <v>1596</v>
      </c>
      <c r="E233" s="1574">
        <f t="shared" ref="E233:E236" si="112">F233/1000</f>
        <v>166364.62400000001</v>
      </c>
      <c r="F233" s="1575">
        <f>M233</f>
        <v>166364624</v>
      </c>
      <c r="G233" s="1574">
        <f t="shared" ref="G233:G236" si="113">H233/1000</f>
        <v>13065.204</v>
      </c>
      <c r="H233" s="1575">
        <f>O233</f>
        <v>13065204</v>
      </c>
      <c r="I233" s="1551">
        <f t="shared" ref="I233:I236" si="114">E233+G233</f>
        <v>179429.82800000001</v>
      </c>
      <c r="J233" s="1552"/>
      <c r="K233" s="1822">
        <v>521</v>
      </c>
      <c r="L233" s="1822">
        <v>5211</v>
      </c>
      <c r="M233" s="1824">
        <v>166364624</v>
      </c>
      <c r="N233" s="1822">
        <v>5211</v>
      </c>
      <c r="O233" s="1839">
        <v>13065204</v>
      </c>
      <c r="P233" s="1227"/>
      <c r="Q233" s="1227"/>
      <c r="R233" s="1227"/>
      <c r="S233" s="1227"/>
      <c r="T233" s="139"/>
      <c r="U233" s="1227"/>
      <c r="V233" s="1227"/>
      <c r="W233" s="1227"/>
      <c r="X233" s="1227"/>
      <c r="Y233" s="1227"/>
      <c r="Z233" s="1227"/>
      <c r="AA233" s="139"/>
      <c r="AB233" s="139"/>
      <c r="AC233" s="139"/>
      <c r="AD233" s="139"/>
      <c r="AE233" s="139"/>
      <c r="AF233" s="139"/>
      <c r="AG233" s="139"/>
    </row>
    <row r="234" spans="1:33" x14ac:dyDescent="0.25">
      <c r="A234" s="1567">
        <f t="shared" si="111"/>
        <v>78</v>
      </c>
      <c r="B234" s="1572">
        <v>521</v>
      </c>
      <c r="C234" s="1573">
        <v>52112</v>
      </c>
      <c r="D234" s="1573" t="s">
        <v>1597</v>
      </c>
      <c r="E234" s="1574">
        <f t="shared" si="112"/>
        <v>17918.701000000001</v>
      </c>
      <c r="F234" s="1575">
        <f t="shared" ref="F234:F236" si="115">M234</f>
        <v>17918701</v>
      </c>
      <c r="G234" s="1574">
        <f t="shared" si="113"/>
        <v>1302.1990000000001</v>
      </c>
      <c r="H234" s="1575">
        <f t="shared" ref="H234:H236" si="116">O234</f>
        <v>1302199</v>
      </c>
      <c r="I234" s="1551">
        <f t="shared" si="114"/>
        <v>19220.900000000001</v>
      </c>
      <c r="J234" s="1552"/>
      <c r="K234" s="1822">
        <v>521</v>
      </c>
      <c r="L234" s="1822">
        <v>52112</v>
      </c>
      <c r="M234" s="1824">
        <v>17918701</v>
      </c>
      <c r="N234" s="1822">
        <v>52112</v>
      </c>
      <c r="O234" s="1839">
        <v>1302199</v>
      </c>
      <c r="P234" s="1227"/>
      <c r="Q234" s="1227"/>
      <c r="R234" s="1227"/>
      <c r="S234" s="1227"/>
      <c r="T234" s="139"/>
      <c r="U234" s="1227"/>
      <c r="V234" s="1227"/>
      <c r="W234" s="1227"/>
      <c r="X234" s="1227"/>
      <c r="Y234" s="1227"/>
      <c r="Z234" s="1227"/>
      <c r="AA234" s="139"/>
      <c r="AB234" s="139"/>
      <c r="AC234" s="139"/>
      <c r="AD234" s="139"/>
      <c r="AE234" s="139"/>
      <c r="AF234" s="139"/>
      <c r="AG234" s="139"/>
    </row>
    <row r="235" spans="1:33" x14ac:dyDescent="0.25">
      <c r="A235" s="1567">
        <f t="shared" si="111"/>
        <v>79</v>
      </c>
      <c r="B235" s="1572">
        <v>521</v>
      </c>
      <c r="C235" s="1573">
        <v>52113</v>
      </c>
      <c r="D235" s="1573" t="s">
        <v>1598</v>
      </c>
      <c r="E235" s="1574">
        <f t="shared" si="112"/>
        <v>181.74600000000001</v>
      </c>
      <c r="F235" s="1575">
        <f t="shared" si="115"/>
        <v>181746</v>
      </c>
      <c r="G235" s="1574">
        <f t="shared" si="113"/>
        <v>1.3089999999999999</v>
      </c>
      <c r="H235" s="1575">
        <f t="shared" si="116"/>
        <v>1309</v>
      </c>
      <c r="I235" s="1551">
        <f t="shared" si="114"/>
        <v>183.05500000000001</v>
      </c>
      <c r="J235" s="1552"/>
      <c r="K235" s="1822">
        <v>521</v>
      </c>
      <c r="L235" s="1822">
        <v>52113</v>
      </c>
      <c r="M235" s="1824">
        <v>181746</v>
      </c>
      <c r="N235" s="1822">
        <v>52113</v>
      </c>
      <c r="O235" s="1839">
        <v>1309</v>
      </c>
      <c r="P235" s="1227"/>
      <c r="Q235" s="1227"/>
      <c r="R235" s="1227"/>
      <c r="S235" s="1227"/>
      <c r="T235" s="139"/>
      <c r="U235" s="1227"/>
      <c r="V235" s="1227"/>
      <c r="W235" s="1227"/>
      <c r="X235" s="1227"/>
      <c r="Y235" s="1227"/>
      <c r="Z235" s="1227"/>
      <c r="AA235" s="139"/>
      <c r="AB235" s="139"/>
      <c r="AC235" s="139"/>
      <c r="AD235" s="139"/>
      <c r="AE235" s="139"/>
      <c r="AF235" s="139"/>
      <c r="AG235" s="139"/>
    </row>
    <row r="236" spans="1:33" x14ac:dyDescent="0.25">
      <c r="A236" s="1567">
        <f t="shared" si="111"/>
        <v>80</v>
      </c>
      <c r="B236" s="1572">
        <v>521</v>
      </c>
      <c r="C236" s="1573">
        <v>52114</v>
      </c>
      <c r="D236" s="2174" t="s">
        <v>1831</v>
      </c>
      <c r="E236" s="1574">
        <f t="shared" si="112"/>
        <v>0.872</v>
      </c>
      <c r="F236" s="1575">
        <f t="shared" si="115"/>
        <v>872</v>
      </c>
      <c r="G236" s="1574">
        <f t="shared" si="113"/>
        <v>0</v>
      </c>
      <c r="H236" s="1575">
        <f t="shared" si="116"/>
        <v>0</v>
      </c>
      <c r="I236" s="1551">
        <f t="shared" si="114"/>
        <v>0.872</v>
      </c>
      <c r="J236" s="1552"/>
      <c r="K236" s="1822">
        <v>521</v>
      </c>
      <c r="L236" s="1822">
        <v>52114</v>
      </c>
      <c r="M236" s="1824">
        <v>872</v>
      </c>
      <c r="N236" s="1822"/>
      <c r="O236" s="1839"/>
      <c r="P236" s="1227"/>
      <c r="Q236" s="1227"/>
      <c r="R236" s="1227"/>
      <c r="S236" s="1227"/>
      <c r="T236" s="139"/>
      <c r="U236" s="1227"/>
      <c r="V236" s="1227"/>
      <c r="W236" s="1227"/>
      <c r="X236" s="1227"/>
      <c r="Y236" s="1227"/>
      <c r="Z236" s="1227"/>
      <c r="AA236" s="139"/>
      <c r="AB236" s="139"/>
      <c r="AC236" s="139"/>
      <c r="AD236" s="139"/>
      <c r="AE236" s="139"/>
      <c r="AF236" s="139"/>
      <c r="AG236" s="139"/>
    </row>
    <row r="237" spans="1:33" x14ac:dyDescent="0.25">
      <c r="A237" s="2181">
        <f t="shared" si="111"/>
        <v>81</v>
      </c>
      <c r="B237" s="1568">
        <v>521</v>
      </c>
      <c r="C237" s="1569"/>
      <c r="D237" s="1569"/>
      <c r="E237" s="1570">
        <f>SUM(E233:E235)</f>
        <v>184465.07100000003</v>
      </c>
      <c r="F237" s="2210">
        <f>SUM(F233:F235)</f>
        <v>184465071</v>
      </c>
      <c r="G237" s="1570">
        <f>SUM(G233:G235)</f>
        <v>14368.712</v>
      </c>
      <c r="H237" s="2178">
        <f>SUM(H233:H235)</f>
        <v>14368712</v>
      </c>
      <c r="I237" s="1571">
        <f>SUM(I233:I235)</f>
        <v>198833.783</v>
      </c>
      <c r="J237" s="1564"/>
      <c r="K237" s="1822"/>
      <c r="L237" s="1822"/>
      <c r="M237" s="1823"/>
      <c r="N237" s="1822"/>
      <c r="O237" s="1839"/>
      <c r="P237" s="1227"/>
      <c r="Q237" s="1227"/>
      <c r="R237" s="1227"/>
      <c r="S237" s="1227"/>
      <c r="T237" s="139"/>
      <c r="U237" s="1227"/>
      <c r="V237" s="1227"/>
      <c r="W237" s="1227"/>
      <c r="X237" s="1227"/>
      <c r="Y237" s="1227"/>
      <c r="Z237" s="1227"/>
      <c r="AA237" s="139"/>
      <c r="AB237" s="139"/>
      <c r="AC237" s="139"/>
      <c r="AD237" s="139"/>
      <c r="AE237" s="139"/>
      <c r="AF237" s="139"/>
      <c r="AG237" s="139"/>
    </row>
    <row r="238" spans="1:33" x14ac:dyDescent="0.25">
      <c r="A238" s="1567">
        <f t="shared" si="111"/>
        <v>82</v>
      </c>
      <c r="B238" s="1572">
        <v>524</v>
      </c>
      <c r="C238" s="1573">
        <v>5241</v>
      </c>
      <c r="D238" s="1573" t="s">
        <v>1599</v>
      </c>
      <c r="E238" s="1574">
        <f t="shared" ref="E238:E239" si="117">F238/1000</f>
        <v>42448.953450000001</v>
      </c>
      <c r="F238" s="1575">
        <f t="shared" ref="F238:F239" si="118">M238</f>
        <v>42448953.450000003</v>
      </c>
      <c r="G238" s="1574">
        <f t="shared" ref="G238:G239" si="119">H238/1000</f>
        <v>3186.8480499999996</v>
      </c>
      <c r="H238" s="1575">
        <f>O238</f>
        <v>3186848.05</v>
      </c>
      <c r="I238" s="1551">
        <f t="shared" ref="I238:I239" si="120">E238+G238</f>
        <v>45635.801500000001</v>
      </c>
      <c r="J238" s="1552"/>
      <c r="K238" s="1822">
        <v>524</v>
      </c>
      <c r="L238" s="1822">
        <v>5241</v>
      </c>
      <c r="M238" s="1824">
        <v>42448953.450000003</v>
      </c>
      <c r="N238" s="1822">
        <v>5241</v>
      </c>
      <c r="O238" s="1839">
        <v>3186848.05</v>
      </c>
      <c r="P238" s="1227"/>
      <c r="Q238" s="1227"/>
      <c r="R238" s="1227"/>
      <c r="S238" s="1227"/>
      <c r="T238" s="139"/>
      <c r="U238" s="1227"/>
      <c r="V238" s="1227"/>
      <c r="W238" s="1227"/>
      <c r="X238" s="1227"/>
      <c r="Y238" s="1227"/>
      <c r="Z238" s="1227"/>
      <c r="AA238" s="139"/>
      <c r="AB238" s="139"/>
      <c r="AC238" s="139"/>
      <c r="AD238" s="139"/>
      <c r="AE238" s="139"/>
      <c r="AF238" s="139"/>
      <c r="AG238" s="139"/>
    </row>
    <row r="239" spans="1:33" x14ac:dyDescent="0.25">
      <c r="A239" s="1567">
        <f t="shared" si="111"/>
        <v>83</v>
      </c>
      <c r="B239" s="1572">
        <v>524</v>
      </c>
      <c r="C239" s="1573">
        <v>52412</v>
      </c>
      <c r="D239" s="1573" t="s">
        <v>1600</v>
      </c>
      <c r="E239" s="1574">
        <f t="shared" si="117"/>
        <v>15310.062519999999</v>
      </c>
      <c r="F239" s="1575">
        <f t="shared" si="118"/>
        <v>15310062.52</v>
      </c>
      <c r="G239" s="1574">
        <f t="shared" si="119"/>
        <v>1181.96048</v>
      </c>
      <c r="H239" s="1575">
        <f>O239</f>
        <v>1181960.48</v>
      </c>
      <c r="I239" s="1551">
        <f t="shared" si="120"/>
        <v>16492.023000000001</v>
      </c>
      <c r="J239" s="1552"/>
      <c r="K239" s="1822">
        <v>524</v>
      </c>
      <c r="L239" s="1822">
        <v>52412</v>
      </c>
      <c r="M239" s="1824">
        <v>15310062.52</v>
      </c>
      <c r="N239" s="1822">
        <v>52412</v>
      </c>
      <c r="O239" s="1839">
        <v>1181960.48</v>
      </c>
      <c r="P239" s="1227"/>
      <c r="Q239" s="1227"/>
      <c r="R239" s="1227"/>
      <c r="S239" s="1227"/>
      <c r="T239" s="139"/>
      <c r="U239" s="1227"/>
      <c r="V239" s="1227"/>
      <c r="W239" s="1227"/>
      <c r="X239" s="1227"/>
      <c r="Y239" s="1227"/>
      <c r="Z239" s="1227"/>
      <c r="AA239" s="139"/>
      <c r="AB239" s="139"/>
      <c r="AC239" s="139"/>
      <c r="AD239" s="139"/>
      <c r="AE239" s="139"/>
      <c r="AF239" s="139"/>
      <c r="AG239" s="139"/>
    </row>
    <row r="240" spans="1:33" x14ac:dyDescent="0.25">
      <c r="A240" s="2181">
        <f t="shared" si="111"/>
        <v>84</v>
      </c>
      <c r="B240" s="1568">
        <v>524</v>
      </c>
      <c r="C240" s="1569"/>
      <c r="D240" s="1569"/>
      <c r="E240" s="1570">
        <f>SUM(E238:E239)</f>
        <v>57759.01597</v>
      </c>
      <c r="F240" s="2210">
        <f>SUM(F238:F239)</f>
        <v>57759015.969999999</v>
      </c>
      <c r="G240" s="1570">
        <f>SUM(G238:G239)</f>
        <v>4368.8085299999993</v>
      </c>
      <c r="H240" s="2178">
        <f>SUM(H238:H239)</f>
        <v>4368808.5299999993</v>
      </c>
      <c r="I240" s="1571">
        <f>SUM(I238:I239)</f>
        <v>62127.824500000002</v>
      </c>
      <c r="J240" s="1564"/>
      <c r="K240" s="1822"/>
      <c r="L240" s="1822"/>
      <c r="M240" s="1823"/>
      <c r="N240" s="1822"/>
      <c r="O240" s="1839"/>
      <c r="P240" s="1227"/>
      <c r="Q240" s="1227"/>
      <c r="R240" s="1227"/>
      <c r="S240" s="1227"/>
      <c r="T240" s="139"/>
      <c r="U240" s="1227"/>
      <c r="V240" s="1227"/>
      <c r="W240" s="1227"/>
      <c r="X240" s="1227"/>
      <c r="Y240" s="1227"/>
      <c r="Z240" s="1227"/>
      <c r="AA240" s="139"/>
      <c r="AB240" s="139"/>
      <c r="AC240" s="139"/>
      <c r="AD240" s="139"/>
      <c r="AE240" s="139"/>
      <c r="AF240" s="139"/>
      <c r="AG240" s="139"/>
    </row>
    <row r="241" spans="1:33" x14ac:dyDescent="0.25">
      <c r="A241" s="2181">
        <f t="shared" si="111"/>
        <v>85</v>
      </c>
      <c r="B241" s="1568">
        <v>531</v>
      </c>
      <c r="C241" s="1569">
        <v>531</v>
      </c>
      <c r="D241" s="1569" t="s">
        <v>1601</v>
      </c>
      <c r="E241" s="1570">
        <f t="shared" ref="E241:E246" si="121">F241/1000</f>
        <v>31.382000000000001</v>
      </c>
      <c r="F241" s="2210">
        <f>M241</f>
        <v>31382</v>
      </c>
      <c r="G241" s="1570">
        <f t="shared" ref="G241:G246" si="122">H241/1000</f>
        <v>0</v>
      </c>
      <c r="H241" s="2178">
        <v>0</v>
      </c>
      <c r="I241" s="1571">
        <f>E241+G241</f>
        <v>31.382000000000001</v>
      </c>
      <c r="J241" s="1564"/>
      <c r="K241" s="1822">
        <v>531</v>
      </c>
      <c r="L241" s="1822">
        <v>531</v>
      </c>
      <c r="M241" s="1824">
        <v>31382</v>
      </c>
      <c r="N241" s="1822"/>
      <c r="O241" s="1839"/>
      <c r="P241" s="1227"/>
      <c r="Q241" s="1227"/>
      <c r="R241" s="1227"/>
      <c r="S241" s="1227"/>
      <c r="T241" s="139"/>
      <c r="U241" s="1227"/>
      <c r="V241" s="1227"/>
      <c r="W241" s="1227"/>
      <c r="X241" s="1227"/>
      <c r="Y241" s="1227"/>
      <c r="Z241" s="1227"/>
      <c r="AA241" s="139"/>
      <c r="AB241" s="139"/>
      <c r="AC241" s="139"/>
      <c r="AD241" s="139"/>
      <c r="AE241" s="139"/>
      <c r="AF241" s="139"/>
      <c r="AG241" s="139"/>
    </row>
    <row r="242" spans="1:33" x14ac:dyDescent="0.25">
      <c r="A242" s="2181">
        <f t="shared" si="111"/>
        <v>86</v>
      </c>
      <c r="B242" s="1568">
        <v>532</v>
      </c>
      <c r="C242" s="1569">
        <v>532</v>
      </c>
      <c r="D242" s="1569" t="s">
        <v>1602</v>
      </c>
      <c r="E242" s="1570">
        <f t="shared" si="121"/>
        <v>19.093</v>
      </c>
      <c r="F242" s="2210">
        <f>M242</f>
        <v>19093</v>
      </c>
      <c r="G242" s="1570">
        <f t="shared" si="122"/>
        <v>0</v>
      </c>
      <c r="H242" s="2178">
        <v>0</v>
      </c>
      <c r="I242" s="1571">
        <f>E242+G242</f>
        <v>19.093</v>
      </c>
      <c r="J242" s="1564"/>
      <c r="K242" s="1822">
        <v>532</v>
      </c>
      <c r="L242" s="1822">
        <v>532</v>
      </c>
      <c r="M242" s="1824">
        <v>19093</v>
      </c>
      <c r="N242" s="1822"/>
      <c r="O242" s="1839"/>
      <c r="P242" s="1227"/>
      <c r="Q242" s="1227"/>
      <c r="R242" s="1227"/>
      <c r="S242" s="1227"/>
      <c r="T242" s="139"/>
      <c r="U242" s="1227"/>
      <c r="V242" s="1227"/>
      <c r="W242" s="1227"/>
      <c r="X242" s="1227"/>
      <c r="Y242" s="1227"/>
      <c r="Z242" s="1227"/>
      <c r="AA242" s="139"/>
      <c r="AB242" s="139"/>
      <c r="AC242" s="139"/>
      <c r="AD242" s="139"/>
      <c r="AE242" s="139"/>
      <c r="AF242" s="139"/>
      <c r="AG242" s="139"/>
    </row>
    <row r="243" spans="1:33" x14ac:dyDescent="0.25">
      <c r="A243" s="1567">
        <f t="shared" si="111"/>
        <v>87</v>
      </c>
      <c r="B243" s="1572">
        <v>538</v>
      </c>
      <c r="C243" s="1573">
        <v>538</v>
      </c>
      <c r="D243" s="1573" t="s">
        <v>1603</v>
      </c>
      <c r="E243" s="1574">
        <f t="shared" si="121"/>
        <v>10.57</v>
      </c>
      <c r="F243" s="1575">
        <f>M243</f>
        <v>10570</v>
      </c>
      <c r="G243" s="1574">
        <f t="shared" si="122"/>
        <v>0</v>
      </c>
      <c r="H243" s="1576">
        <f>O243</f>
        <v>0</v>
      </c>
      <c r="I243" s="1551">
        <f t="shared" ref="I243:I247" si="123">E243+G243</f>
        <v>10.57</v>
      </c>
      <c r="J243" s="1552"/>
      <c r="K243" s="1822">
        <v>538</v>
      </c>
      <c r="L243" s="1822">
        <v>538</v>
      </c>
      <c r="M243" s="1824">
        <v>10570</v>
      </c>
      <c r="N243" s="1822"/>
      <c r="O243" s="1839"/>
      <c r="P243" s="1227"/>
      <c r="Q243" s="1227"/>
      <c r="R243" s="1227"/>
      <c r="S243" s="1227"/>
      <c r="T243" s="139"/>
      <c r="U243" s="1227"/>
      <c r="V243" s="1227"/>
      <c r="W243" s="1227"/>
      <c r="X243" s="1227"/>
      <c r="Y243" s="1227"/>
      <c r="Z243" s="1227"/>
      <c r="AA243" s="139"/>
      <c r="AB243" s="139"/>
      <c r="AC243" s="139"/>
      <c r="AD243" s="139"/>
      <c r="AE243" s="139"/>
      <c r="AF243" s="139"/>
      <c r="AG243" s="139"/>
    </row>
    <row r="244" spans="1:33" x14ac:dyDescent="0.25">
      <c r="A244" s="1567">
        <f t="shared" si="111"/>
        <v>88</v>
      </c>
      <c r="B244" s="1572">
        <v>538</v>
      </c>
      <c r="C244" s="1573">
        <v>5382</v>
      </c>
      <c r="D244" s="1573" t="s">
        <v>1604</v>
      </c>
      <c r="E244" s="1574">
        <f t="shared" si="121"/>
        <v>0</v>
      </c>
      <c r="F244" s="1575">
        <f t="shared" ref="F244:F246" si="124">M244</f>
        <v>0</v>
      </c>
      <c r="G244" s="1574">
        <f t="shared" si="122"/>
        <v>53.774000000000001</v>
      </c>
      <c r="H244" s="1576">
        <f t="shared" ref="H244:H246" si="125">O244</f>
        <v>53774</v>
      </c>
      <c r="I244" s="1551">
        <f t="shared" si="123"/>
        <v>53.774000000000001</v>
      </c>
      <c r="J244" s="1552"/>
      <c r="K244" s="1837">
        <v>538</v>
      </c>
      <c r="L244" s="1838">
        <v>5382</v>
      </c>
      <c r="M244" s="1824"/>
      <c r="N244" s="1822">
        <v>5382</v>
      </c>
      <c r="O244" s="1839">
        <v>53774</v>
      </c>
      <c r="P244" s="1227"/>
      <c r="Q244" s="1227"/>
      <c r="R244" s="1227"/>
      <c r="S244" s="1227"/>
      <c r="T244" s="139"/>
      <c r="U244" s="1227"/>
      <c r="V244" s="1227"/>
      <c r="W244" s="1227"/>
      <c r="X244" s="1227"/>
      <c r="Y244" s="1227"/>
      <c r="Z244" s="1227"/>
      <c r="AA244" s="139"/>
      <c r="AB244" s="139"/>
      <c r="AC244" s="139"/>
      <c r="AD244" s="139"/>
      <c r="AE244" s="139"/>
      <c r="AF244" s="139"/>
      <c r="AG244" s="139"/>
    </row>
    <row r="245" spans="1:33" x14ac:dyDescent="0.25">
      <c r="A245" s="1567">
        <f t="shared" si="111"/>
        <v>89</v>
      </c>
      <c r="B245" s="1572">
        <v>538</v>
      </c>
      <c r="C245" s="1573">
        <v>5384</v>
      </c>
      <c r="D245" s="1573" t="s">
        <v>1605</v>
      </c>
      <c r="E245" s="1574">
        <f t="shared" si="121"/>
        <v>8.6140000000000008</v>
      </c>
      <c r="F245" s="1575">
        <f t="shared" si="124"/>
        <v>8614</v>
      </c>
      <c r="G245" s="1574">
        <f t="shared" si="122"/>
        <v>10.59</v>
      </c>
      <c r="H245" s="1576">
        <f t="shared" si="125"/>
        <v>10590</v>
      </c>
      <c r="I245" s="1551">
        <f t="shared" si="123"/>
        <v>19.204000000000001</v>
      </c>
      <c r="J245" s="1552"/>
      <c r="K245" s="1822">
        <v>538</v>
      </c>
      <c r="L245" s="1822">
        <v>5384</v>
      </c>
      <c r="M245" s="1824">
        <v>8614</v>
      </c>
      <c r="N245" s="1822">
        <v>5384</v>
      </c>
      <c r="O245" s="1839">
        <v>10590</v>
      </c>
      <c r="P245" s="1227"/>
      <c r="Q245" s="1227"/>
      <c r="R245" s="1227"/>
      <c r="S245" s="1227"/>
      <c r="T245" s="139"/>
      <c r="U245" s="1227"/>
      <c r="V245" s="1227"/>
      <c r="W245" s="1227"/>
      <c r="X245" s="1227"/>
      <c r="Y245" s="1227"/>
      <c r="Z245" s="1227"/>
      <c r="AA245" s="139"/>
      <c r="AB245" s="139"/>
      <c r="AC245" s="139"/>
      <c r="AD245" s="139"/>
      <c r="AE245" s="139"/>
      <c r="AF245" s="139"/>
      <c r="AG245" s="139"/>
    </row>
    <row r="246" spans="1:33" x14ac:dyDescent="0.25">
      <c r="A246" s="1567">
        <f t="shared" si="111"/>
        <v>90</v>
      </c>
      <c r="B246" s="1572">
        <v>538</v>
      </c>
      <c r="C246" s="1573">
        <v>5385</v>
      </c>
      <c r="D246" s="1573" t="s">
        <v>1606</v>
      </c>
      <c r="E246" s="1574">
        <f t="shared" si="121"/>
        <v>372.33</v>
      </c>
      <c r="F246" s="1575">
        <f t="shared" si="124"/>
        <v>372330</v>
      </c>
      <c r="G246" s="1574">
        <f t="shared" si="122"/>
        <v>0</v>
      </c>
      <c r="H246" s="1576">
        <f t="shared" si="125"/>
        <v>0</v>
      </c>
      <c r="I246" s="1551">
        <f t="shared" si="123"/>
        <v>372.33</v>
      </c>
      <c r="J246" s="1552"/>
      <c r="K246" s="1822">
        <v>538</v>
      </c>
      <c r="L246" s="1822">
        <v>5385</v>
      </c>
      <c r="M246" s="1824">
        <v>372330</v>
      </c>
      <c r="N246" s="1822"/>
      <c r="O246" s="1839"/>
      <c r="P246" s="1227"/>
      <c r="Q246" s="1227"/>
      <c r="R246" s="1227"/>
      <c r="S246" s="1227"/>
      <c r="T246" s="139"/>
      <c r="U246" s="1227"/>
      <c r="V246" s="1227"/>
      <c r="W246" s="1227"/>
      <c r="X246" s="1227"/>
      <c r="Y246" s="1227"/>
      <c r="Z246" s="1227"/>
      <c r="AA246" s="139"/>
      <c r="AB246" s="139"/>
      <c r="AC246" s="139"/>
      <c r="AD246" s="139"/>
      <c r="AE246" s="139"/>
      <c r="AF246" s="139"/>
      <c r="AG246" s="139"/>
    </row>
    <row r="247" spans="1:33" x14ac:dyDescent="0.25">
      <c r="A247" s="2181">
        <f t="shared" si="111"/>
        <v>91</v>
      </c>
      <c r="B247" s="1568">
        <v>538</v>
      </c>
      <c r="C247" s="1569"/>
      <c r="D247" s="1569"/>
      <c r="E247" s="1570">
        <f>SUM(E243:E246)</f>
        <v>391.51400000000001</v>
      </c>
      <c r="F247" s="2210">
        <f>SUM(F243:F246)</f>
        <v>391514</v>
      </c>
      <c r="G247" s="1570">
        <f>SUM(G243:G246)</f>
        <v>64.364000000000004</v>
      </c>
      <c r="H247" s="2178">
        <f>SUM(H243:H246)</f>
        <v>64364</v>
      </c>
      <c r="I247" s="1571">
        <f t="shared" si="123"/>
        <v>455.87800000000004</v>
      </c>
      <c r="J247" s="1564"/>
      <c r="K247" s="1822"/>
      <c r="L247" s="1822"/>
      <c r="M247" s="1823"/>
      <c r="N247" s="1822"/>
      <c r="O247" s="1839"/>
      <c r="P247" s="1227"/>
      <c r="Q247" s="1227"/>
      <c r="R247" s="1227"/>
      <c r="S247" s="1227"/>
      <c r="T247" s="139"/>
      <c r="U247" s="1227"/>
      <c r="V247" s="1227"/>
      <c r="W247" s="1227"/>
      <c r="X247" s="1227"/>
      <c r="Y247" s="1227"/>
      <c r="Z247" s="1227"/>
      <c r="AA247" s="139"/>
      <c r="AB247" s="139"/>
      <c r="AC247" s="139"/>
      <c r="AD247" s="139"/>
      <c r="AE247" s="139"/>
      <c r="AF247" s="139"/>
      <c r="AG247" s="139"/>
    </row>
    <row r="248" spans="1:33" x14ac:dyDescent="0.25">
      <c r="A248" s="1567">
        <f t="shared" si="111"/>
        <v>92</v>
      </c>
      <c r="B248" s="1568">
        <v>541</v>
      </c>
      <c r="C248" s="1569">
        <v>541</v>
      </c>
      <c r="D248" s="1569" t="s">
        <v>1607</v>
      </c>
      <c r="E248" s="1570">
        <f t="shared" ref="E248:E252" si="126">F248/1000</f>
        <v>0</v>
      </c>
      <c r="F248" s="2210">
        <f>M248</f>
        <v>0</v>
      </c>
      <c r="G248" s="1570">
        <f t="shared" ref="G248:G252" si="127">H248/1000</f>
        <v>0</v>
      </c>
      <c r="H248" s="2210">
        <f>O248</f>
        <v>0</v>
      </c>
      <c r="I248" s="1571">
        <f>E248+G248</f>
        <v>0</v>
      </c>
      <c r="J248" s="1577"/>
      <c r="K248" s="1822"/>
      <c r="L248" s="1822"/>
      <c r="M248" s="1823"/>
      <c r="N248" s="1822"/>
      <c r="O248" s="1839"/>
      <c r="P248" s="1227"/>
      <c r="Q248" s="1227"/>
      <c r="R248" s="1227"/>
      <c r="S248" s="1227"/>
      <c r="T248" s="139"/>
      <c r="U248" s="1227"/>
      <c r="V248" s="1227"/>
      <c r="W248" s="1227"/>
      <c r="X248" s="1227"/>
      <c r="Y248" s="1227"/>
      <c r="Z248" s="1227"/>
      <c r="AA248" s="139"/>
      <c r="AB248" s="139"/>
      <c r="AC248" s="139"/>
      <c r="AD248" s="139"/>
      <c r="AE248" s="139"/>
      <c r="AF248" s="139"/>
      <c r="AG248" s="139"/>
    </row>
    <row r="249" spans="1:33" x14ac:dyDescent="0.25">
      <c r="A249" s="1567">
        <f t="shared" si="111"/>
        <v>93</v>
      </c>
      <c r="B249" s="1568">
        <v>542</v>
      </c>
      <c r="C249" s="1569">
        <v>542</v>
      </c>
      <c r="D249" s="1569" t="s">
        <v>1608</v>
      </c>
      <c r="E249" s="1570">
        <f t="shared" si="126"/>
        <v>85.008929999999992</v>
      </c>
      <c r="F249" s="2210">
        <f t="shared" ref="F249:F250" si="128">M249</f>
        <v>85008.93</v>
      </c>
      <c r="G249" s="1570">
        <f t="shared" si="127"/>
        <v>1.0521199999999999</v>
      </c>
      <c r="H249" s="2210">
        <f t="shared" ref="H249:H250" si="129">O249</f>
        <v>1052.1199999999999</v>
      </c>
      <c r="I249" s="1571">
        <f>E249+G249</f>
        <v>86.061049999999994</v>
      </c>
      <c r="J249" s="1564"/>
      <c r="K249" s="1822">
        <v>542</v>
      </c>
      <c r="L249" s="1822">
        <v>542</v>
      </c>
      <c r="M249" s="1824">
        <v>85008.93</v>
      </c>
      <c r="N249" s="1822">
        <v>542</v>
      </c>
      <c r="O249" s="1839">
        <v>1052.1199999999999</v>
      </c>
      <c r="P249" s="1227"/>
      <c r="Q249" s="1227"/>
      <c r="R249" s="1227"/>
      <c r="S249" s="1227"/>
      <c r="T249" s="139"/>
      <c r="U249" s="1227"/>
      <c r="V249" s="1227"/>
      <c r="W249" s="1227"/>
      <c r="X249" s="1227"/>
      <c r="Y249" s="1227"/>
      <c r="Z249" s="1227"/>
      <c r="AA249" s="139"/>
      <c r="AB249" s="139"/>
      <c r="AC249" s="139"/>
      <c r="AD249" s="139"/>
      <c r="AE249" s="139"/>
      <c r="AF249" s="139"/>
      <c r="AG249" s="139"/>
    </row>
    <row r="250" spans="1:33" x14ac:dyDescent="0.25">
      <c r="A250" s="1567">
        <f t="shared" si="111"/>
        <v>94</v>
      </c>
      <c r="B250" s="1568">
        <v>545</v>
      </c>
      <c r="C250" s="1569">
        <v>545</v>
      </c>
      <c r="D250" s="1569" t="s">
        <v>1609</v>
      </c>
      <c r="E250" s="1570">
        <f t="shared" si="126"/>
        <v>489.65171999999995</v>
      </c>
      <c r="F250" s="2210">
        <f t="shared" si="128"/>
        <v>489651.72</v>
      </c>
      <c r="G250" s="1570">
        <f t="shared" si="127"/>
        <v>208.91815</v>
      </c>
      <c r="H250" s="2210">
        <f t="shared" si="129"/>
        <v>208918.15</v>
      </c>
      <c r="I250" s="1571">
        <f>E250+G250</f>
        <v>698.56986999999992</v>
      </c>
      <c r="J250" s="1564"/>
      <c r="K250" s="1822">
        <v>545</v>
      </c>
      <c r="L250" s="1822">
        <v>545</v>
      </c>
      <c r="M250" s="1824">
        <v>489651.72</v>
      </c>
      <c r="N250" s="1822">
        <v>545</v>
      </c>
      <c r="O250" s="1839">
        <v>208918.15</v>
      </c>
      <c r="P250" s="1227"/>
      <c r="Q250" s="1227"/>
      <c r="R250" s="1227"/>
      <c r="S250" s="1227"/>
      <c r="T250" s="139"/>
      <c r="U250" s="1227"/>
      <c r="V250" s="1227"/>
      <c r="W250" s="1227"/>
      <c r="X250" s="1227"/>
      <c r="Y250" s="1227"/>
      <c r="Z250" s="1227"/>
      <c r="AA250" s="139"/>
      <c r="AB250" s="139"/>
      <c r="AC250" s="139"/>
      <c r="AD250" s="139"/>
      <c r="AE250" s="139"/>
      <c r="AF250" s="139"/>
      <c r="AG250" s="139"/>
    </row>
    <row r="251" spans="1:33" x14ac:dyDescent="0.25">
      <c r="A251" s="1567">
        <f t="shared" si="111"/>
        <v>95</v>
      </c>
      <c r="B251" s="1572">
        <v>548</v>
      </c>
      <c r="C251" s="1573">
        <v>548</v>
      </c>
      <c r="D251" s="1573" t="s">
        <v>1610</v>
      </c>
      <c r="E251" s="1574">
        <f t="shared" si="126"/>
        <v>55.2498</v>
      </c>
      <c r="F251" s="1575">
        <f>M251</f>
        <v>55249.8</v>
      </c>
      <c r="G251" s="1574">
        <f t="shared" si="127"/>
        <v>0</v>
      </c>
      <c r="H251" s="1576">
        <f>O251</f>
        <v>0</v>
      </c>
      <c r="I251" s="1551">
        <f t="shared" ref="I251:I252" si="130">E251+G251</f>
        <v>55.2498</v>
      </c>
      <c r="J251" s="1552"/>
      <c r="K251" s="1822">
        <v>548</v>
      </c>
      <c r="L251" s="1822">
        <v>5483</v>
      </c>
      <c r="M251" s="1824">
        <v>55249.8</v>
      </c>
      <c r="N251" s="1822"/>
      <c r="O251" s="1839"/>
      <c r="P251" s="1227"/>
      <c r="Q251" s="1227"/>
      <c r="R251" s="1227"/>
      <c r="S251" s="1227"/>
      <c r="T251" s="139"/>
      <c r="U251" s="1227"/>
      <c r="V251" s="1227"/>
      <c r="W251" s="1227"/>
      <c r="X251" s="1227"/>
      <c r="Y251" s="1227"/>
      <c r="Z251" s="1227"/>
      <c r="AA251" s="139"/>
      <c r="AB251" s="139"/>
      <c r="AC251" s="139"/>
      <c r="AD251" s="139"/>
      <c r="AE251" s="139"/>
      <c r="AF251" s="139"/>
      <c r="AG251" s="139"/>
    </row>
    <row r="252" spans="1:33" x14ac:dyDescent="0.25">
      <c r="A252" s="1567">
        <f t="shared" si="111"/>
        <v>96</v>
      </c>
      <c r="B252" s="1572">
        <v>548</v>
      </c>
      <c r="C252" s="1573">
        <v>5483</v>
      </c>
      <c r="D252" s="1573" t="s">
        <v>1611</v>
      </c>
      <c r="E252" s="1574">
        <f t="shared" si="126"/>
        <v>0</v>
      </c>
      <c r="F252" s="1575">
        <f>M252</f>
        <v>0</v>
      </c>
      <c r="G252" s="1574">
        <f t="shared" si="127"/>
        <v>0</v>
      </c>
      <c r="H252" s="1576">
        <f>O252</f>
        <v>0</v>
      </c>
      <c r="I252" s="1551">
        <f t="shared" si="130"/>
        <v>0</v>
      </c>
      <c r="J252" s="1552"/>
      <c r="K252" s="1822"/>
      <c r="L252" s="1822"/>
      <c r="M252" s="1823"/>
      <c r="N252" s="1822"/>
      <c r="O252" s="1839"/>
      <c r="P252" s="1227"/>
      <c r="Q252" s="1227"/>
      <c r="R252" s="1227"/>
      <c r="S252" s="1227"/>
      <c r="T252" s="139"/>
      <c r="U252" s="1227"/>
      <c r="V252" s="1227"/>
      <c r="W252" s="1227"/>
      <c r="X252" s="1227"/>
      <c r="Y252" s="1227"/>
      <c r="Z252" s="1227"/>
      <c r="AA252" s="139"/>
      <c r="AB252" s="139"/>
      <c r="AC252" s="139"/>
      <c r="AD252" s="139"/>
      <c r="AE252" s="139"/>
      <c r="AF252" s="139"/>
      <c r="AG252" s="139"/>
    </row>
    <row r="253" spans="1:33" x14ac:dyDescent="0.25">
      <c r="A253" s="2181">
        <f t="shared" si="111"/>
        <v>97</v>
      </c>
      <c r="B253" s="1568">
        <v>548</v>
      </c>
      <c r="C253" s="1569"/>
      <c r="D253" s="1569"/>
      <c r="E253" s="1570">
        <f>SUM(E251:E252)</f>
        <v>55.2498</v>
      </c>
      <c r="F253" s="2210">
        <f>SUM(F251:F252)</f>
        <v>55249.8</v>
      </c>
      <c r="G253" s="1570">
        <f>SUM(G251:G252)</f>
        <v>0</v>
      </c>
      <c r="H253" s="2178">
        <f>SUM(H251:H252)</f>
        <v>0</v>
      </c>
      <c r="I253" s="1571">
        <f>SUM(I251:I252)</f>
        <v>55.2498</v>
      </c>
      <c r="J253" s="1577"/>
      <c r="K253" s="1822"/>
      <c r="L253" s="1822"/>
      <c r="M253" s="1823"/>
      <c r="N253" s="1822"/>
      <c r="O253" s="1839"/>
      <c r="P253" s="1227"/>
      <c r="Q253" s="1227"/>
      <c r="R253" s="1227"/>
      <c r="S253" s="1227"/>
      <c r="T253" s="139"/>
      <c r="U253" s="1227"/>
      <c r="V253" s="1227"/>
      <c r="W253" s="1227"/>
      <c r="X253" s="1227"/>
      <c r="Y253" s="1227"/>
      <c r="Z253" s="1227"/>
      <c r="AA253" s="139"/>
      <c r="AB253" s="139"/>
      <c r="AC253" s="139"/>
      <c r="AD253" s="139"/>
      <c r="AE253" s="139"/>
      <c r="AF253" s="139"/>
      <c r="AG253" s="139"/>
    </row>
    <row r="254" spans="1:33" x14ac:dyDescent="0.25">
      <c r="A254" s="1567">
        <f t="shared" si="111"/>
        <v>98</v>
      </c>
      <c r="B254" s="1572">
        <v>549</v>
      </c>
      <c r="C254" s="1573">
        <v>54910</v>
      </c>
      <c r="D254" s="1573" t="s">
        <v>1612</v>
      </c>
      <c r="E254" s="1574">
        <f t="shared" ref="E254:E255" si="131">F254/1000</f>
        <v>1596.308</v>
      </c>
      <c r="F254" s="1575">
        <f>M254</f>
        <v>1596308</v>
      </c>
      <c r="G254" s="1574">
        <f t="shared" ref="G254:G281" si="132">H254/1000</f>
        <v>199.32883999999999</v>
      </c>
      <c r="H254" s="1575">
        <f>O254</f>
        <v>199328.84</v>
      </c>
      <c r="I254" s="1551">
        <f t="shared" ref="I254:I281" si="133">E254+G254</f>
        <v>1795.6368399999999</v>
      </c>
      <c r="J254" s="1552"/>
      <c r="K254" s="1822">
        <v>549</v>
      </c>
      <c r="L254" s="1822">
        <v>54910</v>
      </c>
      <c r="M254" s="1824">
        <v>1596308</v>
      </c>
      <c r="N254" s="1822">
        <v>54910</v>
      </c>
      <c r="O254" s="1839">
        <v>199328.84</v>
      </c>
      <c r="P254" s="1227"/>
      <c r="Q254" s="1227"/>
      <c r="R254" s="1227"/>
      <c r="S254" s="1227"/>
      <c r="T254" s="139"/>
      <c r="U254" s="1227"/>
      <c r="V254" s="1227"/>
      <c r="W254" s="1227"/>
      <c r="X254" s="1227"/>
      <c r="Y254" s="1227"/>
      <c r="Z254" s="1227"/>
      <c r="AA254" s="139"/>
      <c r="AB254" s="139"/>
      <c r="AC254" s="139"/>
      <c r="AD254" s="139"/>
      <c r="AE254" s="139"/>
      <c r="AF254" s="139"/>
      <c r="AG254" s="139"/>
    </row>
    <row r="255" spans="1:33" x14ac:dyDescent="0.25">
      <c r="A255" s="1567">
        <f t="shared" si="111"/>
        <v>99</v>
      </c>
      <c r="B255" s="1572">
        <v>549</v>
      </c>
      <c r="C255" s="1573">
        <v>54921</v>
      </c>
      <c r="D255" s="1573" t="s">
        <v>1613</v>
      </c>
      <c r="E255" s="1574">
        <f t="shared" si="131"/>
        <v>714.50063999999998</v>
      </c>
      <c r="F255" s="1575">
        <f t="shared" ref="F255:F281" si="134">M255</f>
        <v>714500.64</v>
      </c>
      <c r="G255" s="1574">
        <f t="shared" si="132"/>
        <v>55.158000000000001</v>
      </c>
      <c r="H255" s="1575">
        <f t="shared" ref="H255:H281" si="135">O255</f>
        <v>55158</v>
      </c>
      <c r="I255" s="1551">
        <f t="shared" si="133"/>
        <v>769.65863999999999</v>
      </c>
      <c r="J255" s="1552"/>
      <c r="K255" s="1822">
        <v>549</v>
      </c>
      <c r="L255" s="1822">
        <v>54921</v>
      </c>
      <c r="M255" s="1824">
        <v>714500.64</v>
      </c>
      <c r="N255" s="1822">
        <v>54921</v>
      </c>
      <c r="O255" s="1839">
        <v>55158</v>
      </c>
      <c r="P255" s="1227"/>
      <c r="Q255" s="1227"/>
      <c r="R255" s="1227"/>
      <c r="S255" s="1227"/>
      <c r="T255" s="139"/>
      <c r="U255" s="1227"/>
      <c r="V255" s="1227"/>
      <c r="W255" s="1227"/>
      <c r="X255" s="1227"/>
      <c r="Y255" s="1227"/>
      <c r="Z255" s="1227"/>
      <c r="AA255" s="139"/>
      <c r="AB255" s="139"/>
      <c r="AC255" s="139"/>
      <c r="AD255" s="139"/>
      <c r="AE255" s="139"/>
      <c r="AF255" s="139"/>
      <c r="AG255" s="139"/>
    </row>
    <row r="256" spans="1:33" x14ac:dyDescent="0.25">
      <c r="A256" s="1567">
        <f t="shared" si="111"/>
        <v>100</v>
      </c>
      <c r="B256" s="1572">
        <v>549</v>
      </c>
      <c r="C256" s="1573">
        <v>54932</v>
      </c>
      <c r="D256" s="1573" t="s">
        <v>1614</v>
      </c>
      <c r="E256" s="1574">
        <f>F256/1000</f>
        <v>1124.5</v>
      </c>
      <c r="F256" s="1575">
        <f t="shared" si="134"/>
        <v>1124500</v>
      </c>
      <c r="G256" s="1574">
        <f t="shared" si="132"/>
        <v>4.5330000000000004</v>
      </c>
      <c r="H256" s="1575">
        <f t="shared" si="135"/>
        <v>4533</v>
      </c>
      <c r="I256" s="1551">
        <f t="shared" si="133"/>
        <v>1129.0329999999999</v>
      </c>
      <c r="J256" s="1552"/>
      <c r="K256" s="1822">
        <v>549</v>
      </c>
      <c r="L256" s="1822">
        <v>54932</v>
      </c>
      <c r="M256" s="1824">
        <v>1124500</v>
      </c>
      <c r="N256" s="1822">
        <v>54932</v>
      </c>
      <c r="O256" s="1839">
        <v>4533</v>
      </c>
      <c r="P256" s="1227"/>
      <c r="Q256" s="1227"/>
      <c r="R256" s="1227"/>
      <c r="S256" s="1227"/>
      <c r="T256" s="139"/>
      <c r="U256" s="1227"/>
      <c r="V256" s="1227"/>
      <c r="W256" s="1227"/>
      <c r="X256" s="1227"/>
      <c r="Y256" s="1227"/>
      <c r="Z256" s="1227"/>
      <c r="AA256" s="139"/>
      <c r="AB256" s="139"/>
      <c r="AC256" s="139"/>
      <c r="AD256" s="139"/>
      <c r="AE256" s="139"/>
      <c r="AF256" s="139"/>
      <c r="AG256" s="139"/>
    </row>
    <row r="257" spans="1:33" x14ac:dyDescent="0.25">
      <c r="A257" s="1567">
        <f t="shared" si="111"/>
        <v>101</v>
      </c>
      <c r="B257" s="1572">
        <v>549</v>
      </c>
      <c r="C257" s="1573">
        <v>54933</v>
      </c>
      <c r="D257" s="1573" t="s">
        <v>1615</v>
      </c>
      <c r="E257" s="1574">
        <f t="shared" ref="E257:E281" si="136">F257/1000</f>
        <v>78.279200000000003</v>
      </c>
      <c r="F257" s="1575">
        <f t="shared" si="134"/>
        <v>78279.199999999997</v>
      </c>
      <c r="G257" s="1574">
        <f t="shared" si="132"/>
        <v>0</v>
      </c>
      <c r="H257" s="1575">
        <f t="shared" si="135"/>
        <v>0</v>
      </c>
      <c r="I257" s="1551">
        <f t="shared" si="133"/>
        <v>78.279200000000003</v>
      </c>
      <c r="J257" s="1552"/>
      <c r="K257" s="1822">
        <v>549</v>
      </c>
      <c r="L257" s="1822">
        <v>54933</v>
      </c>
      <c r="M257" s="1824">
        <v>78279.199999999997</v>
      </c>
      <c r="N257" s="1822"/>
      <c r="O257" s="1839"/>
      <c r="P257" s="1227"/>
      <c r="Q257" s="1227"/>
      <c r="R257" s="1227"/>
      <c r="S257" s="1227"/>
      <c r="T257" s="139"/>
      <c r="U257" s="1830" t="s">
        <v>1420</v>
      </c>
      <c r="V257" s="1227"/>
      <c r="W257" s="1227"/>
      <c r="X257" s="1227"/>
      <c r="Y257" s="1227"/>
      <c r="Z257" s="1227"/>
      <c r="AA257" s="139"/>
      <c r="AB257" s="139"/>
      <c r="AC257" s="139"/>
      <c r="AD257" s="139"/>
      <c r="AE257" s="139"/>
      <c r="AF257" s="139"/>
      <c r="AG257" s="139"/>
    </row>
    <row r="258" spans="1:33" x14ac:dyDescent="0.25">
      <c r="A258" s="1567">
        <f t="shared" si="111"/>
        <v>102</v>
      </c>
      <c r="B258" s="1572">
        <v>549</v>
      </c>
      <c r="C258" s="1573">
        <v>549445</v>
      </c>
      <c r="D258" s="1578" t="s">
        <v>1430</v>
      </c>
      <c r="E258" s="1574">
        <f t="shared" si="136"/>
        <v>310</v>
      </c>
      <c r="F258" s="1575">
        <f t="shared" si="134"/>
        <v>310000</v>
      </c>
      <c r="G258" s="1574">
        <f t="shared" si="132"/>
        <v>0</v>
      </c>
      <c r="H258" s="1575">
        <f t="shared" si="135"/>
        <v>0</v>
      </c>
      <c r="I258" s="2423">
        <f t="shared" si="133"/>
        <v>310</v>
      </c>
      <c r="J258" s="1552"/>
      <c r="K258" s="1822">
        <v>549</v>
      </c>
      <c r="L258" s="1822">
        <v>549445</v>
      </c>
      <c r="M258" s="1824">
        <v>310000</v>
      </c>
      <c r="N258" s="1822"/>
      <c r="O258" s="1839"/>
      <c r="P258" s="1579"/>
      <c r="Q258" s="1579"/>
      <c r="R258" s="1579"/>
      <c r="S258" s="1572">
        <v>549</v>
      </c>
      <c r="T258" s="1573">
        <v>549445</v>
      </c>
      <c r="U258" s="1578" t="s">
        <v>1430</v>
      </c>
      <c r="V258" s="1574">
        <f t="shared" ref="V258:V272" si="137">W258/1000</f>
        <v>310</v>
      </c>
      <c r="W258" s="1824">
        <v>310000</v>
      </c>
      <c r="X258" s="1574">
        <f t="shared" ref="X258:X271" si="138">Y258/1000</f>
        <v>0</v>
      </c>
      <c r="Y258" s="1550">
        <f t="shared" ref="Y258:Y271" si="139">AF258</f>
        <v>0</v>
      </c>
      <c r="Z258" s="1551">
        <f t="shared" ref="Z258:Z271" si="140">V258+X258</f>
        <v>310</v>
      </c>
      <c r="AA258" s="1552"/>
      <c r="AB258" s="1822">
        <v>549</v>
      </c>
      <c r="AC258" s="1822">
        <v>549445</v>
      </c>
      <c r="AD258" s="1824">
        <v>310000</v>
      </c>
      <c r="AE258" s="1822"/>
      <c r="AF258" s="1839"/>
      <c r="AG258" s="139"/>
    </row>
    <row r="259" spans="1:33" x14ac:dyDescent="0.25">
      <c r="A259" s="1567">
        <f t="shared" si="111"/>
        <v>103</v>
      </c>
      <c r="B259" s="1572">
        <v>549</v>
      </c>
      <c r="C259" s="1573">
        <v>549446</v>
      </c>
      <c r="D259" s="1578" t="s">
        <v>1434</v>
      </c>
      <c r="E259" s="1574">
        <f t="shared" si="136"/>
        <v>2687.0859999999998</v>
      </c>
      <c r="F259" s="1575">
        <f t="shared" si="134"/>
        <v>2687086</v>
      </c>
      <c r="G259" s="1574">
        <f t="shared" si="132"/>
        <v>0</v>
      </c>
      <c r="H259" s="1575">
        <f t="shared" si="135"/>
        <v>0</v>
      </c>
      <c r="I259" s="2423">
        <f t="shared" si="133"/>
        <v>2687.0859999999998</v>
      </c>
      <c r="J259" s="1552"/>
      <c r="K259" s="1822">
        <v>549</v>
      </c>
      <c r="L259" s="1822">
        <v>549446</v>
      </c>
      <c r="M259" s="1824">
        <v>2687086</v>
      </c>
      <c r="N259" s="1822"/>
      <c r="O259" s="1839"/>
      <c r="P259" s="1579"/>
      <c r="Q259" s="1579"/>
      <c r="R259" s="1579"/>
      <c r="S259" s="1572">
        <v>549</v>
      </c>
      <c r="T259" s="1573">
        <v>549446</v>
      </c>
      <c r="U259" s="1578" t="s">
        <v>1434</v>
      </c>
      <c r="V259" s="1574">
        <f t="shared" si="137"/>
        <v>2687.0859999999998</v>
      </c>
      <c r="W259" s="1824">
        <v>2687086</v>
      </c>
      <c r="X259" s="1574">
        <f t="shared" si="138"/>
        <v>0</v>
      </c>
      <c r="Y259" s="1550">
        <f t="shared" si="139"/>
        <v>0</v>
      </c>
      <c r="Z259" s="1551">
        <f t="shared" si="140"/>
        <v>2687.0859999999998</v>
      </c>
      <c r="AA259" s="1552"/>
      <c r="AB259" s="1822">
        <v>549</v>
      </c>
      <c r="AC259" s="1822">
        <v>549446</v>
      </c>
      <c r="AD259" s="1824">
        <v>2687086</v>
      </c>
      <c r="AE259" s="1822"/>
      <c r="AF259" s="1839"/>
      <c r="AG259" s="139"/>
    </row>
    <row r="260" spans="1:33" x14ac:dyDescent="0.25">
      <c r="A260" s="1567">
        <f t="shared" si="111"/>
        <v>104</v>
      </c>
      <c r="B260" s="1572">
        <v>549</v>
      </c>
      <c r="C260" s="1573">
        <v>549447</v>
      </c>
      <c r="D260" s="1578" t="s">
        <v>1616</v>
      </c>
      <c r="E260" s="1574">
        <f t="shared" si="136"/>
        <v>0</v>
      </c>
      <c r="F260" s="1575">
        <f t="shared" si="134"/>
        <v>0</v>
      </c>
      <c r="G260" s="1574">
        <f t="shared" si="132"/>
        <v>0</v>
      </c>
      <c r="H260" s="1575">
        <f t="shared" si="135"/>
        <v>0</v>
      </c>
      <c r="I260" s="2423">
        <f t="shared" si="133"/>
        <v>0</v>
      </c>
      <c r="J260" s="1552"/>
      <c r="K260" s="1822"/>
      <c r="L260" s="1822"/>
      <c r="M260" s="1823"/>
      <c r="N260" s="1822"/>
      <c r="O260" s="1839"/>
      <c r="P260" s="1579"/>
      <c r="Q260" s="1579"/>
      <c r="R260" s="1579"/>
      <c r="S260" s="1572">
        <v>549</v>
      </c>
      <c r="T260" s="1573">
        <v>549447</v>
      </c>
      <c r="U260" s="1578" t="s">
        <v>1616</v>
      </c>
      <c r="V260" s="1574">
        <f t="shared" si="137"/>
        <v>0</v>
      </c>
      <c r="W260" s="1823"/>
      <c r="X260" s="1574">
        <f t="shared" si="138"/>
        <v>0</v>
      </c>
      <c r="Y260" s="1550">
        <f t="shared" si="139"/>
        <v>0</v>
      </c>
      <c r="Z260" s="1551">
        <f t="shared" si="140"/>
        <v>0</v>
      </c>
      <c r="AA260" s="1552"/>
      <c r="AB260" s="1822"/>
      <c r="AC260" s="1822"/>
      <c r="AD260" s="1823"/>
      <c r="AE260" s="1822"/>
      <c r="AF260" s="1839"/>
      <c r="AG260" s="139"/>
    </row>
    <row r="261" spans="1:33" x14ac:dyDescent="0.25">
      <c r="A261" s="1567">
        <f t="shared" si="111"/>
        <v>105</v>
      </c>
      <c r="B261" s="1572">
        <v>549</v>
      </c>
      <c r="C261" s="1573">
        <v>549448</v>
      </c>
      <c r="D261" s="1578" t="s">
        <v>1435</v>
      </c>
      <c r="E261" s="1574">
        <f t="shared" si="136"/>
        <v>372</v>
      </c>
      <c r="F261" s="1575">
        <f t="shared" si="134"/>
        <v>372000</v>
      </c>
      <c r="G261" s="1574">
        <f t="shared" si="132"/>
        <v>0</v>
      </c>
      <c r="H261" s="1575">
        <f t="shared" si="135"/>
        <v>0</v>
      </c>
      <c r="I261" s="2423">
        <f t="shared" si="133"/>
        <v>372</v>
      </c>
      <c r="J261" s="1552"/>
      <c r="K261" s="1822">
        <v>549</v>
      </c>
      <c r="L261" s="1822">
        <v>549448</v>
      </c>
      <c r="M261" s="1824">
        <v>372000</v>
      </c>
      <c r="N261" s="1822"/>
      <c r="O261" s="1839"/>
      <c r="P261" s="1579"/>
      <c r="Q261" s="1579"/>
      <c r="R261" s="1579"/>
      <c r="S261" s="1572">
        <v>549</v>
      </c>
      <c r="T261" s="1573">
        <v>549448</v>
      </c>
      <c r="U261" s="1578" t="s">
        <v>1435</v>
      </c>
      <c r="V261" s="1574">
        <f t="shared" si="137"/>
        <v>372</v>
      </c>
      <c r="W261" s="1824">
        <v>372000</v>
      </c>
      <c r="X261" s="1574">
        <f t="shared" si="138"/>
        <v>0</v>
      </c>
      <c r="Y261" s="1550">
        <f t="shared" si="139"/>
        <v>0</v>
      </c>
      <c r="Z261" s="1551">
        <f t="shared" si="140"/>
        <v>372</v>
      </c>
      <c r="AA261" s="1552"/>
      <c r="AB261" s="1822">
        <v>549</v>
      </c>
      <c r="AC261" s="1822">
        <v>549448</v>
      </c>
      <c r="AD261" s="1824">
        <v>372000</v>
      </c>
      <c r="AE261" s="1822"/>
      <c r="AF261" s="1839"/>
      <c r="AG261" s="139"/>
    </row>
    <row r="262" spans="1:33" x14ac:dyDescent="0.25">
      <c r="A262" s="1567">
        <f t="shared" si="111"/>
        <v>106</v>
      </c>
      <c r="B262" s="1572">
        <v>549</v>
      </c>
      <c r="C262" s="1573">
        <v>549449</v>
      </c>
      <c r="D262" s="1578" t="s">
        <v>1436</v>
      </c>
      <c r="E262" s="1574">
        <f t="shared" si="136"/>
        <v>520.80915000000005</v>
      </c>
      <c r="F262" s="1575">
        <f t="shared" si="134"/>
        <v>520809.15</v>
      </c>
      <c r="G262" s="1574">
        <f t="shared" si="132"/>
        <v>0</v>
      </c>
      <c r="H262" s="1575">
        <f t="shared" si="135"/>
        <v>0</v>
      </c>
      <c r="I262" s="2423">
        <f t="shared" si="133"/>
        <v>520.80915000000005</v>
      </c>
      <c r="J262" s="1552"/>
      <c r="K262" s="1822">
        <v>549</v>
      </c>
      <c r="L262" s="1822">
        <v>549449</v>
      </c>
      <c r="M262" s="1824">
        <v>520809.15</v>
      </c>
      <c r="N262" s="1822"/>
      <c r="O262" s="1839"/>
      <c r="P262" s="1579"/>
      <c r="Q262" s="1579"/>
      <c r="R262" s="1579"/>
      <c r="S262" s="1572">
        <v>549</v>
      </c>
      <c r="T262" s="1573">
        <v>549449</v>
      </c>
      <c r="U262" s="1578" t="s">
        <v>1436</v>
      </c>
      <c r="V262" s="1574">
        <f t="shared" si="137"/>
        <v>520.80915000000005</v>
      </c>
      <c r="W262" s="1824">
        <v>520809.15</v>
      </c>
      <c r="X262" s="1574">
        <f t="shared" si="138"/>
        <v>0</v>
      </c>
      <c r="Y262" s="1550">
        <f t="shared" si="139"/>
        <v>0</v>
      </c>
      <c r="Z262" s="1551">
        <f t="shared" si="140"/>
        <v>520.80915000000005</v>
      </c>
      <c r="AA262" s="1552"/>
      <c r="AB262" s="1822">
        <v>549</v>
      </c>
      <c r="AC262" s="1822">
        <v>549449</v>
      </c>
      <c r="AD262" s="1824">
        <v>520809.15</v>
      </c>
      <c r="AE262" s="1822"/>
      <c r="AF262" s="1839"/>
      <c r="AG262" s="139"/>
    </row>
    <row r="263" spans="1:33" x14ac:dyDescent="0.25">
      <c r="A263" s="1567">
        <f t="shared" si="111"/>
        <v>107</v>
      </c>
      <c r="B263" s="1572">
        <v>549</v>
      </c>
      <c r="C263" s="1573">
        <v>549490</v>
      </c>
      <c r="D263" s="1578" t="s">
        <v>1617</v>
      </c>
      <c r="E263" s="1574">
        <f t="shared" si="136"/>
        <v>0</v>
      </c>
      <c r="F263" s="1575">
        <f t="shared" si="134"/>
        <v>0</v>
      </c>
      <c r="G263" s="1574">
        <f t="shared" si="132"/>
        <v>0</v>
      </c>
      <c r="H263" s="1575">
        <f t="shared" si="135"/>
        <v>0</v>
      </c>
      <c r="I263" s="2423">
        <f t="shared" si="133"/>
        <v>0</v>
      </c>
      <c r="J263" s="1552"/>
      <c r="K263" s="1822"/>
      <c r="L263" s="1822"/>
      <c r="M263" s="1823"/>
      <c r="N263" s="1822"/>
      <c r="O263" s="1839"/>
      <c r="P263" s="1579"/>
      <c r="Q263" s="1579"/>
      <c r="R263" s="1579"/>
      <c r="S263" s="1572">
        <v>549</v>
      </c>
      <c r="T263" s="1573">
        <v>549490</v>
      </c>
      <c r="U263" s="1578" t="s">
        <v>1617</v>
      </c>
      <c r="V263" s="1574">
        <f t="shared" si="137"/>
        <v>0</v>
      </c>
      <c r="W263" s="1823"/>
      <c r="X263" s="1574">
        <f t="shared" si="138"/>
        <v>0</v>
      </c>
      <c r="Y263" s="1550">
        <f t="shared" si="139"/>
        <v>0</v>
      </c>
      <c r="Z263" s="1551">
        <f t="shared" si="140"/>
        <v>0</v>
      </c>
      <c r="AA263" s="1552"/>
      <c r="AB263" s="1822"/>
      <c r="AC263" s="1822"/>
      <c r="AD263" s="1823"/>
      <c r="AE263" s="1822"/>
      <c r="AF263" s="1839"/>
      <c r="AG263" s="139"/>
    </row>
    <row r="264" spans="1:33" x14ac:dyDescent="0.25">
      <c r="A264" s="1567">
        <f t="shared" si="111"/>
        <v>108</v>
      </c>
      <c r="B264" s="1572">
        <v>549</v>
      </c>
      <c r="C264" s="1573">
        <v>549492</v>
      </c>
      <c r="D264" s="1578" t="s">
        <v>1437</v>
      </c>
      <c r="E264" s="1574">
        <f t="shared" si="136"/>
        <v>1574.60419</v>
      </c>
      <c r="F264" s="1575">
        <f t="shared" si="134"/>
        <v>1574604.19</v>
      </c>
      <c r="G264" s="1574">
        <f t="shared" si="132"/>
        <v>0</v>
      </c>
      <c r="H264" s="1575">
        <f t="shared" si="135"/>
        <v>0</v>
      </c>
      <c r="I264" s="2423">
        <f t="shared" si="133"/>
        <v>1574.60419</v>
      </c>
      <c r="J264" s="1552"/>
      <c r="K264" s="1822">
        <v>549</v>
      </c>
      <c r="L264" s="1822">
        <v>549492</v>
      </c>
      <c r="M264" s="1824">
        <v>1574604.19</v>
      </c>
      <c r="N264" s="1822"/>
      <c r="O264" s="1839"/>
      <c r="P264" s="1579"/>
      <c r="Q264" s="1579"/>
      <c r="R264" s="1579"/>
      <c r="S264" s="1572">
        <v>549</v>
      </c>
      <c r="T264" s="1573">
        <v>549492</v>
      </c>
      <c r="U264" s="1578" t="s">
        <v>1437</v>
      </c>
      <c r="V264" s="1574">
        <f t="shared" si="137"/>
        <v>1574.60419</v>
      </c>
      <c r="W264" s="1824">
        <v>1574604.19</v>
      </c>
      <c r="X264" s="1574">
        <f t="shared" si="138"/>
        <v>0</v>
      </c>
      <c r="Y264" s="1550">
        <f t="shared" si="139"/>
        <v>0</v>
      </c>
      <c r="Z264" s="1551">
        <f t="shared" si="140"/>
        <v>1574.60419</v>
      </c>
      <c r="AA264" s="1552"/>
      <c r="AB264" s="1822">
        <v>549</v>
      </c>
      <c r="AC264" s="1822">
        <v>549492</v>
      </c>
      <c r="AD264" s="1824">
        <v>1574604.19</v>
      </c>
      <c r="AE264" s="1822"/>
      <c r="AF264" s="1839"/>
      <c r="AG264" s="139"/>
    </row>
    <row r="265" spans="1:33" x14ac:dyDescent="0.25">
      <c r="A265" s="1567">
        <f t="shared" si="111"/>
        <v>109</v>
      </c>
      <c r="B265" s="1572">
        <v>549</v>
      </c>
      <c r="C265" s="1573">
        <v>549493</v>
      </c>
      <c r="D265" s="1578" t="s">
        <v>1442</v>
      </c>
      <c r="E265" s="1574">
        <f t="shared" si="136"/>
        <v>3162.3151600000001</v>
      </c>
      <c r="F265" s="1575">
        <f t="shared" si="134"/>
        <v>3162315.16</v>
      </c>
      <c r="G265" s="1574">
        <f t="shared" si="132"/>
        <v>0</v>
      </c>
      <c r="H265" s="1575">
        <f t="shared" si="135"/>
        <v>0</v>
      </c>
      <c r="I265" s="2423">
        <f t="shared" si="133"/>
        <v>3162.3151600000001</v>
      </c>
      <c r="J265" s="1552"/>
      <c r="K265" s="1822">
        <v>549</v>
      </c>
      <c r="L265" s="1822">
        <v>549493</v>
      </c>
      <c r="M265" s="1824">
        <v>3162315.16</v>
      </c>
      <c r="N265" s="1822"/>
      <c r="O265" s="1839"/>
      <c r="P265" s="1579"/>
      <c r="Q265" s="1579"/>
      <c r="R265" s="1579"/>
      <c r="S265" s="1572">
        <v>549</v>
      </c>
      <c r="T265" s="1573">
        <v>549493</v>
      </c>
      <c r="U265" s="1578" t="s">
        <v>1442</v>
      </c>
      <c r="V265" s="1574">
        <f t="shared" si="137"/>
        <v>3162.3151600000001</v>
      </c>
      <c r="W265" s="1824">
        <v>3162315.16</v>
      </c>
      <c r="X265" s="1574">
        <f t="shared" si="138"/>
        <v>0</v>
      </c>
      <c r="Y265" s="1550">
        <f t="shared" si="139"/>
        <v>0</v>
      </c>
      <c r="Z265" s="1551">
        <f t="shared" si="140"/>
        <v>3162.3151600000001</v>
      </c>
      <c r="AA265" s="1552"/>
      <c r="AB265" s="1822">
        <v>549</v>
      </c>
      <c r="AC265" s="1822">
        <v>549493</v>
      </c>
      <c r="AD265" s="1824">
        <v>3162315.16</v>
      </c>
      <c r="AE265" s="1822"/>
      <c r="AF265" s="1839"/>
      <c r="AG265" s="139"/>
    </row>
    <row r="266" spans="1:33" x14ac:dyDescent="0.25">
      <c r="A266" s="1567">
        <f t="shared" si="111"/>
        <v>110</v>
      </c>
      <c r="B266" s="1572">
        <v>549</v>
      </c>
      <c r="C266" s="1573">
        <v>549494</v>
      </c>
      <c r="D266" s="1578" t="s">
        <v>1446</v>
      </c>
      <c r="E266" s="1574">
        <f t="shared" si="136"/>
        <v>29.16</v>
      </c>
      <c r="F266" s="1575">
        <f t="shared" si="134"/>
        <v>29160</v>
      </c>
      <c r="G266" s="1574">
        <f t="shared" si="132"/>
        <v>0</v>
      </c>
      <c r="H266" s="1575">
        <f t="shared" si="135"/>
        <v>0</v>
      </c>
      <c r="I266" s="2423">
        <f t="shared" si="133"/>
        <v>29.16</v>
      </c>
      <c r="J266" s="1552"/>
      <c r="K266" s="1822">
        <v>549</v>
      </c>
      <c r="L266" s="1822">
        <v>549494</v>
      </c>
      <c r="M266" s="1824">
        <v>29160</v>
      </c>
      <c r="N266" s="1822"/>
      <c r="O266" s="1839"/>
      <c r="P266" s="1579"/>
      <c r="Q266" s="1579"/>
      <c r="R266" s="1579"/>
      <c r="S266" s="1572">
        <v>549</v>
      </c>
      <c r="T266" s="1573">
        <v>549494</v>
      </c>
      <c r="U266" s="1578" t="s">
        <v>1446</v>
      </c>
      <c r="V266" s="1574">
        <f t="shared" si="137"/>
        <v>29.16</v>
      </c>
      <c r="W266" s="1824">
        <v>29160</v>
      </c>
      <c r="X266" s="1574">
        <f t="shared" si="138"/>
        <v>0</v>
      </c>
      <c r="Y266" s="1550">
        <f t="shared" si="139"/>
        <v>0</v>
      </c>
      <c r="Z266" s="1551">
        <f t="shared" si="140"/>
        <v>29.16</v>
      </c>
      <c r="AA266" s="1552"/>
      <c r="AB266" s="1822">
        <v>549</v>
      </c>
      <c r="AC266" s="1822">
        <v>549494</v>
      </c>
      <c r="AD266" s="1824">
        <v>29160</v>
      </c>
      <c r="AE266" s="1822"/>
      <c r="AF266" s="1839"/>
      <c r="AG266" s="139"/>
    </row>
    <row r="267" spans="1:33" x14ac:dyDescent="0.25">
      <c r="A267" s="1567">
        <f t="shared" si="111"/>
        <v>111</v>
      </c>
      <c r="B267" s="1572">
        <v>549</v>
      </c>
      <c r="C267" s="1573">
        <v>549495</v>
      </c>
      <c r="D267" s="1578" t="s">
        <v>1447</v>
      </c>
      <c r="E267" s="1574">
        <f t="shared" si="136"/>
        <v>3689.2879700000003</v>
      </c>
      <c r="F267" s="1575">
        <f t="shared" si="134"/>
        <v>3689287.97</v>
      </c>
      <c r="G267" s="1574">
        <f t="shared" si="132"/>
        <v>0</v>
      </c>
      <c r="H267" s="1575">
        <f t="shared" si="135"/>
        <v>0</v>
      </c>
      <c r="I267" s="2423">
        <f t="shared" si="133"/>
        <v>3689.2879700000003</v>
      </c>
      <c r="J267" s="1552"/>
      <c r="K267" s="1822">
        <v>549</v>
      </c>
      <c r="L267" s="1822">
        <v>549495</v>
      </c>
      <c r="M267" s="1824">
        <v>3689287.97</v>
      </c>
      <c r="N267" s="1816"/>
      <c r="O267" s="1840"/>
      <c r="P267" s="1579"/>
      <c r="Q267" s="1579"/>
      <c r="R267" s="1579"/>
      <c r="S267" s="1572">
        <v>549</v>
      </c>
      <c r="T267" s="1573">
        <v>549495</v>
      </c>
      <c r="U267" s="1578" t="s">
        <v>1447</v>
      </c>
      <c r="V267" s="1574">
        <f t="shared" si="137"/>
        <v>3689.2879700000003</v>
      </c>
      <c r="W267" s="1824">
        <v>3689287.97</v>
      </c>
      <c r="X267" s="1574">
        <f t="shared" si="138"/>
        <v>0</v>
      </c>
      <c r="Y267" s="1550">
        <f t="shared" si="139"/>
        <v>0</v>
      </c>
      <c r="Z267" s="1551">
        <f t="shared" si="140"/>
        <v>3689.2879700000003</v>
      </c>
      <c r="AA267" s="1552"/>
      <c r="AB267" s="1822">
        <v>549</v>
      </c>
      <c r="AC267" s="1822">
        <v>549495</v>
      </c>
      <c r="AD267" s="1824">
        <v>3689287.97</v>
      </c>
      <c r="AE267" s="1816"/>
      <c r="AF267" s="1840"/>
      <c r="AG267" s="139"/>
    </row>
    <row r="268" spans="1:33" x14ac:dyDescent="0.25">
      <c r="A268" s="1567">
        <f t="shared" si="111"/>
        <v>112</v>
      </c>
      <c r="B268" s="1572">
        <v>549</v>
      </c>
      <c r="C268" s="1573">
        <v>549496</v>
      </c>
      <c r="D268" s="1578" t="s">
        <v>1451</v>
      </c>
      <c r="E268" s="1574">
        <f t="shared" si="136"/>
        <v>581</v>
      </c>
      <c r="F268" s="1575">
        <f t="shared" si="134"/>
        <v>581000</v>
      </c>
      <c r="G268" s="1574">
        <f t="shared" si="132"/>
        <v>0</v>
      </c>
      <c r="H268" s="1575">
        <f t="shared" si="135"/>
        <v>0</v>
      </c>
      <c r="I268" s="2423">
        <f t="shared" si="133"/>
        <v>581</v>
      </c>
      <c r="J268" s="1552"/>
      <c r="K268" s="1822">
        <v>549</v>
      </c>
      <c r="L268" s="1822">
        <v>549496</v>
      </c>
      <c r="M268" s="1824">
        <v>581000</v>
      </c>
      <c r="N268" s="1816"/>
      <c r="O268" s="1840"/>
      <c r="P268" s="1579"/>
      <c r="Q268" s="1579"/>
      <c r="R268" s="1579"/>
      <c r="S268" s="1572">
        <v>549</v>
      </c>
      <c r="T268" s="1573">
        <v>549496</v>
      </c>
      <c r="U268" s="1578" t="s">
        <v>1451</v>
      </c>
      <c r="V268" s="1574">
        <f t="shared" si="137"/>
        <v>581</v>
      </c>
      <c r="W268" s="1824">
        <v>581000</v>
      </c>
      <c r="X268" s="1574">
        <f t="shared" si="138"/>
        <v>0</v>
      </c>
      <c r="Y268" s="1550">
        <f t="shared" si="139"/>
        <v>0</v>
      </c>
      <c r="Z268" s="1551">
        <f t="shared" si="140"/>
        <v>581</v>
      </c>
      <c r="AA268" s="1552"/>
      <c r="AB268" s="1822">
        <v>549</v>
      </c>
      <c r="AC268" s="1822">
        <v>549496</v>
      </c>
      <c r="AD268" s="1824">
        <v>581000</v>
      </c>
      <c r="AE268" s="1816"/>
      <c r="AF268" s="1840"/>
      <c r="AG268" s="139"/>
    </row>
    <row r="269" spans="1:33" x14ac:dyDescent="0.25">
      <c r="A269" s="1567">
        <f t="shared" si="111"/>
        <v>113</v>
      </c>
      <c r="B269" s="1572">
        <v>549</v>
      </c>
      <c r="C269" s="1573">
        <v>549497</v>
      </c>
      <c r="D269" s="1578" t="s">
        <v>1452</v>
      </c>
      <c r="E269" s="1574">
        <f t="shared" si="136"/>
        <v>4995</v>
      </c>
      <c r="F269" s="1575">
        <f t="shared" si="134"/>
        <v>4995000</v>
      </c>
      <c r="G269" s="1574">
        <f t="shared" si="132"/>
        <v>0</v>
      </c>
      <c r="H269" s="1575">
        <f t="shared" si="135"/>
        <v>0</v>
      </c>
      <c r="I269" s="2423">
        <f t="shared" si="133"/>
        <v>4995</v>
      </c>
      <c r="J269" s="1552"/>
      <c r="K269" s="1822">
        <v>549</v>
      </c>
      <c r="L269" s="1822">
        <v>549497</v>
      </c>
      <c r="M269" s="1824">
        <v>4995000</v>
      </c>
      <c r="N269" s="1816"/>
      <c r="O269" s="1840"/>
      <c r="P269" s="1579"/>
      <c r="Q269" s="1579"/>
      <c r="R269" s="1579"/>
      <c r="S269" s="1572">
        <v>549</v>
      </c>
      <c r="T269" s="1573">
        <v>549497</v>
      </c>
      <c r="U269" s="1578" t="s">
        <v>1452</v>
      </c>
      <c r="V269" s="1574">
        <f t="shared" si="137"/>
        <v>4995</v>
      </c>
      <c r="W269" s="1824">
        <v>4995000</v>
      </c>
      <c r="X269" s="1574">
        <f t="shared" si="138"/>
        <v>0</v>
      </c>
      <c r="Y269" s="1550">
        <f t="shared" si="139"/>
        <v>0</v>
      </c>
      <c r="Z269" s="1551">
        <f t="shared" si="140"/>
        <v>4995</v>
      </c>
      <c r="AA269" s="1552"/>
      <c r="AB269" s="1822">
        <v>549</v>
      </c>
      <c r="AC269" s="1822">
        <v>549497</v>
      </c>
      <c r="AD269" s="1824">
        <v>4995000</v>
      </c>
      <c r="AE269" s="1816"/>
      <c r="AF269" s="1840"/>
      <c r="AG269" s="139"/>
    </row>
    <row r="270" spans="1:33" x14ac:dyDescent="0.25">
      <c r="A270" s="1567">
        <f t="shared" si="111"/>
        <v>114</v>
      </c>
      <c r="B270" s="1572">
        <v>549</v>
      </c>
      <c r="C270" s="1573">
        <v>549498</v>
      </c>
      <c r="D270" s="1578" t="s">
        <v>1453</v>
      </c>
      <c r="E270" s="1574">
        <f t="shared" si="136"/>
        <v>6722.7277400000003</v>
      </c>
      <c r="F270" s="1575">
        <f t="shared" si="134"/>
        <v>6722727.7400000002</v>
      </c>
      <c r="G270" s="1574">
        <f t="shared" si="132"/>
        <v>0</v>
      </c>
      <c r="H270" s="1575">
        <f t="shared" si="135"/>
        <v>0</v>
      </c>
      <c r="I270" s="2423">
        <f t="shared" si="133"/>
        <v>6722.7277400000003</v>
      </c>
      <c r="J270" s="1552"/>
      <c r="K270" s="1822">
        <v>549</v>
      </c>
      <c r="L270" s="1822">
        <v>549498</v>
      </c>
      <c r="M270" s="1824">
        <v>6722727.7400000002</v>
      </c>
      <c r="N270" s="1816"/>
      <c r="O270" s="1840"/>
      <c r="P270" s="1579"/>
      <c r="Q270" s="1579"/>
      <c r="R270" s="1579"/>
      <c r="S270" s="1572">
        <v>549</v>
      </c>
      <c r="T270" s="1573">
        <v>549498</v>
      </c>
      <c r="U270" s="1578" t="s">
        <v>1453</v>
      </c>
      <c r="V270" s="1574">
        <f t="shared" si="137"/>
        <v>6722.7277400000003</v>
      </c>
      <c r="W270" s="1824">
        <v>6722727.7400000002</v>
      </c>
      <c r="X270" s="1574">
        <f t="shared" si="138"/>
        <v>0</v>
      </c>
      <c r="Y270" s="1550">
        <f t="shared" si="139"/>
        <v>0</v>
      </c>
      <c r="Z270" s="1551">
        <f t="shared" si="140"/>
        <v>6722.7277400000003</v>
      </c>
      <c r="AA270" s="1552"/>
      <c r="AB270" s="1822">
        <v>549</v>
      </c>
      <c r="AC270" s="1822">
        <v>549498</v>
      </c>
      <c r="AD270" s="1824">
        <v>6722727.7400000002</v>
      </c>
      <c r="AE270" s="1816"/>
      <c r="AF270" s="1840"/>
      <c r="AG270" s="139"/>
    </row>
    <row r="271" spans="1:33" x14ac:dyDescent="0.25">
      <c r="A271" s="1567">
        <f t="shared" si="111"/>
        <v>115</v>
      </c>
      <c r="B271" s="1572">
        <v>549</v>
      </c>
      <c r="C271" s="1573">
        <v>549499</v>
      </c>
      <c r="D271" s="1578" t="s">
        <v>1454</v>
      </c>
      <c r="E271" s="1574">
        <f t="shared" si="136"/>
        <v>4346.0687600000001</v>
      </c>
      <c r="F271" s="1575">
        <f t="shared" si="134"/>
        <v>4346068.76</v>
      </c>
      <c r="G271" s="1574">
        <f t="shared" si="132"/>
        <v>0</v>
      </c>
      <c r="H271" s="1575">
        <f t="shared" si="135"/>
        <v>0</v>
      </c>
      <c r="I271" s="2423">
        <f t="shared" si="133"/>
        <v>4346.0687600000001</v>
      </c>
      <c r="J271" s="1552"/>
      <c r="K271" s="1822">
        <v>549</v>
      </c>
      <c r="L271" s="1822">
        <v>549499</v>
      </c>
      <c r="M271" s="1824">
        <v>4346068.76</v>
      </c>
      <c r="N271" s="1816"/>
      <c r="O271" s="1840"/>
      <c r="P271" s="1579"/>
      <c r="Q271" s="1579"/>
      <c r="R271" s="1579"/>
      <c r="S271" s="1572">
        <v>549</v>
      </c>
      <c r="T271" s="1573">
        <v>549499</v>
      </c>
      <c r="U271" s="1578" t="s">
        <v>1454</v>
      </c>
      <c r="V271" s="1574">
        <f t="shared" si="137"/>
        <v>4346.0687600000001</v>
      </c>
      <c r="W271" s="1824">
        <v>4346068.76</v>
      </c>
      <c r="X271" s="1574">
        <f t="shared" si="138"/>
        <v>0</v>
      </c>
      <c r="Y271" s="1550">
        <f t="shared" si="139"/>
        <v>0</v>
      </c>
      <c r="Z271" s="1551">
        <f t="shared" si="140"/>
        <v>4346.0687600000001</v>
      </c>
      <c r="AA271" s="1552"/>
      <c r="AB271" s="1822">
        <v>549</v>
      </c>
      <c r="AC271" s="1822">
        <v>549499</v>
      </c>
      <c r="AD271" s="1824">
        <v>4346068.76</v>
      </c>
      <c r="AE271" s="1816"/>
      <c r="AF271" s="1840"/>
      <c r="AG271" s="139"/>
    </row>
    <row r="272" spans="1:33" x14ac:dyDescent="0.25">
      <c r="A272" s="1567">
        <f t="shared" si="111"/>
        <v>116</v>
      </c>
      <c r="B272" s="1572">
        <v>549</v>
      </c>
      <c r="C272" s="1573">
        <v>5495</v>
      </c>
      <c r="D272" s="1573" t="s">
        <v>1618</v>
      </c>
      <c r="E272" s="1574">
        <f t="shared" si="136"/>
        <v>307.85897999999997</v>
      </c>
      <c r="F272" s="1575">
        <f t="shared" si="134"/>
        <v>307858.98</v>
      </c>
      <c r="G272" s="1574">
        <f t="shared" si="132"/>
        <v>55.964199999999998</v>
      </c>
      <c r="H272" s="1575">
        <f t="shared" si="135"/>
        <v>55964.2</v>
      </c>
      <c r="I272" s="1551">
        <f t="shared" si="133"/>
        <v>363.82317999999998</v>
      </c>
      <c r="J272" s="1552"/>
      <c r="K272" s="1822">
        <v>549</v>
      </c>
      <c r="L272" s="1822">
        <v>5495</v>
      </c>
      <c r="M272" s="1824">
        <v>307858.98</v>
      </c>
      <c r="N272" s="1822">
        <v>5495</v>
      </c>
      <c r="O272" s="1839">
        <v>55964.2</v>
      </c>
      <c r="P272" s="1819"/>
      <c r="Q272" s="1819"/>
      <c r="R272" s="1819"/>
      <c r="S272" s="1820"/>
      <c r="T272" s="1821"/>
      <c r="U272" s="1819"/>
      <c r="V272" s="1844">
        <f t="shared" si="137"/>
        <v>28990.058969999998</v>
      </c>
      <c r="W272" s="1843">
        <f>SUM(W258:W271)</f>
        <v>28990058.969999999</v>
      </c>
      <c r="X272" s="1227"/>
      <c r="Y272" s="1227"/>
      <c r="Z272" s="1227"/>
      <c r="AA272" s="139"/>
      <c r="AB272" s="139"/>
      <c r="AC272" s="139"/>
      <c r="AD272" s="829">
        <f>SUM(AD258:AD271)</f>
        <v>28990058.969999999</v>
      </c>
      <c r="AE272" s="139"/>
      <c r="AF272" s="139"/>
      <c r="AG272" s="139"/>
    </row>
    <row r="273" spans="1:33" x14ac:dyDescent="0.25">
      <c r="A273" s="1567">
        <f t="shared" si="111"/>
        <v>117</v>
      </c>
      <c r="B273" s="1572">
        <v>549</v>
      </c>
      <c r="C273" s="1573">
        <v>54964</v>
      </c>
      <c r="D273" s="1573" t="s">
        <v>1619</v>
      </c>
      <c r="E273" s="1574">
        <f t="shared" si="136"/>
        <v>0</v>
      </c>
      <c r="F273" s="1575">
        <f t="shared" si="134"/>
        <v>0</v>
      </c>
      <c r="G273" s="1574">
        <f t="shared" si="132"/>
        <v>0</v>
      </c>
      <c r="H273" s="1575">
        <f t="shared" si="135"/>
        <v>0</v>
      </c>
      <c r="I273" s="1551">
        <f t="shared" si="133"/>
        <v>0</v>
      </c>
      <c r="J273" s="1552"/>
      <c r="K273" s="1822"/>
      <c r="L273" s="1822"/>
      <c r="M273" s="1824"/>
      <c r="N273" s="1822"/>
      <c r="O273" s="1839"/>
      <c r="P273" s="1819"/>
      <c r="Q273" s="1819"/>
      <c r="R273" s="1819"/>
      <c r="S273" s="1819"/>
      <c r="T273" s="1821"/>
      <c r="U273" s="1819"/>
      <c r="V273" s="1819"/>
      <c r="W273" s="1819"/>
      <c r="X273" s="1227"/>
      <c r="Y273" s="1227"/>
      <c r="Z273" s="1227"/>
      <c r="AA273" s="139"/>
      <c r="AB273" s="139"/>
      <c r="AC273" s="139"/>
      <c r="AD273" s="139"/>
      <c r="AE273" s="139"/>
      <c r="AF273" s="139"/>
      <c r="AG273" s="139"/>
    </row>
    <row r="274" spans="1:33" x14ac:dyDescent="0.25">
      <c r="A274" s="1567">
        <f t="shared" si="111"/>
        <v>118</v>
      </c>
      <c r="B274" s="1572">
        <v>549</v>
      </c>
      <c r="C274" s="1573">
        <v>549641</v>
      </c>
      <c r="D274" s="1578" t="s">
        <v>1620</v>
      </c>
      <c r="E274" s="1574">
        <f t="shared" si="136"/>
        <v>-829.71483999999998</v>
      </c>
      <c r="F274" s="1575">
        <f t="shared" si="134"/>
        <v>-829714.84</v>
      </c>
      <c r="G274" s="1574">
        <f t="shared" si="132"/>
        <v>829.71483999999998</v>
      </c>
      <c r="H274" s="1575">
        <f t="shared" si="135"/>
        <v>829714.84</v>
      </c>
      <c r="I274" s="1551">
        <f t="shared" si="133"/>
        <v>0</v>
      </c>
      <c r="J274" s="1552"/>
      <c r="K274" s="1822">
        <v>549</v>
      </c>
      <c r="L274" s="1822">
        <v>549641</v>
      </c>
      <c r="M274" s="1824">
        <v>-829714.84</v>
      </c>
      <c r="N274" s="1822">
        <v>549641</v>
      </c>
      <c r="O274" s="1839">
        <v>829714.84</v>
      </c>
      <c r="P274" s="1227"/>
      <c r="Q274" s="1227"/>
      <c r="R274" s="1227"/>
      <c r="S274" s="1227"/>
      <c r="T274" s="139"/>
      <c r="U274" s="1227"/>
      <c r="V274" s="1227"/>
      <c r="W274" s="1227"/>
      <c r="X274" s="1227"/>
      <c r="Y274" s="1227"/>
      <c r="Z274" s="1227"/>
      <c r="AA274" s="139"/>
      <c r="AB274" s="139"/>
      <c r="AC274" s="139"/>
      <c r="AD274" s="139"/>
      <c r="AE274" s="139"/>
      <c r="AF274" s="139"/>
      <c r="AG274" s="139"/>
    </row>
    <row r="275" spans="1:33" x14ac:dyDescent="0.25">
      <c r="A275" s="1567">
        <f t="shared" si="111"/>
        <v>119</v>
      </c>
      <c r="B275" s="1572">
        <v>549</v>
      </c>
      <c r="C275" s="1573">
        <v>549642</v>
      </c>
      <c r="D275" s="1578" t="s">
        <v>1621</v>
      </c>
      <c r="E275" s="1574">
        <f t="shared" si="136"/>
        <v>-190.88434000000001</v>
      </c>
      <c r="F275" s="1575">
        <f t="shared" si="134"/>
        <v>-190884.34</v>
      </c>
      <c r="G275" s="1574">
        <f t="shared" si="132"/>
        <v>190.88434000000001</v>
      </c>
      <c r="H275" s="1575">
        <f t="shared" si="135"/>
        <v>190884.34</v>
      </c>
      <c r="I275" s="1551">
        <f t="shared" si="133"/>
        <v>0</v>
      </c>
      <c r="J275" s="1552"/>
      <c r="K275" s="1822">
        <v>549</v>
      </c>
      <c r="L275" s="1822">
        <v>549642</v>
      </c>
      <c r="M275" s="1824">
        <v>-190884.34</v>
      </c>
      <c r="N275" s="1822">
        <v>549642</v>
      </c>
      <c r="O275" s="1839">
        <v>190884.34</v>
      </c>
      <c r="P275" s="1227"/>
      <c r="Q275" s="1227"/>
      <c r="R275" s="1227"/>
      <c r="S275" s="1227"/>
      <c r="T275" s="139"/>
      <c r="U275" s="1227"/>
      <c r="V275" s="1227"/>
      <c r="W275" s="1227"/>
      <c r="X275" s="1227"/>
      <c r="Y275" s="1227"/>
      <c r="Z275" s="1227"/>
      <c r="AA275" s="139"/>
      <c r="AB275" s="139"/>
      <c r="AC275" s="139"/>
      <c r="AD275" s="139"/>
      <c r="AE275" s="139"/>
      <c r="AF275" s="139"/>
      <c r="AG275" s="139"/>
    </row>
    <row r="276" spans="1:33" x14ac:dyDescent="0.25">
      <c r="A276" s="1567">
        <f t="shared" si="111"/>
        <v>120</v>
      </c>
      <c r="B276" s="1572">
        <v>549</v>
      </c>
      <c r="C276" s="1573">
        <v>549644</v>
      </c>
      <c r="D276" s="1578" t="s">
        <v>1622</v>
      </c>
      <c r="E276" s="1574">
        <f t="shared" si="136"/>
        <v>-104.50836</v>
      </c>
      <c r="F276" s="1575">
        <f t="shared" si="134"/>
        <v>-104508.36</v>
      </c>
      <c r="G276" s="1574">
        <f t="shared" si="132"/>
        <v>104.50836</v>
      </c>
      <c r="H276" s="1575">
        <f t="shared" si="135"/>
        <v>104508.36</v>
      </c>
      <c r="I276" s="1551">
        <f t="shared" si="133"/>
        <v>0</v>
      </c>
      <c r="J276" s="1552"/>
      <c r="K276" s="1822">
        <v>549</v>
      </c>
      <c r="L276" s="1822">
        <v>549644</v>
      </c>
      <c r="M276" s="1824">
        <v>-104508.36</v>
      </c>
      <c r="N276" s="1822">
        <v>549644</v>
      </c>
      <c r="O276" s="1839">
        <v>104508.36</v>
      </c>
      <c r="P276" s="1227"/>
      <c r="Q276" s="1227"/>
      <c r="R276" s="1227"/>
      <c r="S276" s="1227"/>
      <c r="T276" s="139"/>
      <c r="U276" s="1227"/>
      <c r="V276" s="1227"/>
      <c r="W276" s="1227"/>
      <c r="X276" s="1227"/>
      <c r="Y276" s="1227"/>
      <c r="Z276" s="1227"/>
      <c r="AA276" s="139"/>
      <c r="AB276" s="139"/>
      <c r="AC276" s="139"/>
      <c r="AD276" s="139"/>
      <c r="AE276" s="139"/>
      <c r="AF276" s="139"/>
      <c r="AG276" s="139"/>
    </row>
    <row r="277" spans="1:33" x14ac:dyDescent="0.25">
      <c r="A277" s="1567">
        <f t="shared" si="111"/>
        <v>121</v>
      </c>
      <c r="B277" s="1572">
        <v>549</v>
      </c>
      <c r="C277" s="1573">
        <v>549647</v>
      </c>
      <c r="D277" s="1578" t="s">
        <v>1623</v>
      </c>
      <c r="E277" s="1574">
        <f t="shared" si="136"/>
        <v>-1884.80628</v>
      </c>
      <c r="F277" s="1575">
        <f t="shared" si="134"/>
        <v>-1884806.28</v>
      </c>
      <c r="G277" s="1574">
        <f t="shared" si="132"/>
        <v>1884.80628</v>
      </c>
      <c r="H277" s="1575">
        <f t="shared" si="135"/>
        <v>1884806.28</v>
      </c>
      <c r="I277" s="1551">
        <f t="shared" si="133"/>
        <v>0</v>
      </c>
      <c r="J277" s="1552"/>
      <c r="K277" s="1822">
        <v>549</v>
      </c>
      <c r="L277" s="1822">
        <v>549647</v>
      </c>
      <c r="M277" s="1824">
        <v>-1884806.28</v>
      </c>
      <c r="N277" s="1822">
        <v>549647</v>
      </c>
      <c r="O277" s="1839">
        <v>1884806.28</v>
      </c>
      <c r="P277" s="1227"/>
      <c r="Q277" s="1227"/>
      <c r="R277" s="1227"/>
      <c r="S277" s="1227"/>
      <c r="T277" s="139"/>
      <c r="U277" s="1227"/>
      <c r="V277" s="1227"/>
      <c r="W277" s="1227"/>
      <c r="X277" s="1227"/>
      <c r="Y277" s="1227"/>
      <c r="Z277" s="1227"/>
      <c r="AA277" s="139"/>
      <c r="AB277" s="139"/>
      <c r="AC277" s="139"/>
      <c r="AD277" s="139"/>
      <c r="AE277" s="139"/>
      <c r="AF277" s="139"/>
      <c r="AG277" s="139"/>
    </row>
    <row r="278" spans="1:33" x14ac:dyDescent="0.25">
      <c r="A278" s="1567">
        <f t="shared" si="111"/>
        <v>122</v>
      </c>
      <c r="B278" s="1572">
        <v>549</v>
      </c>
      <c r="C278" s="1573">
        <v>5497</v>
      </c>
      <c r="D278" s="1573" t="s">
        <v>1624</v>
      </c>
      <c r="E278" s="1574">
        <f t="shared" si="136"/>
        <v>399.72701000000001</v>
      </c>
      <c r="F278" s="1575">
        <f t="shared" si="134"/>
        <v>399727.01</v>
      </c>
      <c r="G278" s="1574">
        <f t="shared" si="132"/>
        <v>175.50557999999998</v>
      </c>
      <c r="H278" s="1575">
        <f t="shared" si="135"/>
        <v>175505.58</v>
      </c>
      <c r="I278" s="1551">
        <f t="shared" si="133"/>
        <v>575.23258999999996</v>
      </c>
      <c r="J278" s="1552"/>
      <c r="K278" s="1822">
        <v>549</v>
      </c>
      <c r="L278" s="1822">
        <v>5497</v>
      </c>
      <c r="M278" s="1824">
        <v>399727.01</v>
      </c>
      <c r="N278" s="1822">
        <v>5497</v>
      </c>
      <c r="O278" s="1839">
        <v>175505.58</v>
      </c>
      <c r="P278" s="1227"/>
      <c r="Q278" s="1227"/>
      <c r="R278" s="1227"/>
      <c r="S278" s="1227"/>
      <c r="T278" s="139"/>
      <c r="U278" s="1227"/>
      <c r="V278" s="1227"/>
      <c r="W278" s="1227"/>
      <c r="X278" s="1227"/>
      <c r="Y278" s="1227"/>
      <c r="Z278" s="1227"/>
      <c r="AA278" s="139"/>
      <c r="AB278" s="139"/>
      <c r="AC278" s="139"/>
      <c r="AD278" s="139"/>
      <c r="AE278" s="139"/>
      <c r="AF278" s="139"/>
      <c r="AG278" s="139"/>
    </row>
    <row r="279" spans="1:33" x14ac:dyDescent="0.25">
      <c r="A279" s="1567">
        <f t="shared" si="111"/>
        <v>123</v>
      </c>
      <c r="B279" s="1572">
        <v>549</v>
      </c>
      <c r="C279" s="1573">
        <v>5498</v>
      </c>
      <c r="D279" s="1573" t="s">
        <v>1625</v>
      </c>
      <c r="E279" s="1574">
        <f t="shared" si="136"/>
        <v>1.6659999999999999</v>
      </c>
      <c r="F279" s="1575">
        <f t="shared" si="134"/>
        <v>1666</v>
      </c>
      <c r="G279" s="1574">
        <f t="shared" si="132"/>
        <v>2.2320000000000002</v>
      </c>
      <c r="H279" s="1575">
        <f t="shared" si="135"/>
        <v>2232</v>
      </c>
      <c r="I279" s="1551">
        <f t="shared" si="133"/>
        <v>3.8980000000000001</v>
      </c>
      <c r="J279" s="1552"/>
      <c r="K279" s="1822">
        <v>549</v>
      </c>
      <c r="L279" s="1822">
        <v>5498</v>
      </c>
      <c r="M279" s="1824">
        <v>1666</v>
      </c>
      <c r="N279" s="1822">
        <v>5498</v>
      </c>
      <c r="O279" s="1839">
        <v>2232</v>
      </c>
      <c r="P279" s="1227"/>
      <c r="Q279" s="1227"/>
      <c r="R279" s="1227"/>
      <c r="S279" s="1227"/>
      <c r="T279" s="139"/>
      <c r="U279" s="1227"/>
      <c r="V279" s="1227"/>
      <c r="W279" s="1227"/>
      <c r="X279" s="1227"/>
      <c r="Y279" s="1227"/>
      <c r="Z279" s="1227"/>
      <c r="AA279" s="139"/>
      <c r="AB279" s="139"/>
      <c r="AC279" s="139"/>
      <c r="AD279" s="139"/>
      <c r="AE279" s="139"/>
      <c r="AF279" s="139"/>
      <c r="AG279" s="139"/>
    </row>
    <row r="280" spans="1:33" x14ac:dyDescent="0.25">
      <c r="A280" s="1567">
        <f t="shared" si="111"/>
        <v>124</v>
      </c>
      <c r="B280" s="1572">
        <v>549</v>
      </c>
      <c r="C280" s="1573">
        <v>5499</v>
      </c>
      <c r="D280" s="1573" t="s">
        <v>1626</v>
      </c>
      <c r="E280" s="1574">
        <f t="shared" si="136"/>
        <v>322.48401000000001</v>
      </c>
      <c r="F280" s="1575">
        <f t="shared" si="134"/>
        <v>322484.01</v>
      </c>
      <c r="G280" s="1574">
        <f t="shared" si="132"/>
        <v>94.700109999999995</v>
      </c>
      <c r="H280" s="1575">
        <f t="shared" si="135"/>
        <v>94700.11</v>
      </c>
      <c r="I280" s="1551">
        <f t="shared" si="133"/>
        <v>417.18412000000001</v>
      </c>
      <c r="J280" s="1552"/>
      <c r="K280" s="1822">
        <v>549</v>
      </c>
      <c r="L280" s="1822">
        <v>5499</v>
      </c>
      <c r="M280" s="1824">
        <v>322484.01</v>
      </c>
      <c r="N280" s="1822">
        <v>5499</v>
      </c>
      <c r="O280" s="1839">
        <v>94700.11</v>
      </c>
      <c r="P280" s="1227"/>
      <c r="Q280" s="1227"/>
      <c r="R280" s="1227"/>
      <c r="S280" s="1227"/>
      <c r="T280" s="139"/>
      <c r="U280" s="1227"/>
      <c r="V280" s="1227"/>
      <c r="W280" s="1227"/>
      <c r="X280" s="1227"/>
      <c r="Y280" s="1227"/>
      <c r="Z280" s="1227"/>
      <c r="AA280" s="139"/>
      <c r="AB280" s="139"/>
      <c r="AC280" s="139"/>
      <c r="AD280" s="139"/>
      <c r="AE280" s="139"/>
      <c r="AF280" s="139"/>
      <c r="AG280" s="139"/>
    </row>
    <row r="281" spans="1:33" x14ac:dyDescent="0.25">
      <c r="A281" s="1567">
        <f t="shared" si="111"/>
        <v>125</v>
      </c>
      <c r="B281" s="1572">
        <v>549</v>
      </c>
      <c r="C281" s="1573">
        <v>54991</v>
      </c>
      <c r="D281" s="1573" t="s">
        <v>1627</v>
      </c>
      <c r="E281" s="1574">
        <f t="shared" si="136"/>
        <v>69.867999999999995</v>
      </c>
      <c r="F281" s="1575">
        <f t="shared" si="134"/>
        <v>69868</v>
      </c>
      <c r="G281" s="1574">
        <f t="shared" si="132"/>
        <v>0</v>
      </c>
      <c r="H281" s="1575">
        <f t="shared" si="135"/>
        <v>0</v>
      </c>
      <c r="I281" s="1551">
        <f t="shared" si="133"/>
        <v>69.867999999999995</v>
      </c>
      <c r="J281" s="1552"/>
      <c r="K281" s="1822">
        <v>549</v>
      </c>
      <c r="L281" s="1822">
        <v>54991</v>
      </c>
      <c r="M281" s="1824">
        <v>69868</v>
      </c>
      <c r="N281" s="1822"/>
      <c r="O281" s="1823"/>
      <c r="P281" s="1227"/>
      <c r="Q281" s="1227"/>
      <c r="R281" s="1227"/>
      <c r="S281" s="1227"/>
      <c r="T281" s="139"/>
      <c r="U281" s="1227"/>
      <c r="V281" s="1227"/>
      <c r="W281" s="1227"/>
      <c r="X281" s="1227"/>
      <c r="Y281" s="1227"/>
      <c r="Z281" s="1227"/>
      <c r="AA281" s="139"/>
      <c r="AB281" s="139"/>
      <c r="AC281" s="139"/>
      <c r="AD281" s="139"/>
      <c r="AE281" s="139"/>
      <c r="AF281" s="139"/>
      <c r="AG281" s="139"/>
    </row>
    <row r="282" spans="1:33" x14ac:dyDescent="0.25">
      <c r="A282" s="2181">
        <f t="shared" si="111"/>
        <v>126</v>
      </c>
      <c r="B282" s="1568">
        <v>549</v>
      </c>
      <c r="C282" s="1569"/>
      <c r="D282" s="1569"/>
      <c r="E282" s="1570">
        <f>SUM(E254:E281)</f>
        <v>30595.336989999993</v>
      </c>
      <c r="F282" s="2210">
        <f>SUM(F254:F281)</f>
        <v>30595336.990000006</v>
      </c>
      <c r="G282" s="1570">
        <f>SUM(G254:G281)</f>
        <v>3597.3355499999998</v>
      </c>
      <c r="H282" s="2178">
        <f>SUM(H254:H281)</f>
        <v>3597335.5500000003</v>
      </c>
      <c r="I282" s="1571">
        <f>SUM(I254:I281)</f>
        <v>34192.67254</v>
      </c>
      <c r="J282" s="1564"/>
      <c r="K282" s="1822"/>
      <c r="L282" s="1822"/>
      <c r="M282" s="1823"/>
      <c r="N282" s="1822"/>
      <c r="O282" s="1823"/>
      <c r="P282" s="1227"/>
      <c r="Q282" s="1227"/>
      <c r="R282" s="1227"/>
      <c r="S282" s="1227"/>
      <c r="T282" s="139"/>
      <c r="U282" s="1227"/>
      <c r="V282" s="1227"/>
      <c r="W282" s="1227"/>
      <c r="X282" s="1227"/>
      <c r="Y282" s="1227"/>
      <c r="Z282" s="1227"/>
      <c r="AA282" s="139"/>
      <c r="AB282" s="139"/>
      <c r="AC282" s="139"/>
      <c r="AD282" s="139"/>
      <c r="AE282" s="139"/>
      <c r="AF282" s="139"/>
      <c r="AG282" s="139"/>
    </row>
    <row r="283" spans="1:33" x14ac:dyDescent="0.25">
      <c r="A283" s="1567">
        <f t="shared" si="111"/>
        <v>127</v>
      </c>
      <c r="B283" s="1572">
        <v>551</v>
      </c>
      <c r="C283" s="1573">
        <v>5511</v>
      </c>
      <c r="D283" s="1573" t="s">
        <v>1628</v>
      </c>
      <c r="E283" s="1574">
        <f t="shared" ref="E283:E285" si="141">F283/1000</f>
        <v>1746.3330000000001</v>
      </c>
      <c r="F283" s="1575">
        <f>M283</f>
        <v>1746333</v>
      </c>
      <c r="G283" s="1574">
        <f t="shared" ref="G283:G285" si="142">H283/1000</f>
        <v>0</v>
      </c>
      <c r="H283" s="1576">
        <f>O283</f>
        <v>0</v>
      </c>
      <c r="I283" s="1551">
        <f t="shared" ref="I283:I285" si="143">E283+G283</f>
        <v>1746.3330000000001</v>
      </c>
      <c r="J283" s="1552"/>
      <c r="K283" s="1822">
        <v>551</v>
      </c>
      <c r="L283" s="1822">
        <v>5511</v>
      </c>
      <c r="M283" s="1824">
        <v>1746333</v>
      </c>
      <c r="N283" s="1816"/>
      <c r="O283" s="1817"/>
      <c r="P283" s="1227"/>
      <c r="Q283" s="1227"/>
      <c r="R283" s="1227"/>
      <c r="S283" s="1227"/>
      <c r="T283" s="139"/>
      <c r="U283" s="1227"/>
      <c r="V283" s="1227"/>
      <c r="W283" s="1227"/>
      <c r="X283" s="1227"/>
      <c r="Y283" s="1227"/>
      <c r="Z283" s="1227"/>
      <c r="AA283" s="139"/>
      <c r="AB283" s="139"/>
      <c r="AC283" s="139"/>
      <c r="AD283" s="139"/>
      <c r="AE283" s="139"/>
      <c r="AF283" s="139"/>
      <c r="AG283" s="139"/>
    </row>
    <row r="284" spans="1:33" x14ac:dyDescent="0.25">
      <c r="A284" s="1567">
        <f t="shared" si="111"/>
        <v>128</v>
      </c>
      <c r="B284" s="1572">
        <v>551</v>
      </c>
      <c r="C284" s="1573">
        <v>5512</v>
      </c>
      <c r="D284" s="1573" t="s">
        <v>1629</v>
      </c>
      <c r="E284" s="1574">
        <f t="shared" si="141"/>
        <v>18942.245879999999</v>
      </c>
      <c r="F284" s="1575">
        <f t="shared" ref="F284:F285" si="144">M284</f>
        <v>18942245.879999999</v>
      </c>
      <c r="G284" s="1574">
        <f t="shared" si="142"/>
        <v>0</v>
      </c>
      <c r="H284" s="1576">
        <f t="shared" ref="H284:H285" si="145">O284</f>
        <v>0</v>
      </c>
      <c r="I284" s="1551">
        <f t="shared" si="143"/>
        <v>18942.245879999999</v>
      </c>
      <c r="J284" s="1552"/>
      <c r="K284" s="1822">
        <v>551</v>
      </c>
      <c r="L284" s="1822">
        <v>5512</v>
      </c>
      <c r="M284" s="1824">
        <v>18942245.879999999</v>
      </c>
      <c r="N284" s="1816"/>
      <c r="O284" s="1817"/>
      <c r="P284" s="1227"/>
      <c r="Q284" s="1227"/>
      <c r="R284" s="1227"/>
      <c r="S284" s="1227"/>
      <c r="T284" s="139"/>
      <c r="U284" s="1227"/>
      <c r="V284" s="1227"/>
      <c r="W284" s="1227"/>
      <c r="X284" s="1227"/>
      <c r="Y284" s="1227"/>
      <c r="Z284" s="1227"/>
      <c r="AA284" s="139"/>
      <c r="AB284" s="139"/>
      <c r="AC284" s="139"/>
      <c r="AD284" s="139"/>
      <c r="AE284" s="139"/>
      <c r="AF284" s="139"/>
      <c r="AG284" s="139"/>
    </row>
    <row r="285" spans="1:33" x14ac:dyDescent="0.25">
      <c r="A285" s="1567">
        <f t="shared" si="111"/>
        <v>129</v>
      </c>
      <c r="B285" s="1572">
        <v>551</v>
      </c>
      <c r="C285" s="1573">
        <v>5513</v>
      </c>
      <c r="D285" s="1573" t="s">
        <v>1630</v>
      </c>
      <c r="E285" s="1574">
        <f t="shared" si="141"/>
        <v>1003.52124</v>
      </c>
      <c r="F285" s="1575">
        <f t="shared" si="144"/>
        <v>1003521.24</v>
      </c>
      <c r="G285" s="1574">
        <f t="shared" si="142"/>
        <v>0</v>
      </c>
      <c r="H285" s="1576">
        <f t="shared" si="145"/>
        <v>0</v>
      </c>
      <c r="I285" s="1551">
        <f t="shared" si="143"/>
        <v>1003.52124</v>
      </c>
      <c r="J285" s="1552"/>
      <c r="K285" s="1822">
        <v>551</v>
      </c>
      <c r="L285" s="1822">
        <v>5513</v>
      </c>
      <c r="M285" s="1824">
        <v>1003521.24</v>
      </c>
      <c r="N285" s="1816"/>
      <c r="O285" s="1817"/>
      <c r="P285" s="1227"/>
      <c r="Q285" s="1227"/>
      <c r="R285" s="1227"/>
      <c r="S285" s="1227"/>
      <c r="T285" s="139"/>
      <c r="U285" s="1227"/>
      <c r="V285" s="1227"/>
      <c r="W285" s="1227"/>
      <c r="X285" s="1227"/>
      <c r="Y285" s="1227"/>
      <c r="Z285" s="1227"/>
      <c r="AA285" s="139"/>
      <c r="AB285" s="139"/>
      <c r="AC285" s="139"/>
      <c r="AD285" s="139"/>
      <c r="AE285" s="139"/>
      <c r="AF285" s="139"/>
      <c r="AG285" s="139"/>
    </row>
    <row r="286" spans="1:33" x14ac:dyDescent="0.25">
      <c r="A286" s="2181">
        <f t="shared" si="111"/>
        <v>130</v>
      </c>
      <c r="B286" s="1568">
        <v>551</v>
      </c>
      <c r="C286" s="1569"/>
      <c r="D286" s="1569"/>
      <c r="E286" s="1570">
        <f>SUM(E283:E285)</f>
        <v>21692.100119999996</v>
      </c>
      <c r="F286" s="2210">
        <f>SUM(F283:F285)</f>
        <v>21692100.119999997</v>
      </c>
      <c r="G286" s="1570">
        <f>SUM(G283:G285)</f>
        <v>0</v>
      </c>
      <c r="H286" s="2178">
        <f>SUM(H283:H285)</f>
        <v>0</v>
      </c>
      <c r="I286" s="1571">
        <f>SUM(I283:I285)</f>
        <v>21692.100119999996</v>
      </c>
      <c r="J286" s="1564"/>
      <c r="K286" s="1829" t="s">
        <v>1825</v>
      </c>
      <c r="L286" s="1830"/>
      <c r="M286" s="1831">
        <f>SUM(M157:M285)</f>
        <v>397569723.03000009</v>
      </c>
      <c r="N286" s="1816"/>
      <c r="O286" s="1818">
        <f>SUM(O157:O285)</f>
        <v>45476889.800000004</v>
      </c>
      <c r="P286" s="1227"/>
      <c r="Q286" s="1227"/>
      <c r="R286" s="1227"/>
      <c r="S286" s="1227"/>
      <c r="T286" s="139"/>
      <c r="U286" s="1227"/>
      <c r="V286" s="1227"/>
      <c r="W286" s="1227"/>
      <c r="X286" s="1227"/>
      <c r="Y286" s="1227"/>
      <c r="Z286" s="1227"/>
      <c r="AA286" s="139"/>
      <c r="AB286" s="139"/>
      <c r="AC286" s="139"/>
      <c r="AD286" s="139"/>
      <c r="AE286" s="139"/>
      <c r="AF286" s="139"/>
      <c r="AG286" s="139"/>
    </row>
    <row r="287" spans="1:33" ht="15.75" thickBot="1" x14ac:dyDescent="0.3">
      <c r="A287" s="2181">
        <f t="shared" ref="A287:A288" si="146">A286+1</f>
        <v>131</v>
      </c>
      <c r="B287" s="1580">
        <v>591</v>
      </c>
      <c r="C287" s="1581">
        <v>591</v>
      </c>
      <c r="D287" s="1581" t="s">
        <v>1631</v>
      </c>
      <c r="E287" s="1582">
        <f t="shared" ref="E287" si="147">F287/1000</f>
        <v>374.69542999999999</v>
      </c>
      <c r="F287" s="2210">
        <f>M287</f>
        <v>374695.43</v>
      </c>
      <c r="G287" s="1582">
        <f t="shared" ref="G287" si="148">H287/1000</f>
        <v>1196.3545800000002</v>
      </c>
      <c r="H287" s="2210">
        <f>O287</f>
        <v>1196354.58</v>
      </c>
      <c r="I287" s="1571">
        <f>E287+G287</f>
        <v>1571.0500100000002</v>
      </c>
      <c r="J287" s="1564"/>
      <c r="K287" s="1227" t="s">
        <v>1826</v>
      </c>
      <c r="L287" s="1227">
        <v>591</v>
      </c>
      <c r="M287" s="1639">
        <v>374695.43</v>
      </c>
      <c r="N287" s="1822">
        <v>591</v>
      </c>
      <c r="O287" s="1839">
        <v>1196354.58</v>
      </c>
      <c r="P287" s="1227"/>
      <c r="Q287" s="1227"/>
      <c r="R287" s="1227"/>
      <c r="S287" s="1227"/>
      <c r="T287" s="139"/>
      <c r="U287" s="1227"/>
      <c r="V287" s="1227"/>
      <c r="W287" s="1227"/>
      <c r="X287" s="1227"/>
      <c r="Y287" s="1227"/>
      <c r="Z287" s="1227"/>
      <c r="AA287" s="139"/>
      <c r="AB287" s="139"/>
      <c r="AC287" s="139"/>
      <c r="AD287" s="139"/>
      <c r="AE287" s="139"/>
      <c r="AF287" s="139"/>
      <c r="AG287" s="139"/>
    </row>
    <row r="288" spans="1:33" ht="16.5" thickTop="1" thickBot="1" x14ac:dyDescent="0.3">
      <c r="A288" s="2214">
        <f t="shared" si="146"/>
        <v>132</v>
      </c>
      <c r="B288" s="1583"/>
      <c r="C288" s="1583"/>
      <c r="D288" s="1584" t="s">
        <v>427</v>
      </c>
      <c r="E288" s="1585">
        <f>SUM(E157:E287)-E165-E170-E174-E177-E182-E185-E232-E237-E240-E247-E253-E282-E286</f>
        <v>397944.41845999943</v>
      </c>
      <c r="F288" s="1585">
        <f t="shared" ref="F288:I288" si="149">SUM(F157:F287)-F165-F170-F174-F177-F182-F185-F232-F237-F240-F247-F253-F282-F286</f>
        <v>397944418.45999998</v>
      </c>
      <c r="G288" s="1585">
        <f t="shared" si="149"/>
        <v>46673.244380000018</v>
      </c>
      <c r="H288" s="1585">
        <f t="shared" si="149"/>
        <v>46673244.38000001</v>
      </c>
      <c r="I288" s="1586">
        <f t="shared" si="149"/>
        <v>444617.66283999989</v>
      </c>
      <c r="J288" s="1564"/>
      <c r="K288" s="1832" t="s">
        <v>1827</v>
      </c>
      <c r="L288" s="1833"/>
      <c r="M288" s="1834">
        <f>SUM(M286:M287)</f>
        <v>397944418.4600001</v>
      </c>
      <c r="N288" s="1227"/>
      <c r="O288" s="1639">
        <f>SUM(O286:O287)</f>
        <v>46673244.380000003</v>
      </c>
      <c r="P288" s="1227"/>
      <c r="Q288" s="1227"/>
      <c r="R288" s="1227"/>
      <c r="S288" s="1227"/>
      <c r="T288" s="139"/>
      <c r="U288" s="1227"/>
      <c r="V288" s="1227"/>
      <c r="W288" s="1227"/>
      <c r="X288" s="1227"/>
      <c r="Y288" s="1227"/>
      <c r="Z288" s="1227"/>
      <c r="AA288" s="139"/>
      <c r="AB288" s="139"/>
      <c r="AC288" s="139"/>
      <c r="AD288" s="139"/>
      <c r="AE288" s="139"/>
      <c r="AF288" s="139"/>
      <c r="AG288" s="139"/>
    </row>
    <row r="289" ht="15.75" thickTop="1" x14ac:dyDescent="0.25"/>
  </sheetData>
  <mergeCells count="2">
    <mergeCell ref="A8:I8"/>
    <mergeCell ref="A153:I153"/>
  </mergeCells>
  <printOptions horizontalCentered="1"/>
  <pageMargins left="0" right="0" top="0" bottom="0" header="0" footer="0"/>
  <pageSetup paperSize="9" scale="1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U210"/>
  <sheetViews>
    <sheetView topLeftCell="A54" workbookViewId="0">
      <selection activeCell="A85" sqref="A85"/>
    </sheetView>
  </sheetViews>
  <sheetFormatPr defaultRowHeight="15" x14ac:dyDescent="0.25"/>
  <cols>
    <col min="1" max="1" width="3.28515625" customWidth="1"/>
    <col min="2" max="3" width="7.5703125" customWidth="1"/>
    <col min="4" max="4" width="27.7109375" bestFit="1" customWidth="1"/>
    <col min="5" max="5" width="9.85546875" customWidth="1"/>
    <col min="6" max="6" width="14.28515625" hidden="1" customWidth="1"/>
    <col min="7" max="7" width="8" customWidth="1"/>
    <col min="8" max="8" width="12.5703125" hidden="1" customWidth="1"/>
    <col min="9" max="9" width="10" bestFit="1" customWidth="1"/>
    <col min="10" max="10" width="4.7109375" customWidth="1"/>
    <col min="11" max="11" width="4" hidden="1" customWidth="1"/>
    <col min="12" max="12" width="7" hidden="1" customWidth="1"/>
    <col min="13" max="13" width="13.5703125" hidden="1" customWidth="1"/>
    <col min="14" max="14" width="14.42578125" hidden="1" customWidth="1"/>
    <col min="15" max="15" width="0" hidden="1" customWidth="1"/>
    <col min="16" max="16" width="12.42578125" style="139" hidden="1" customWidth="1"/>
    <col min="17" max="17" width="13.42578125" hidden="1" customWidth="1"/>
    <col min="18" max="18" width="13.28515625" bestFit="1" customWidth="1"/>
    <col min="19" max="19" width="12.140625" bestFit="1" customWidth="1"/>
  </cols>
  <sheetData>
    <row r="2" spans="1:19" ht="18.75" x14ac:dyDescent="0.25">
      <c r="A2" s="809" t="s">
        <v>1203</v>
      </c>
    </row>
    <row r="3" spans="1:19" ht="26.25" x14ac:dyDescent="0.4">
      <c r="A3" s="1643" t="s">
        <v>1701</v>
      </c>
    </row>
    <row r="7" spans="1:19" ht="27" thickBot="1" x14ac:dyDescent="0.3">
      <c r="A7" s="2507" t="s">
        <v>579</v>
      </c>
      <c r="B7" s="2507"/>
      <c r="C7" s="2507"/>
      <c r="D7" s="2507"/>
      <c r="E7" s="2507"/>
      <c r="F7" s="2507"/>
      <c r="G7" s="2507"/>
      <c r="H7" s="2507"/>
      <c r="I7" s="2507"/>
      <c r="R7" s="905">
        <v>403379</v>
      </c>
      <c r="S7" s="905">
        <v>64021</v>
      </c>
    </row>
    <row r="8" spans="1:19" ht="27" hidden="1" thickBot="1" x14ac:dyDescent="0.3">
      <c r="A8" s="1531"/>
      <c r="B8" s="1531"/>
      <c r="C8" s="1531"/>
      <c r="D8" s="1531"/>
      <c r="E8" s="1531"/>
      <c r="F8" s="1531"/>
      <c r="G8" s="1531"/>
      <c r="H8" s="1531"/>
      <c r="I8" s="1531"/>
      <c r="R8" s="1897"/>
      <c r="S8" s="1897"/>
    </row>
    <row r="9" spans="1:19" ht="16.5" thickTop="1" thickBot="1" x14ac:dyDescent="0.3">
      <c r="A9" s="1534" t="s">
        <v>1524</v>
      </c>
      <c r="B9" s="1535" t="s">
        <v>1525</v>
      </c>
      <c r="C9" s="1535" t="s">
        <v>1526</v>
      </c>
      <c r="D9" s="1536" t="s">
        <v>1527</v>
      </c>
      <c r="E9" s="1536" t="s">
        <v>1522</v>
      </c>
      <c r="F9" s="1537"/>
      <c r="G9" s="1538" t="s">
        <v>1523</v>
      </c>
      <c r="H9" s="1538"/>
      <c r="I9" s="1539" t="s">
        <v>1528</v>
      </c>
      <c r="R9" s="2191" t="s">
        <v>1522</v>
      </c>
      <c r="S9" s="2192" t="s">
        <v>1523</v>
      </c>
    </row>
    <row r="10" spans="1:19" ht="15.75" thickTop="1" x14ac:dyDescent="0.25">
      <c r="A10" s="1540"/>
      <c r="B10" s="1541" t="s">
        <v>558</v>
      </c>
      <c r="C10" s="1541" t="s">
        <v>559</v>
      </c>
      <c r="D10" s="1541" t="s">
        <v>560</v>
      </c>
      <c r="E10" s="1541" t="s">
        <v>561</v>
      </c>
      <c r="F10" s="1542"/>
      <c r="G10" s="1542" t="s">
        <v>562</v>
      </c>
      <c r="H10" s="1542"/>
      <c r="I10" s="1543" t="s">
        <v>563</v>
      </c>
      <c r="R10" s="1922"/>
      <c r="S10" s="1922"/>
    </row>
    <row r="11" spans="1:19" x14ac:dyDescent="0.25">
      <c r="A11" s="1553">
        <v>1</v>
      </c>
      <c r="B11" s="1546">
        <v>601</v>
      </c>
      <c r="C11" s="1547">
        <v>6012</v>
      </c>
      <c r="D11" s="1547" t="s">
        <v>1633</v>
      </c>
      <c r="E11" s="1548">
        <f t="shared" ref="E11:G94" si="0">F11/1000</f>
        <v>54.709339999999997</v>
      </c>
      <c r="F11" s="1549">
        <f>M11</f>
        <v>54709.34</v>
      </c>
      <c r="G11" s="1548">
        <f t="shared" si="0"/>
        <v>931.87616000000003</v>
      </c>
      <c r="H11" s="1595">
        <f>P11</f>
        <v>931876.16</v>
      </c>
      <c r="I11" s="1551">
        <f>E11+G11</f>
        <v>986.58550000000002</v>
      </c>
      <c r="K11" s="1226">
        <v>601</v>
      </c>
      <c r="L11" s="1226">
        <v>6012</v>
      </c>
      <c r="M11" s="1642">
        <f>N11*-1</f>
        <v>54709.34</v>
      </c>
      <c r="N11" s="1639">
        <v>-54709.34</v>
      </c>
      <c r="O11" s="1226">
        <v>6012</v>
      </c>
      <c r="P11" s="1656">
        <f>Q11*-1</f>
        <v>931876.16</v>
      </c>
      <c r="Q11" s="1639">
        <v>-931876.16</v>
      </c>
      <c r="R11" s="1922">
        <f>E11/403379</f>
        <v>1.3562763554870232E-4</v>
      </c>
      <c r="S11" s="1922">
        <f>G11/64021</f>
        <v>1.4555788881773168E-2</v>
      </c>
    </row>
    <row r="12" spans="1:19" x14ac:dyDescent="0.25">
      <c r="A12" s="1553">
        <f>A11+1</f>
        <v>2</v>
      </c>
      <c r="B12" s="1596">
        <v>601</v>
      </c>
      <c r="C12" s="1597">
        <v>6014</v>
      </c>
      <c r="D12" s="1547" t="s">
        <v>1634</v>
      </c>
      <c r="E12" s="1548">
        <f t="shared" si="0"/>
        <v>0</v>
      </c>
      <c r="F12" s="1598">
        <v>0</v>
      </c>
      <c r="G12" s="1548">
        <f t="shared" si="0"/>
        <v>56.317360000000001</v>
      </c>
      <c r="H12" s="1595">
        <f>P12</f>
        <v>56317.36</v>
      </c>
      <c r="I12" s="1551">
        <f t="shared" ref="I12:I82" si="1">E12+G12</f>
        <v>56.317360000000001</v>
      </c>
      <c r="K12" s="1226"/>
      <c r="L12" s="1226"/>
      <c r="M12" s="1639">
        <f t="shared" ref="M12:M15" si="2">N12*-1</f>
        <v>0</v>
      </c>
      <c r="N12" s="1639"/>
      <c r="O12" s="1226">
        <v>6014</v>
      </c>
      <c r="P12" s="1656">
        <f t="shared" ref="P12:P78" si="3">Q12*-1</f>
        <v>56317.36</v>
      </c>
      <c r="Q12" s="1639">
        <v>-56317.36</v>
      </c>
      <c r="R12" s="1922">
        <f t="shared" ref="R12:R75" si="4">E12/403379</f>
        <v>0</v>
      </c>
      <c r="S12" s="1922">
        <f t="shared" ref="S12:S75" si="5">G12/64021</f>
        <v>8.7967010824573186E-4</v>
      </c>
    </row>
    <row r="13" spans="1:19" x14ac:dyDescent="0.25">
      <c r="A13" s="1553">
        <f t="shared" ref="A13:A76" si="6">A12+1</f>
        <v>3</v>
      </c>
      <c r="B13" s="1599">
        <v>601</v>
      </c>
      <c r="C13" s="1559"/>
      <c r="D13" s="1559"/>
      <c r="E13" s="1560">
        <f t="shared" si="0"/>
        <v>54.709339999999997</v>
      </c>
      <c r="F13" s="1598">
        <f>SUM(F11:F12)</f>
        <v>54709.34</v>
      </c>
      <c r="G13" s="1548">
        <f t="shared" si="0"/>
        <v>988.19352000000003</v>
      </c>
      <c r="H13" s="1600">
        <f>SUM(H11:H12)</f>
        <v>988193.52</v>
      </c>
      <c r="I13" s="1551">
        <f t="shared" si="1"/>
        <v>1042.9028600000001</v>
      </c>
      <c r="K13" s="1226"/>
      <c r="L13" s="1226"/>
      <c r="M13" s="1648">
        <f>SUM(M11:M12)</f>
        <v>54709.34</v>
      </c>
      <c r="N13" s="1639"/>
      <c r="O13" s="1226"/>
      <c r="P13" s="1639"/>
      <c r="Q13" s="1639"/>
      <c r="R13" s="1922">
        <f t="shared" si="4"/>
        <v>1.3562763554870232E-4</v>
      </c>
      <c r="S13" s="1922">
        <f t="shared" si="5"/>
        <v>1.5435458990018901E-2</v>
      </c>
    </row>
    <row r="14" spans="1:19" x14ac:dyDescent="0.25">
      <c r="A14" s="1553">
        <f t="shared" si="6"/>
        <v>4</v>
      </c>
      <c r="B14" s="1546">
        <v>602</v>
      </c>
      <c r="C14" s="1547">
        <v>6021</v>
      </c>
      <c r="D14" s="1547" t="s">
        <v>1635</v>
      </c>
      <c r="E14" s="1548">
        <f t="shared" si="0"/>
        <v>366.20254999999997</v>
      </c>
      <c r="F14" s="1549">
        <f>M14</f>
        <v>366202.55</v>
      </c>
      <c r="G14" s="1548">
        <f t="shared" si="0"/>
        <v>878.96668999999997</v>
      </c>
      <c r="H14" s="1595">
        <f>P14</f>
        <v>878966.69</v>
      </c>
      <c r="I14" s="1551">
        <f t="shared" si="1"/>
        <v>1245.1692399999999</v>
      </c>
      <c r="K14" s="1226">
        <v>602</v>
      </c>
      <c r="L14" s="1226">
        <v>6021</v>
      </c>
      <c r="M14" s="1642">
        <f t="shared" si="2"/>
        <v>366202.55</v>
      </c>
      <c r="N14" s="1639">
        <v>-366202.55</v>
      </c>
      <c r="O14" s="1226">
        <v>6021</v>
      </c>
      <c r="P14" s="1656">
        <f t="shared" si="3"/>
        <v>878966.69</v>
      </c>
      <c r="Q14" s="1639">
        <v>-878966.69</v>
      </c>
      <c r="R14" s="1922">
        <f t="shared" si="4"/>
        <v>9.0783741840799834E-4</v>
      </c>
      <c r="S14" s="1922">
        <f t="shared" si="5"/>
        <v>1.37293495884163E-2</v>
      </c>
    </row>
    <row r="15" spans="1:19" x14ac:dyDescent="0.25">
      <c r="A15" s="1553">
        <f t="shared" si="6"/>
        <v>5</v>
      </c>
      <c r="B15" s="1546">
        <v>602</v>
      </c>
      <c r="C15" s="1547">
        <v>60211</v>
      </c>
      <c r="D15" s="1547" t="s">
        <v>1636</v>
      </c>
      <c r="E15" s="1548">
        <f t="shared" si="0"/>
        <v>234.70914999999999</v>
      </c>
      <c r="F15" s="1549">
        <f>M15</f>
        <v>234709.15</v>
      </c>
      <c r="G15" s="1548">
        <f t="shared" si="0"/>
        <v>961.6351800000001</v>
      </c>
      <c r="H15" s="1595">
        <f>P15</f>
        <v>961635.18</v>
      </c>
      <c r="I15" s="1551">
        <f t="shared" si="1"/>
        <v>1196.3443300000001</v>
      </c>
      <c r="K15" s="1226">
        <v>602</v>
      </c>
      <c r="L15" s="1226">
        <v>60211</v>
      </c>
      <c r="M15" s="1642">
        <f t="shared" si="2"/>
        <v>234709.15</v>
      </c>
      <c r="N15" s="1639">
        <v>-234709.15</v>
      </c>
      <c r="O15" s="1226">
        <v>60211</v>
      </c>
      <c r="P15" s="1656">
        <f t="shared" si="3"/>
        <v>961635.18</v>
      </c>
      <c r="Q15" s="1639">
        <v>-961635.18</v>
      </c>
      <c r="R15" s="1922">
        <f t="shared" si="4"/>
        <v>5.818576326482043E-4</v>
      </c>
      <c r="S15" s="1922">
        <f t="shared" si="5"/>
        <v>1.502062104621921E-2</v>
      </c>
    </row>
    <row r="16" spans="1:19" x14ac:dyDescent="0.25">
      <c r="A16" s="1553">
        <f t="shared" si="6"/>
        <v>6</v>
      </c>
      <c r="B16" s="1546">
        <v>602</v>
      </c>
      <c r="C16" s="1547">
        <v>602111</v>
      </c>
      <c r="D16" s="1547" t="s">
        <v>1637</v>
      </c>
      <c r="E16" s="1548">
        <f t="shared" si="0"/>
        <v>0</v>
      </c>
      <c r="F16" s="1601">
        <v>0</v>
      </c>
      <c r="G16" s="1548">
        <f t="shared" si="0"/>
        <v>0</v>
      </c>
      <c r="H16" s="1595"/>
      <c r="I16" s="1551">
        <f t="shared" si="1"/>
        <v>0</v>
      </c>
      <c r="K16" s="1226"/>
      <c r="L16" s="1226"/>
      <c r="M16" s="1639"/>
      <c r="N16" s="1639"/>
      <c r="O16" s="1226"/>
      <c r="P16" s="1639"/>
      <c r="Q16" s="1639"/>
      <c r="R16" s="1922">
        <f t="shared" si="4"/>
        <v>0</v>
      </c>
      <c r="S16" s="1922">
        <f t="shared" si="5"/>
        <v>0</v>
      </c>
    </row>
    <row r="17" spans="1:19" x14ac:dyDescent="0.25">
      <c r="A17" s="1553">
        <f t="shared" si="6"/>
        <v>7</v>
      </c>
      <c r="B17" s="1546">
        <v>602</v>
      </c>
      <c r="C17" s="1547">
        <v>602112</v>
      </c>
      <c r="D17" s="1547" t="s">
        <v>1638</v>
      </c>
      <c r="E17" s="1548">
        <f t="shared" si="0"/>
        <v>0</v>
      </c>
      <c r="F17" s="1601">
        <v>0</v>
      </c>
      <c r="G17" s="1548">
        <f t="shared" si="0"/>
        <v>3440.1534100000003</v>
      </c>
      <c r="H17" s="1595">
        <f>P17</f>
        <v>3440153.41</v>
      </c>
      <c r="I17" s="1551">
        <f t="shared" si="1"/>
        <v>3440.1534100000003</v>
      </c>
      <c r="K17" s="1226"/>
      <c r="L17" s="1226"/>
      <c r="M17" s="1639"/>
      <c r="N17" s="1639"/>
      <c r="O17" s="1226">
        <v>602112</v>
      </c>
      <c r="P17" s="1656">
        <f t="shared" si="3"/>
        <v>3440153.41</v>
      </c>
      <c r="Q17" s="1639">
        <v>-3440153.41</v>
      </c>
      <c r="R17" s="1922">
        <f t="shared" si="4"/>
        <v>0</v>
      </c>
      <c r="S17" s="1922">
        <f t="shared" si="5"/>
        <v>5.3734765311382209E-2</v>
      </c>
    </row>
    <row r="18" spans="1:19" x14ac:dyDescent="0.25">
      <c r="A18" s="1553">
        <f t="shared" si="6"/>
        <v>8</v>
      </c>
      <c r="B18" s="1546">
        <v>602</v>
      </c>
      <c r="C18" s="1547">
        <v>602113</v>
      </c>
      <c r="D18" s="1547" t="s">
        <v>1639</v>
      </c>
      <c r="E18" s="1548">
        <f t="shared" si="0"/>
        <v>0</v>
      </c>
      <c r="F18" s="1601">
        <v>0</v>
      </c>
      <c r="G18" s="1548">
        <f t="shared" si="0"/>
        <v>1788.02421</v>
      </c>
      <c r="H18" s="1595">
        <f>P18</f>
        <v>1788024.21</v>
      </c>
      <c r="I18" s="1551">
        <f t="shared" si="1"/>
        <v>1788.02421</v>
      </c>
      <c r="K18" s="1226"/>
      <c r="L18" s="1226"/>
      <c r="M18" s="1639"/>
      <c r="N18" s="1639"/>
      <c r="O18" s="1226">
        <v>602113</v>
      </c>
      <c r="P18" s="1656">
        <f t="shared" si="3"/>
        <v>1788024.21</v>
      </c>
      <c r="Q18" s="1639">
        <v>-1788024.21</v>
      </c>
      <c r="R18" s="1922">
        <f t="shared" si="4"/>
        <v>0</v>
      </c>
      <c r="S18" s="1922">
        <f t="shared" si="5"/>
        <v>2.7928714171912342E-2</v>
      </c>
    </row>
    <row r="19" spans="1:19" x14ac:dyDescent="0.25">
      <c r="A19" s="1553">
        <f t="shared" si="6"/>
        <v>9</v>
      </c>
      <c r="B19" s="1546">
        <v>602</v>
      </c>
      <c r="C19" s="1547">
        <v>602114</v>
      </c>
      <c r="D19" s="1547" t="s">
        <v>1640</v>
      </c>
      <c r="E19" s="1548">
        <f t="shared" si="0"/>
        <v>0</v>
      </c>
      <c r="F19" s="1601">
        <v>0</v>
      </c>
      <c r="G19" s="1548">
        <f t="shared" si="0"/>
        <v>64.578510000000009</v>
      </c>
      <c r="H19" s="1595">
        <f>P19</f>
        <v>64578.51</v>
      </c>
      <c r="I19" s="1551">
        <f t="shared" si="1"/>
        <v>64.578510000000009</v>
      </c>
      <c r="K19" s="1226"/>
      <c r="L19" s="1226"/>
      <c r="M19" s="1639"/>
      <c r="N19" s="1639"/>
      <c r="O19" s="1226">
        <v>602114</v>
      </c>
      <c r="P19" s="1656">
        <f t="shared" si="3"/>
        <v>64578.51</v>
      </c>
      <c r="Q19" s="1639">
        <v>-64578.51</v>
      </c>
      <c r="R19" s="1922">
        <f t="shared" si="4"/>
        <v>0</v>
      </c>
      <c r="S19" s="1922">
        <f t="shared" si="5"/>
        <v>1.0087082363599445E-3</v>
      </c>
    </row>
    <row r="20" spans="1:19" x14ac:dyDescent="0.25">
      <c r="A20" s="1553">
        <f t="shared" si="6"/>
        <v>10</v>
      </c>
      <c r="B20" s="1546">
        <v>602</v>
      </c>
      <c r="C20" s="1547">
        <v>602115</v>
      </c>
      <c r="D20" s="1547" t="s">
        <v>1641</v>
      </c>
      <c r="E20" s="1548">
        <f t="shared" si="0"/>
        <v>0</v>
      </c>
      <c r="F20" s="1601">
        <v>0</v>
      </c>
      <c r="G20" s="1548">
        <f t="shared" si="0"/>
        <v>1302.5164299999999</v>
      </c>
      <c r="H20" s="1595">
        <f>P20</f>
        <v>1302516.43</v>
      </c>
      <c r="I20" s="1551">
        <f t="shared" si="1"/>
        <v>1302.5164299999999</v>
      </c>
      <c r="K20" s="1226"/>
      <c r="L20" s="1226"/>
      <c r="M20" s="1639"/>
      <c r="N20" s="1639"/>
      <c r="O20" s="1226">
        <v>602115</v>
      </c>
      <c r="P20" s="1656">
        <f t="shared" si="3"/>
        <v>1302516.43</v>
      </c>
      <c r="Q20" s="1639">
        <v>-1302516.43</v>
      </c>
      <c r="R20" s="1922">
        <f t="shared" si="4"/>
        <v>0</v>
      </c>
      <c r="S20" s="1922">
        <f t="shared" si="5"/>
        <v>2.0345143468549379E-2</v>
      </c>
    </row>
    <row r="21" spans="1:19" x14ac:dyDescent="0.25">
      <c r="A21" s="1553">
        <f t="shared" si="6"/>
        <v>11</v>
      </c>
      <c r="B21" s="1546">
        <v>602</v>
      </c>
      <c r="C21" s="1566">
        <v>602116</v>
      </c>
      <c r="D21" s="1547" t="s">
        <v>1642</v>
      </c>
      <c r="E21" s="1548">
        <f t="shared" si="0"/>
        <v>19.75216</v>
      </c>
      <c r="F21" s="1549">
        <f t="shared" ref="F21:F27" si="7">M21</f>
        <v>19752.16</v>
      </c>
      <c r="G21" s="1548">
        <f t="shared" si="0"/>
        <v>0</v>
      </c>
      <c r="H21" s="1557"/>
      <c r="I21" s="1551">
        <f t="shared" si="1"/>
        <v>19.75216</v>
      </c>
      <c r="K21" s="1226">
        <v>602</v>
      </c>
      <c r="L21" s="1226">
        <v>602116</v>
      </c>
      <c r="M21" s="1642">
        <f t="shared" ref="M21:M27" si="8">N21*-1</f>
        <v>19752.16</v>
      </c>
      <c r="N21" s="1639">
        <v>-19752.16</v>
      </c>
      <c r="O21" s="1226"/>
      <c r="P21" s="1639"/>
      <c r="Q21" s="1639"/>
      <c r="R21" s="1922">
        <f t="shared" si="4"/>
        <v>4.8966753351066864E-5</v>
      </c>
      <c r="S21" s="1922">
        <f t="shared" si="5"/>
        <v>0</v>
      </c>
    </row>
    <row r="22" spans="1:19" x14ac:dyDescent="0.25">
      <c r="A22" s="1553">
        <f t="shared" si="6"/>
        <v>12</v>
      </c>
      <c r="B22" s="1546">
        <v>602</v>
      </c>
      <c r="C22" s="1547">
        <v>60212</v>
      </c>
      <c r="D22" s="1547" t="s">
        <v>1643</v>
      </c>
      <c r="E22" s="1548">
        <f t="shared" si="0"/>
        <v>1022.77638</v>
      </c>
      <c r="F22" s="1549">
        <f t="shared" si="7"/>
        <v>1022776.38</v>
      </c>
      <c r="G22" s="1548">
        <f t="shared" si="0"/>
        <v>6.69421</v>
      </c>
      <c r="H22" s="1595">
        <f>P22</f>
        <v>6694.21</v>
      </c>
      <c r="I22" s="1551">
        <f t="shared" si="1"/>
        <v>1029.4705900000001</v>
      </c>
      <c r="K22" s="1226">
        <v>602</v>
      </c>
      <c r="L22" s="1226">
        <v>60212</v>
      </c>
      <c r="M22" s="1642">
        <f t="shared" si="8"/>
        <v>1022776.38</v>
      </c>
      <c r="N22" s="1639">
        <v>-1022776.38</v>
      </c>
      <c r="O22" s="1226">
        <v>60212</v>
      </c>
      <c r="P22" s="1656">
        <f t="shared" si="3"/>
        <v>6694.21</v>
      </c>
      <c r="Q22" s="1639">
        <v>-6694.21</v>
      </c>
      <c r="R22" s="1922">
        <f t="shared" si="4"/>
        <v>2.5355221268335733E-3</v>
      </c>
      <c r="S22" s="1922">
        <f t="shared" si="5"/>
        <v>1.0456272160697271E-4</v>
      </c>
    </row>
    <row r="23" spans="1:19" x14ac:dyDescent="0.25">
      <c r="A23" s="1553">
        <f t="shared" si="6"/>
        <v>13</v>
      </c>
      <c r="B23" s="1546">
        <v>602</v>
      </c>
      <c r="C23" s="1547">
        <v>6023</v>
      </c>
      <c r="D23" s="1547" t="s">
        <v>1644</v>
      </c>
      <c r="E23" s="1548">
        <f t="shared" si="0"/>
        <v>683.13404000000003</v>
      </c>
      <c r="F23" s="1549">
        <f t="shared" si="7"/>
        <v>683134.04</v>
      </c>
      <c r="G23" s="1548">
        <f t="shared" si="0"/>
        <v>1057.5299</v>
      </c>
      <c r="H23" s="1595">
        <f>P23</f>
        <v>1057529.8999999999</v>
      </c>
      <c r="I23" s="1551">
        <f t="shared" si="1"/>
        <v>1740.6639399999999</v>
      </c>
      <c r="K23" s="1226">
        <v>602</v>
      </c>
      <c r="L23" s="1226">
        <v>6023</v>
      </c>
      <c r="M23" s="1642">
        <f t="shared" si="8"/>
        <v>683134.04</v>
      </c>
      <c r="N23" s="1639">
        <v>-683134.04</v>
      </c>
      <c r="O23" s="1226">
        <v>6023</v>
      </c>
      <c r="P23" s="1656">
        <f t="shared" si="3"/>
        <v>1057529.8999999999</v>
      </c>
      <c r="Q23" s="1639">
        <v>-1057529.8999999999</v>
      </c>
      <c r="R23" s="1922">
        <f t="shared" si="4"/>
        <v>1.6935290136571315E-3</v>
      </c>
      <c r="S23" s="1922">
        <f t="shared" si="5"/>
        <v>1.651848455975383E-2</v>
      </c>
    </row>
    <row r="24" spans="1:19" x14ac:dyDescent="0.25">
      <c r="A24" s="1553">
        <f t="shared" si="6"/>
        <v>14</v>
      </c>
      <c r="B24" s="1621">
        <v>602</v>
      </c>
      <c r="C24" s="1622">
        <v>60231</v>
      </c>
      <c r="D24" s="1622" t="s">
        <v>1645</v>
      </c>
      <c r="E24" s="1623">
        <f t="shared" si="0"/>
        <v>9.3578399999999995</v>
      </c>
      <c r="F24" s="1549">
        <f t="shared" si="7"/>
        <v>9357.84</v>
      </c>
      <c r="G24" s="1602">
        <f t="shared" si="0"/>
        <v>469.30853000000002</v>
      </c>
      <c r="H24" s="1595">
        <f>P24</f>
        <v>469308.53</v>
      </c>
      <c r="I24" s="1551">
        <f t="shared" si="1"/>
        <v>478.66637000000003</v>
      </c>
      <c r="K24" s="1226">
        <v>602</v>
      </c>
      <c r="L24" s="1226">
        <v>60231</v>
      </c>
      <c r="M24" s="1642">
        <f t="shared" si="8"/>
        <v>9357.84</v>
      </c>
      <c r="N24" s="1639">
        <v>-9357.84</v>
      </c>
      <c r="O24" s="1226">
        <v>60231</v>
      </c>
      <c r="P24" s="1656">
        <f t="shared" si="3"/>
        <v>469308.53</v>
      </c>
      <c r="Q24" s="1639">
        <v>-469308.53</v>
      </c>
      <c r="R24" s="1922">
        <f t="shared" si="4"/>
        <v>2.3198629576651236E-5</v>
      </c>
      <c r="S24" s="1922">
        <f t="shared" si="5"/>
        <v>7.3305404476656103E-3</v>
      </c>
    </row>
    <row r="25" spans="1:19" x14ac:dyDescent="0.25">
      <c r="A25" s="1553">
        <f t="shared" si="6"/>
        <v>15</v>
      </c>
      <c r="B25" s="1546">
        <v>602</v>
      </c>
      <c r="C25" s="1547">
        <v>602311</v>
      </c>
      <c r="D25" s="1658" t="s">
        <v>1702</v>
      </c>
      <c r="E25" s="1548">
        <f t="shared" si="0"/>
        <v>167.80189000000001</v>
      </c>
      <c r="F25" s="1549">
        <f t="shared" si="7"/>
        <v>167801.89</v>
      </c>
      <c r="G25" s="1548">
        <f t="shared" si="0"/>
        <v>0</v>
      </c>
      <c r="H25" s="1557"/>
      <c r="I25" s="1551">
        <f t="shared" si="1"/>
        <v>167.80189000000001</v>
      </c>
      <c r="K25" s="1226">
        <v>602</v>
      </c>
      <c r="L25" s="1226">
        <v>602311</v>
      </c>
      <c r="M25" s="1642">
        <f t="shared" si="8"/>
        <v>167801.89</v>
      </c>
      <c r="N25" s="1639">
        <v>-167801.89</v>
      </c>
      <c r="O25" s="1226"/>
      <c r="P25" s="1639"/>
      <c r="Q25" s="1639"/>
      <c r="R25" s="1922">
        <f t="shared" si="4"/>
        <v>4.1599064403451846E-4</v>
      </c>
      <c r="S25" s="1922">
        <f t="shared" si="5"/>
        <v>0</v>
      </c>
    </row>
    <row r="26" spans="1:19" x14ac:dyDescent="0.25">
      <c r="A26" s="1553">
        <f t="shared" si="6"/>
        <v>16</v>
      </c>
      <c r="B26" s="1546">
        <v>602</v>
      </c>
      <c r="C26" s="1547">
        <v>602312</v>
      </c>
      <c r="D26" s="1658" t="s">
        <v>1703</v>
      </c>
      <c r="E26" s="1548">
        <f t="shared" si="0"/>
        <v>487.87936999999999</v>
      </c>
      <c r="F26" s="1549">
        <f t="shared" si="7"/>
        <v>487879.37</v>
      </c>
      <c r="G26" s="1548">
        <f t="shared" si="0"/>
        <v>0</v>
      </c>
      <c r="H26" s="1557"/>
      <c r="I26" s="1551">
        <f t="shared" si="1"/>
        <v>487.87936999999999</v>
      </c>
      <c r="K26" s="1226">
        <v>602</v>
      </c>
      <c r="L26" s="1226">
        <v>602312</v>
      </c>
      <c r="M26" s="1642">
        <f t="shared" si="8"/>
        <v>487879.37</v>
      </c>
      <c r="N26" s="1639">
        <v>-487879.37</v>
      </c>
      <c r="O26" s="1226"/>
      <c r="P26" s="1639"/>
      <c r="Q26" s="1639"/>
      <c r="R26" s="1922">
        <f t="shared" si="4"/>
        <v>1.2094813314525545E-3</v>
      </c>
      <c r="S26" s="1922">
        <f t="shared" si="5"/>
        <v>0</v>
      </c>
    </row>
    <row r="27" spans="1:19" s="139" customFormat="1" x14ac:dyDescent="0.25">
      <c r="A27" s="1553">
        <f t="shared" si="6"/>
        <v>17</v>
      </c>
      <c r="B27" s="1645">
        <v>602</v>
      </c>
      <c r="C27" s="1644">
        <v>602313</v>
      </c>
      <c r="D27" s="1658" t="s">
        <v>1704</v>
      </c>
      <c r="E27" s="1548">
        <f t="shared" si="0"/>
        <v>12.164350000000001</v>
      </c>
      <c r="F27" s="1549">
        <f t="shared" si="7"/>
        <v>12164.35</v>
      </c>
      <c r="G27" s="1548">
        <f t="shared" si="0"/>
        <v>0</v>
      </c>
      <c r="H27" s="1557"/>
      <c r="I27" s="1551">
        <f t="shared" si="1"/>
        <v>12.164350000000001</v>
      </c>
      <c r="K27" s="1226">
        <v>602</v>
      </c>
      <c r="L27" s="1226">
        <v>602313</v>
      </c>
      <c r="M27" s="1642">
        <f t="shared" si="8"/>
        <v>12164.35</v>
      </c>
      <c r="N27" s="1639">
        <v>-12164.35</v>
      </c>
      <c r="O27" s="1226"/>
      <c r="P27" s="1639"/>
      <c r="Q27" s="1639"/>
      <c r="R27" s="1922">
        <f t="shared" si="4"/>
        <v>3.0156131082679071E-5</v>
      </c>
      <c r="S27" s="1922">
        <f t="shared" si="5"/>
        <v>0</v>
      </c>
    </row>
    <row r="28" spans="1:19" x14ac:dyDescent="0.25">
      <c r="A28" s="1553">
        <f t="shared" si="6"/>
        <v>18</v>
      </c>
      <c r="B28" s="1546">
        <v>602</v>
      </c>
      <c r="C28" s="1547">
        <v>60233</v>
      </c>
      <c r="D28" s="1547" t="s">
        <v>1646</v>
      </c>
      <c r="E28" s="1548">
        <f t="shared" si="0"/>
        <v>0</v>
      </c>
      <c r="F28" s="1601">
        <v>0</v>
      </c>
      <c r="G28" s="1548">
        <f t="shared" si="0"/>
        <v>47.486650000000004</v>
      </c>
      <c r="H28" s="1595">
        <f>P28</f>
        <v>47486.65</v>
      </c>
      <c r="I28" s="1551">
        <f t="shared" si="1"/>
        <v>47.486650000000004</v>
      </c>
      <c r="K28" s="1226"/>
      <c r="L28" s="1226"/>
      <c r="M28" s="1639"/>
      <c r="N28" s="1639"/>
      <c r="O28" s="1226">
        <v>60233</v>
      </c>
      <c r="P28" s="1656">
        <f t="shared" si="3"/>
        <v>47486.65</v>
      </c>
      <c r="Q28" s="1639">
        <v>-47486.65</v>
      </c>
      <c r="R28" s="1922">
        <f t="shared" si="4"/>
        <v>0</v>
      </c>
      <c r="S28" s="1922">
        <f t="shared" si="5"/>
        <v>7.417355242810953E-4</v>
      </c>
    </row>
    <row r="29" spans="1:19" s="139" customFormat="1" x14ac:dyDescent="0.25">
      <c r="A29" s="1553">
        <f t="shared" si="6"/>
        <v>19</v>
      </c>
      <c r="B29" s="1966">
        <v>602</v>
      </c>
      <c r="C29" s="1967">
        <v>60234</v>
      </c>
      <c r="D29" s="1968" t="s">
        <v>1705</v>
      </c>
      <c r="E29" s="1969">
        <f t="shared" ref="E29:E31" si="9">F29/1000</f>
        <v>0</v>
      </c>
      <c r="F29" s="1601">
        <v>0</v>
      </c>
      <c r="G29" s="1969">
        <f t="shared" ref="G29:G31" si="10">H29/1000</f>
        <v>39.225000000000001</v>
      </c>
      <c r="H29" s="1595">
        <f>P29</f>
        <v>39225</v>
      </c>
      <c r="I29" s="1551">
        <f t="shared" ref="I29:I31" si="11">E29+G29</f>
        <v>39.225000000000001</v>
      </c>
      <c r="K29" s="1226"/>
      <c r="L29" s="1226"/>
      <c r="M29" s="1639"/>
      <c r="N29" s="1639"/>
      <c r="O29" s="1226">
        <v>60234</v>
      </c>
      <c r="P29" s="1656">
        <f t="shared" si="3"/>
        <v>39225</v>
      </c>
      <c r="Q29" s="1639">
        <v>-39225</v>
      </c>
      <c r="R29" s="1922">
        <f t="shared" si="4"/>
        <v>0</v>
      </c>
      <c r="S29" s="1922">
        <f t="shared" si="5"/>
        <v>6.1268958622951841E-4</v>
      </c>
    </row>
    <row r="30" spans="1:19" s="139" customFormat="1" x14ac:dyDescent="0.25">
      <c r="A30" s="1553">
        <f t="shared" si="6"/>
        <v>20</v>
      </c>
      <c r="B30" s="1966">
        <v>602</v>
      </c>
      <c r="C30" s="1967">
        <v>60235</v>
      </c>
      <c r="D30" s="1968" t="s">
        <v>1706</v>
      </c>
      <c r="E30" s="1969">
        <f t="shared" si="9"/>
        <v>0</v>
      </c>
      <c r="F30" s="1601">
        <v>0</v>
      </c>
      <c r="G30" s="1969">
        <f t="shared" si="10"/>
        <v>6.9421499999999998</v>
      </c>
      <c r="H30" s="1595">
        <f t="shared" ref="H30:H31" si="12">P30</f>
        <v>6942.15</v>
      </c>
      <c r="I30" s="1551">
        <f t="shared" si="11"/>
        <v>6.9421499999999998</v>
      </c>
      <c r="K30" s="1226"/>
      <c r="L30" s="1226"/>
      <c r="M30" s="1639"/>
      <c r="N30" s="1639"/>
      <c r="O30" s="1226">
        <v>60235</v>
      </c>
      <c r="P30" s="1656">
        <f t="shared" si="3"/>
        <v>6942.15</v>
      </c>
      <c r="Q30" s="1639">
        <v>-6942.15</v>
      </c>
      <c r="R30" s="1922">
        <f t="shared" si="4"/>
        <v>0</v>
      </c>
      <c r="S30" s="1922">
        <f t="shared" si="5"/>
        <v>1.0843551334718295E-4</v>
      </c>
    </row>
    <row r="31" spans="1:19" s="139" customFormat="1" x14ac:dyDescent="0.25">
      <c r="A31" s="1553">
        <f t="shared" si="6"/>
        <v>21</v>
      </c>
      <c r="B31" s="1546">
        <v>602</v>
      </c>
      <c r="C31" s="1657">
        <v>60241</v>
      </c>
      <c r="D31" s="1658" t="s">
        <v>1707</v>
      </c>
      <c r="E31" s="1548">
        <f t="shared" si="9"/>
        <v>0</v>
      </c>
      <c r="F31" s="1601">
        <v>0</v>
      </c>
      <c r="G31" s="1548">
        <f t="shared" si="10"/>
        <v>0.87309000000000003</v>
      </c>
      <c r="H31" s="1595">
        <f t="shared" si="12"/>
        <v>873.09</v>
      </c>
      <c r="I31" s="1551">
        <f t="shared" si="11"/>
        <v>0.87309000000000003</v>
      </c>
      <c r="K31" s="1226"/>
      <c r="L31" s="1226"/>
      <c r="M31" s="1639"/>
      <c r="N31" s="1639"/>
      <c r="O31" s="1226">
        <v>60241</v>
      </c>
      <c r="P31" s="1656">
        <f t="shared" si="3"/>
        <v>873.09</v>
      </c>
      <c r="Q31" s="1639">
        <v>-873.09</v>
      </c>
      <c r="R31" s="1922">
        <f t="shared" si="4"/>
        <v>0</v>
      </c>
      <c r="S31" s="1922">
        <f t="shared" si="5"/>
        <v>1.3637556426797458E-5</v>
      </c>
    </row>
    <row r="32" spans="1:19" x14ac:dyDescent="0.25">
      <c r="A32" s="1553">
        <f t="shared" si="6"/>
        <v>22</v>
      </c>
      <c r="B32" s="1646">
        <v>602</v>
      </c>
      <c r="C32" s="1604">
        <v>6027</v>
      </c>
      <c r="D32" s="1604" t="s">
        <v>1647</v>
      </c>
      <c r="E32" s="1605">
        <f t="shared" si="0"/>
        <v>0</v>
      </c>
      <c r="F32" s="1606">
        <v>0</v>
      </c>
      <c r="G32" s="1607">
        <f t="shared" si="0"/>
        <v>14946.12328</v>
      </c>
      <c r="H32" s="1608">
        <f>P32</f>
        <v>14946123.279999999</v>
      </c>
      <c r="I32" s="1609">
        <f t="shared" si="1"/>
        <v>14946.12328</v>
      </c>
      <c r="K32" s="1226"/>
      <c r="L32" s="1226"/>
      <c r="M32" s="1639"/>
      <c r="N32" s="1639"/>
      <c r="O32" s="1226">
        <v>6027</v>
      </c>
      <c r="P32" s="1656">
        <f t="shared" si="3"/>
        <v>14946123.279999999</v>
      </c>
      <c r="Q32" s="1639">
        <v>-14946123.279999999</v>
      </c>
      <c r="R32" s="1922">
        <f t="shared" si="4"/>
        <v>0</v>
      </c>
      <c r="S32" s="2193">
        <f t="shared" si="5"/>
        <v>0.23345657331188205</v>
      </c>
    </row>
    <row r="33" spans="1:19" x14ac:dyDescent="0.25">
      <c r="A33" s="1553">
        <f t="shared" si="6"/>
        <v>23</v>
      </c>
      <c r="B33" s="1965">
        <v>602</v>
      </c>
      <c r="C33" s="1939">
        <v>6028</v>
      </c>
      <c r="D33" s="1939" t="s">
        <v>1648</v>
      </c>
      <c r="E33" s="1602">
        <f t="shared" si="0"/>
        <v>0</v>
      </c>
      <c r="F33" s="1601">
        <v>0</v>
      </c>
      <c r="G33" s="1602">
        <f t="shared" si="0"/>
        <v>79.938850000000002</v>
      </c>
      <c r="H33" s="1595">
        <f>P33</f>
        <v>79938.850000000006</v>
      </c>
      <c r="I33" s="1551">
        <f t="shared" si="1"/>
        <v>79.938850000000002</v>
      </c>
      <c r="K33" s="1226"/>
      <c r="L33" s="1226"/>
      <c r="M33" s="1639"/>
      <c r="N33" s="1639"/>
      <c r="O33" s="1226">
        <v>6028</v>
      </c>
      <c r="P33" s="1656">
        <f t="shared" si="3"/>
        <v>79938.850000000006</v>
      </c>
      <c r="Q33" s="1639">
        <v>-79938.850000000006</v>
      </c>
      <c r="R33" s="1922">
        <f t="shared" si="4"/>
        <v>0</v>
      </c>
      <c r="S33" s="1922">
        <f t="shared" si="5"/>
        <v>1.24863482294872E-3</v>
      </c>
    </row>
    <row r="34" spans="1:19" x14ac:dyDescent="0.25">
      <c r="A34" s="1553">
        <f t="shared" si="6"/>
        <v>24</v>
      </c>
      <c r="B34" s="1610">
        <v>602</v>
      </c>
      <c r="C34" s="1611"/>
      <c r="D34" s="1611"/>
      <c r="E34" s="1612">
        <f>SUM(E14:E33)</f>
        <v>3003.7777300000002</v>
      </c>
      <c r="F34" s="1613">
        <f>SUM(F14:F33)</f>
        <v>3003777.7300000004</v>
      </c>
      <c r="G34" s="1612">
        <f>SUM(G14:G33)</f>
        <v>25089.996090000001</v>
      </c>
      <c r="H34" s="1562">
        <f>SUM(H14:H33)</f>
        <v>25089996.090000004</v>
      </c>
      <c r="I34" s="1551">
        <f t="shared" si="1"/>
        <v>28093.773820000002</v>
      </c>
      <c r="K34" s="1226"/>
      <c r="L34" s="1226"/>
      <c r="M34" s="1648">
        <f>SUM(M14:M33)</f>
        <v>3003777.7300000004</v>
      </c>
      <c r="N34" s="1639"/>
      <c r="O34" s="1226"/>
      <c r="P34" s="1639"/>
      <c r="Q34" s="1639"/>
      <c r="R34" s="1922">
        <f t="shared" si="4"/>
        <v>7.4465396810443783E-3</v>
      </c>
      <c r="S34" s="2193">
        <f t="shared" si="5"/>
        <v>0.39190259586698117</v>
      </c>
    </row>
    <row r="35" spans="1:19" x14ac:dyDescent="0.25">
      <c r="A35" s="1553">
        <f t="shared" si="6"/>
        <v>25</v>
      </c>
      <c r="B35" s="1558">
        <v>604</v>
      </c>
      <c r="C35" s="1559">
        <v>604</v>
      </c>
      <c r="D35" s="1559" t="s">
        <v>1649</v>
      </c>
      <c r="E35" s="1560">
        <f t="shared" si="0"/>
        <v>0</v>
      </c>
      <c r="F35" s="1613">
        <v>0</v>
      </c>
      <c r="G35" s="1560">
        <f t="shared" si="0"/>
        <v>14.253309999999999</v>
      </c>
      <c r="H35" s="1600">
        <f>P35</f>
        <v>14253.31</v>
      </c>
      <c r="I35" s="1551">
        <f t="shared" si="1"/>
        <v>14.253309999999999</v>
      </c>
      <c r="K35" s="1226"/>
      <c r="L35" s="1226"/>
      <c r="M35" s="1639"/>
      <c r="N35" s="1639"/>
      <c r="O35" s="1226">
        <v>604</v>
      </c>
      <c r="P35" s="1656">
        <f t="shared" si="3"/>
        <v>14253.31</v>
      </c>
      <c r="Q35" s="1639">
        <v>-14253.31</v>
      </c>
      <c r="R35" s="1922">
        <f t="shared" si="4"/>
        <v>0</v>
      </c>
      <c r="S35" s="1922">
        <f t="shared" si="5"/>
        <v>2.2263491666796832E-4</v>
      </c>
    </row>
    <row r="36" spans="1:19" x14ac:dyDescent="0.25">
      <c r="A36" s="1553">
        <f t="shared" si="6"/>
        <v>26</v>
      </c>
      <c r="B36" s="1558">
        <v>611</v>
      </c>
      <c r="C36" s="1614">
        <v>6111</v>
      </c>
      <c r="D36" s="1559" t="s">
        <v>1650</v>
      </c>
      <c r="E36" s="1560">
        <f t="shared" si="0"/>
        <v>-276.43056999999999</v>
      </c>
      <c r="F36" s="1598">
        <f>M36</f>
        <v>-276430.57</v>
      </c>
      <c r="G36" s="1560">
        <f t="shared" si="0"/>
        <v>0</v>
      </c>
      <c r="H36" s="1562"/>
      <c r="I36" s="1551">
        <f t="shared" si="1"/>
        <v>-276.43056999999999</v>
      </c>
      <c r="K36" s="1226">
        <v>611</v>
      </c>
      <c r="L36" s="1226">
        <v>6111</v>
      </c>
      <c r="M36" s="1642">
        <f t="shared" ref="M36:M48" si="13">N36*-1</f>
        <v>-276430.57</v>
      </c>
      <c r="N36" s="1639">
        <v>276430.57</v>
      </c>
      <c r="O36" s="1226"/>
      <c r="P36" s="1639"/>
      <c r="Q36" s="1639"/>
      <c r="R36" s="1922">
        <f t="shared" si="4"/>
        <v>-6.8528745918850506E-4</v>
      </c>
      <c r="S36" s="1922">
        <f t="shared" si="5"/>
        <v>0</v>
      </c>
    </row>
    <row r="37" spans="1:19" x14ac:dyDescent="0.25">
      <c r="A37" s="1553">
        <f t="shared" si="6"/>
        <v>27</v>
      </c>
      <c r="B37" s="1558">
        <v>613</v>
      </c>
      <c r="C37" s="1559">
        <v>61301</v>
      </c>
      <c r="D37" s="1559" t="s">
        <v>1651</v>
      </c>
      <c r="E37" s="1560">
        <f t="shared" si="0"/>
        <v>-590.19081999999992</v>
      </c>
      <c r="F37" s="1598">
        <f>M37</f>
        <v>-590190.81999999995</v>
      </c>
      <c r="G37" s="1560">
        <f t="shared" si="0"/>
        <v>0</v>
      </c>
      <c r="H37" s="1562"/>
      <c r="I37" s="1551">
        <f t="shared" si="1"/>
        <v>-590.19081999999992</v>
      </c>
      <c r="K37" s="1226">
        <v>613</v>
      </c>
      <c r="L37" s="1226">
        <v>61301</v>
      </c>
      <c r="M37" s="1642">
        <f t="shared" si="13"/>
        <v>-590190.81999999995</v>
      </c>
      <c r="N37" s="1639">
        <v>590190.81999999995</v>
      </c>
      <c r="O37" s="1226"/>
      <c r="P37" s="1639"/>
      <c r="Q37" s="1639"/>
      <c r="R37" s="1922">
        <f t="shared" si="4"/>
        <v>-1.46311736605029E-3</v>
      </c>
      <c r="S37" s="1922">
        <f t="shared" si="5"/>
        <v>0</v>
      </c>
    </row>
    <row r="38" spans="1:19" x14ac:dyDescent="0.25">
      <c r="A38" s="1553">
        <f t="shared" si="6"/>
        <v>28</v>
      </c>
      <c r="B38" s="1558">
        <v>641</v>
      </c>
      <c r="C38" s="1559">
        <v>641</v>
      </c>
      <c r="D38" s="1559" t="s">
        <v>1607</v>
      </c>
      <c r="E38" s="1560">
        <f t="shared" si="0"/>
        <v>0</v>
      </c>
      <c r="F38" s="1598"/>
      <c r="G38" s="1560">
        <f t="shared" si="0"/>
        <v>6.1001700000000003</v>
      </c>
      <c r="H38" s="1600">
        <f>P38</f>
        <v>6100.17</v>
      </c>
      <c r="I38" s="1551">
        <f t="shared" si="1"/>
        <v>6.1001700000000003</v>
      </c>
      <c r="K38" s="1226"/>
      <c r="L38" s="1226"/>
      <c r="M38" s="1639"/>
      <c r="N38" s="1639"/>
      <c r="O38" s="1226">
        <v>641</v>
      </c>
      <c r="P38" s="1656">
        <f t="shared" si="3"/>
        <v>6100.17</v>
      </c>
      <c r="Q38" s="1639">
        <v>-6100.17</v>
      </c>
      <c r="R38" s="1922">
        <f t="shared" si="4"/>
        <v>0</v>
      </c>
      <c r="S38" s="1922">
        <f t="shared" si="5"/>
        <v>9.5283891223192388E-5</v>
      </c>
    </row>
    <row r="39" spans="1:19" x14ac:dyDescent="0.25">
      <c r="A39" s="1553">
        <f t="shared" si="6"/>
        <v>29</v>
      </c>
      <c r="B39" s="1546">
        <v>644</v>
      </c>
      <c r="C39" s="1547">
        <v>644</v>
      </c>
      <c r="D39" s="1547" t="s">
        <v>1652</v>
      </c>
      <c r="E39" s="1548">
        <f t="shared" si="0"/>
        <v>28.92737</v>
      </c>
      <c r="F39" s="1549">
        <f>M39</f>
        <v>28927.37</v>
      </c>
      <c r="G39" s="1548">
        <f t="shared" si="0"/>
        <v>0.67679999999999996</v>
      </c>
      <c r="H39" s="1595">
        <f>P39</f>
        <v>676.8</v>
      </c>
      <c r="I39" s="1551">
        <f t="shared" si="1"/>
        <v>29.60417</v>
      </c>
      <c r="K39" s="1226">
        <v>644</v>
      </c>
      <c r="L39" s="1226">
        <v>644</v>
      </c>
      <c r="M39" s="1642">
        <f t="shared" si="13"/>
        <v>28927.37</v>
      </c>
      <c r="N39" s="1639">
        <v>-28927.37</v>
      </c>
      <c r="O39" s="1226">
        <v>644</v>
      </c>
      <c r="P39" s="1656">
        <f t="shared" si="3"/>
        <v>676.8</v>
      </c>
      <c r="Q39" s="1639">
        <v>-676.8</v>
      </c>
      <c r="R39" s="1922">
        <f t="shared" si="4"/>
        <v>7.1712632536646671E-5</v>
      </c>
      <c r="S39" s="1922">
        <f t="shared" si="5"/>
        <v>1.0571531216319645E-5</v>
      </c>
    </row>
    <row r="40" spans="1:19" x14ac:dyDescent="0.25">
      <c r="A40" s="1553">
        <f t="shared" si="6"/>
        <v>30</v>
      </c>
      <c r="B40" s="1546">
        <v>644</v>
      </c>
      <c r="C40" s="1547">
        <v>6441</v>
      </c>
      <c r="D40" s="1547" t="s">
        <v>1653</v>
      </c>
      <c r="E40" s="1548">
        <f t="shared" si="0"/>
        <v>0</v>
      </c>
      <c r="F40" s="1601">
        <v>0</v>
      </c>
      <c r="G40" s="1548">
        <f t="shared" si="0"/>
        <v>4.1309499999999995</v>
      </c>
      <c r="H40" s="1595">
        <f>P40</f>
        <v>4130.95</v>
      </c>
      <c r="I40" s="1551">
        <f t="shared" si="1"/>
        <v>4.1309499999999995</v>
      </c>
      <c r="K40" s="1226"/>
      <c r="L40" s="1226"/>
      <c r="M40" s="1639"/>
      <c r="N40" s="1639"/>
      <c r="O40" s="1226">
        <v>6441</v>
      </c>
      <c r="P40" s="1656">
        <f t="shared" si="3"/>
        <v>4130.95</v>
      </c>
      <c r="Q40" s="1639">
        <v>-4130.95</v>
      </c>
      <c r="R40" s="1922">
        <f t="shared" si="4"/>
        <v>0</v>
      </c>
      <c r="S40" s="1922">
        <f t="shared" si="5"/>
        <v>6.4524921510129482E-5</v>
      </c>
    </row>
    <row r="41" spans="1:19" x14ac:dyDescent="0.25">
      <c r="A41" s="1553">
        <f t="shared" si="6"/>
        <v>31</v>
      </c>
      <c r="B41" s="1546">
        <v>644</v>
      </c>
      <c r="C41" s="1547">
        <v>6442</v>
      </c>
      <c r="D41" s="1547" t="s">
        <v>1654</v>
      </c>
      <c r="E41" s="1548">
        <f t="shared" si="0"/>
        <v>0</v>
      </c>
      <c r="F41" s="1601">
        <v>0</v>
      </c>
      <c r="G41" s="1548">
        <f t="shared" si="0"/>
        <v>1.09501</v>
      </c>
      <c r="H41" s="1595">
        <f>P41</f>
        <v>1095.01</v>
      </c>
      <c r="I41" s="1551">
        <f t="shared" si="1"/>
        <v>1.09501</v>
      </c>
      <c r="K41" s="1226"/>
      <c r="L41" s="1226"/>
      <c r="M41" s="1639"/>
      <c r="N41" s="1639"/>
      <c r="O41" s="1226">
        <v>6442</v>
      </c>
      <c r="P41" s="1656">
        <f t="shared" si="3"/>
        <v>1095.01</v>
      </c>
      <c r="Q41" s="1639">
        <v>-1095.01</v>
      </c>
      <c r="R41" s="1922">
        <f t="shared" si="4"/>
        <v>0</v>
      </c>
      <c r="S41" s="1922">
        <f t="shared" si="5"/>
        <v>1.7103919026569407E-5</v>
      </c>
    </row>
    <row r="42" spans="1:19" x14ac:dyDescent="0.25">
      <c r="A42" s="1553">
        <f t="shared" si="6"/>
        <v>32</v>
      </c>
      <c r="B42" s="1558">
        <v>644</v>
      </c>
      <c r="C42" s="1559"/>
      <c r="D42" s="1559"/>
      <c r="E42" s="1560">
        <f>SUM(E39:E41)</f>
        <v>28.92737</v>
      </c>
      <c r="F42" s="1613">
        <f>SUM(F39:F41)</f>
        <v>28927.37</v>
      </c>
      <c r="G42" s="1560">
        <f>SUM(G39:G41)</f>
        <v>5.9027599999999998</v>
      </c>
      <c r="H42" s="1562">
        <f>SUM(H39:H41)</f>
        <v>5902.76</v>
      </c>
      <c r="I42" s="1551">
        <f t="shared" si="1"/>
        <v>34.830129999999997</v>
      </c>
      <c r="K42" s="1226"/>
      <c r="L42" s="1226"/>
      <c r="M42" s="1648">
        <f>SUM(M39:M41)</f>
        <v>28927.37</v>
      </c>
      <c r="N42" s="1639"/>
      <c r="O42" s="1226"/>
      <c r="P42" s="1639"/>
      <c r="Q42" s="1639"/>
      <c r="R42" s="1922">
        <f t="shared" si="4"/>
        <v>7.1712632536646671E-5</v>
      </c>
      <c r="S42" s="1922">
        <f t="shared" si="5"/>
        <v>9.2200371753018538E-5</v>
      </c>
    </row>
    <row r="43" spans="1:19" x14ac:dyDescent="0.25">
      <c r="A43" s="1553">
        <f t="shared" si="6"/>
        <v>33</v>
      </c>
      <c r="B43" s="1558">
        <v>645</v>
      </c>
      <c r="C43" s="1614">
        <v>645</v>
      </c>
      <c r="D43" s="1559" t="s">
        <v>1655</v>
      </c>
      <c r="E43" s="1560">
        <f t="shared" si="0"/>
        <v>119.69242999999999</v>
      </c>
      <c r="F43" s="1598">
        <f t="shared" ref="F43:F48" si="14">M43</f>
        <v>119692.43</v>
      </c>
      <c r="G43" s="1560">
        <f t="shared" si="0"/>
        <v>-1.61883</v>
      </c>
      <c r="H43" s="1600">
        <f>P43</f>
        <v>-1618.83</v>
      </c>
      <c r="I43" s="1551">
        <f t="shared" si="1"/>
        <v>118.07359999999998</v>
      </c>
      <c r="K43" s="1226">
        <v>645</v>
      </c>
      <c r="L43" s="1226">
        <v>645</v>
      </c>
      <c r="M43" s="1648">
        <f t="shared" si="13"/>
        <v>119692.43</v>
      </c>
      <c r="N43" s="1639">
        <v>-119692.43</v>
      </c>
      <c r="O43" s="1226">
        <v>645</v>
      </c>
      <c r="P43" s="1656">
        <f t="shared" si="3"/>
        <v>-1618.83</v>
      </c>
      <c r="Q43" s="1639">
        <v>1618.83</v>
      </c>
      <c r="R43" s="1922">
        <f t="shared" si="4"/>
        <v>2.9672449482992416E-4</v>
      </c>
      <c r="S43" s="1922">
        <f t="shared" si="5"/>
        <v>-2.5285921806907108E-5</v>
      </c>
    </row>
    <row r="44" spans="1:19" x14ac:dyDescent="0.25">
      <c r="A44" s="1553">
        <f t="shared" si="6"/>
        <v>34</v>
      </c>
      <c r="B44" s="1546">
        <v>648</v>
      </c>
      <c r="C44" s="1547">
        <v>6481</v>
      </c>
      <c r="D44" s="1547" t="s">
        <v>1656</v>
      </c>
      <c r="E44" s="1548">
        <f t="shared" si="0"/>
        <v>9771.364599999999</v>
      </c>
      <c r="F44" s="1549">
        <f t="shared" si="14"/>
        <v>9771364.5999999996</v>
      </c>
      <c r="G44" s="1548">
        <f t="shared" si="0"/>
        <v>0</v>
      </c>
      <c r="H44" s="1557"/>
      <c r="I44" s="1551">
        <f t="shared" si="1"/>
        <v>9771.364599999999</v>
      </c>
      <c r="K44" s="1226">
        <v>648</v>
      </c>
      <c r="L44" s="1226">
        <v>6481</v>
      </c>
      <c r="M44" s="1642">
        <f t="shared" si="13"/>
        <v>9771364.5999999996</v>
      </c>
      <c r="N44" s="1639">
        <v>-9771364.5999999996</v>
      </c>
      <c r="O44" s="1226"/>
      <c r="P44" s="1639"/>
      <c r="Q44" s="1639"/>
      <c r="R44" s="1922">
        <f t="shared" si="4"/>
        <v>2.4223781109081036E-2</v>
      </c>
      <c r="S44" s="1922">
        <f t="shared" si="5"/>
        <v>0</v>
      </c>
    </row>
    <row r="45" spans="1:19" x14ac:dyDescent="0.25">
      <c r="A45" s="1553">
        <f t="shared" si="6"/>
        <v>35</v>
      </c>
      <c r="B45" s="1546">
        <v>648</v>
      </c>
      <c r="C45" s="1547">
        <v>6482</v>
      </c>
      <c r="D45" s="1547" t="s">
        <v>1657</v>
      </c>
      <c r="E45" s="1548">
        <f t="shared" si="0"/>
        <v>3369.0859999999998</v>
      </c>
      <c r="F45" s="1549">
        <f t="shared" si="14"/>
        <v>3369086</v>
      </c>
      <c r="G45" s="1548">
        <f t="shared" si="0"/>
        <v>0</v>
      </c>
      <c r="H45" s="1557"/>
      <c r="I45" s="1551">
        <f t="shared" si="1"/>
        <v>3369.0859999999998</v>
      </c>
      <c r="K45" s="1226">
        <v>648</v>
      </c>
      <c r="L45" s="1226">
        <v>6482</v>
      </c>
      <c r="M45" s="1642">
        <f t="shared" si="13"/>
        <v>3369086</v>
      </c>
      <c r="N45" s="1639">
        <v>-3369086</v>
      </c>
      <c r="O45" s="1226"/>
      <c r="P45" s="1639"/>
      <c r="Q45" s="1639"/>
      <c r="R45" s="1922">
        <f t="shared" si="4"/>
        <v>8.3521601273244261E-3</v>
      </c>
      <c r="S45" s="1922">
        <f t="shared" si="5"/>
        <v>0</v>
      </c>
    </row>
    <row r="46" spans="1:19" x14ac:dyDescent="0.25">
      <c r="A46" s="1553">
        <f t="shared" si="6"/>
        <v>36</v>
      </c>
      <c r="B46" s="1546">
        <v>648</v>
      </c>
      <c r="C46" s="1555">
        <v>648449</v>
      </c>
      <c r="D46" s="1547" t="s">
        <v>1658</v>
      </c>
      <c r="E46" s="1548">
        <f t="shared" si="0"/>
        <v>520.80915000000005</v>
      </c>
      <c r="F46" s="1549">
        <f t="shared" si="14"/>
        <v>520809.15</v>
      </c>
      <c r="G46" s="1548">
        <f t="shared" si="0"/>
        <v>0</v>
      </c>
      <c r="H46" s="1557"/>
      <c r="I46" s="1551">
        <f t="shared" si="1"/>
        <v>520.80915000000005</v>
      </c>
      <c r="K46" s="1226">
        <v>648</v>
      </c>
      <c r="L46" s="1226">
        <v>648449</v>
      </c>
      <c r="M46" s="1642">
        <f t="shared" si="13"/>
        <v>520809.15</v>
      </c>
      <c r="N46" s="1639">
        <v>-520809.15</v>
      </c>
      <c r="O46" s="1226"/>
      <c r="P46" s="1639"/>
      <c r="Q46" s="1639"/>
      <c r="R46" s="1922">
        <f t="shared" si="4"/>
        <v>1.2911161711442591E-3</v>
      </c>
      <c r="S46" s="1922">
        <f t="shared" si="5"/>
        <v>0</v>
      </c>
    </row>
    <row r="47" spans="1:19" x14ac:dyDescent="0.25">
      <c r="A47" s="1553">
        <f t="shared" si="6"/>
        <v>37</v>
      </c>
      <c r="B47" s="1546">
        <v>648</v>
      </c>
      <c r="C47" s="1547">
        <v>64892</v>
      </c>
      <c r="D47" s="1547" t="s">
        <v>1659</v>
      </c>
      <c r="E47" s="1548">
        <f t="shared" si="0"/>
        <v>677.93114000000003</v>
      </c>
      <c r="F47" s="1549">
        <f t="shared" si="14"/>
        <v>677931.14</v>
      </c>
      <c r="G47" s="1548">
        <f t="shared" si="0"/>
        <v>0</v>
      </c>
      <c r="H47" s="1557"/>
      <c r="I47" s="1551">
        <f t="shared" si="1"/>
        <v>677.93114000000003</v>
      </c>
      <c r="K47" s="1226">
        <v>648</v>
      </c>
      <c r="L47" s="1226">
        <v>64892</v>
      </c>
      <c r="M47" s="1642">
        <f t="shared" si="13"/>
        <v>677931.14</v>
      </c>
      <c r="N47" s="1639">
        <v>-677931.14</v>
      </c>
      <c r="O47" s="1226"/>
      <c r="P47" s="1639"/>
      <c r="Q47" s="1639"/>
      <c r="R47" s="1922">
        <f t="shared" si="4"/>
        <v>1.680630721976107E-3</v>
      </c>
      <c r="S47" s="1922">
        <f t="shared" si="5"/>
        <v>0</v>
      </c>
    </row>
    <row r="48" spans="1:19" x14ac:dyDescent="0.25">
      <c r="A48" s="1553">
        <f t="shared" si="6"/>
        <v>38</v>
      </c>
      <c r="B48" s="1546">
        <v>648</v>
      </c>
      <c r="C48" s="1547">
        <v>648921</v>
      </c>
      <c r="D48" s="1547" t="s">
        <v>1660</v>
      </c>
      <c r="E48" s="1548">
        <f t="shared" si="0"/>
        <v>485.13984999999997</v>
      </c>
      <c r="F48" s="1549">
        <f t="shared" si="14"/>
        <v>485139.85</v>
      </c>
      <c r="G48" s="1548">
        <f t="shared" si="0"/>
        <v>0</v>
      </c>
      <c r="H48" s="1557"/>
      <c r="I48" s="1551">
        <f t="shared" si="1"/>
        <v>485.13984999999997</v>
      </c>
      <c r="K48" s="1226">
        <v>648</v>
      </c>
      <c r="L48" s="1226">
        <v>648921</v>
      </c>
      <c r="M48" s="1642">
        <f t="shared" si="13"/>
        <v>485139.85</v>
      </c>
      <c r="N48" s="1639">
        <v>-485139.85</v>
      </c>
      <c r="O48" s="1226"/>
      <c r="P48" s="1639"/>
      <c r="Q48" s="1639"/>
      <c r="R48" s="1922">
        <f t="shared" si="4"/>
        <v>1.2026899020524122E-3</v>
      </c>
      <c r="S48" s="1922">
        <f t="shared" si="5"/>
        <v>0</v>
      </c>
    </row>
    <row r="49" spans="1:19" x14ac:dyDescent="0.25">
      <c r="A49" s="1553">
        <f t="shared" si="6"/>
        <v>39</v>
      </c>
      <c r="B49" s="1546">
        <v>648</v>
      </c>
      <c r="C49" s="1547">
        <v>648922</v>
      </c>
      <c r="D49" s="1547" t="s">
        <v>1661</v>
      </c>
      <c r="E49" s="1548">
        <f t="shared" si="0"/>
        <v>0</v>
      </c>
      <c r="F49" s="1601"/>
      <c r="G49" s="1548">
        <f t="shared" si="0"/>
        <v>0</v>
      </c>
      <c r="H49" s="1557"/>
      <c r="I49" s="1551">
        <f t="shared" si="1"/>
        <v>0</v>
      </c>
      <c r="K49" s="1226"/>
      <c r="L49" s="1226"/>
      <c r="M49" s="1639"/>
      <c r="N49" s="1639"/>
      <c r="O49" s="1226"/>
      <c r="P49" s="1639"/>
      <c r="Q49" s="1639"/>
      <c r="R49" s="1922">
        <f t="shared" si="4"/>
        <v>0</v>
      </c>
      <c r="S49" s="1922">
        <f t="shared" si="5"/>
        <v>0</v>
      </c>
    </row>
    <row r="50" spans="1:19" x14ac:dyDescent="0.25">
      <c r="A50" s="1553">
        <f t="shared" si="6"/>
        <v>40</v>
      </c>
      <c r="B50" s="1546">
        <v>648</v>
      </c>
      <c r="C50" s="1547">
        <v>648924</v>
      </c>
      <c r="D50" s="1547" t="s">
        <v>1662</v>
      </c>
      <c r="E50" s="1548">
        <f t="shared" si="0"/>
        <v>11945.558560000001</v>
      </c>
      <c r="F50" s="1549">
        <f>M50</f>
        <v>11945558.560000001</v>
      </c>
      <c r="G50" s="1548">
        <f t="shared" si="0"/>
        <v>0</v>
      </c>
      <c r="H50" s="1557"/>
      <c r="I50" s="1551">
        <f t="shared" si="1"/>
        <v>11945.558560000001</v>
      </c>
      <c r="K50" s="1226">
        <v>648</v>
      </c>
      <c r="L50" s="1226">
        <v>648924</v>
      </c>
      <c r="M50" s="1642">
        <f t="shared" ref="M50" si="15">N50*-1</f>
        <v>11945558.560000001</v>
      </c>
      <c r="N50" s="1639">
        <v>-11945558.560000001</v>
      </c>
      <c r="O50" s="139"/>
      <c r="P50" s="1639">
        <f t="shared" si="3"/>
        <v>0</v>
      </c>
      <c r="Q50" s="139"/>
      <c r="R50" s="1922">
        <f t="shared" si="4"/>
        <v>2.9613734378834796E-2</v>
      </c>
      <c r="S50" s="1922">
        <f t="shared" si="5"/>
        <v>0</v>
      </c>
    </row>
    <row r="51" spans="1:19" x14ac:dyDescent="0.25">
      <c r="A51" s="2199">
        <f t="shared" si="6"/>
        <v>41</v>
      </c>
      <c r="B51" s="1621">
        <v>648</v>
      </c>
      <c r="C51" s="1622"/>
      <c r="D51" s="1622"/>
      <c r="E51" s="1623">
        <f>SUM(E44:E50)</f>
        <v>26769.889299999999</v>
      </c>
      <c r="F51" s="1625">
        <f>SUM(F44:F50)</f>
        <v>26769889.300000001</v>
      </c>
      <c r="G51" s="1623">
        <f>SUM(G44:G50)</f>
        <v>0</v>
      </c>
      <c r="H51" s="1625">
        <f>SUM(H44:H50)</f>
        <v>0</v>
      </c>
      <c r="I51" s="2200">
        <f t="shared" si="1"/>
        <v>26769.889299999999</v>
      </c>
      <c r="J51" s="2201"/>
      <c r="K51" s="2202"/>
      <c r="L51" s="2202"/>
      <c r="M51" s="2203">
        <f>SUM(M44:M50)</f>
        <v>26769889.300000001</v>
      </c>
      <c r="N51" s="2204"/>
      <c r="O51" s="2201"/>
      <c r="P51" s="2204">
        <f t="shared" si="3"/>
        <v>0</v>
      </c>
      <c r="Q51" s="2201"/>
      <c r="R51" s="2194">
        <f t="shared" si="4"/>
        <v>6.636411241041304E-2</v>
      </c>
      <c r="S51" s="1922">
        <f t="shared" si="5"/>
        <v>0</v>
      </c>
    </row>
    <row r="52" spans="1:19" x14ac:dyDescent="0.25">
      <c r="A52" s="1553">
        <f t="shared" si="6"/>
        <v>42</v>
      </c>
      <c r="B52" s="1546">
        <v>649</v>
      </c>
      <c r="C52" s="1939">
        <v>6491</v>
      </c>
      <c r="D52" s="1939" t="s">
        <v>1663</v>
      </c>
      <c r="E52" s="1602">
        <f t="shared" si="0"/>
        <v>856.22812999999996</v>
      </c>
      <c r="F52" s="1549">
        <f>M52</f>
        <v>856228.13</v>
      </c>
      <c r="G52" s="1548">
        <f t="shared" si="0"/>
        <v>0</v>
      </c>
      <c r="H52" s="1557"/>
      <c r="I52" s="1551">
        <f t="shared" si="1"/>
        <v>856.22812999999996</v>
      </c>
      <c r="K52" s="1226">
        <v>649</v>
      </c>
      <c r="L52" s="1226">
        <v>6491</v>
      </c>
      <c r="M52" s="1642">
        <f>N52*-1</f>
        <v>856228.13</v>
      </c>
      <c r="N52" s="1639">
        <v>-856228.13</v>
      </c>
      <c r="O52" s="1226"/>
      <c r="P52" s="1639"/>
      <c r="Q52" s="1639"/>
      <c r="R52" s="1922">
        <f t="shared" si="4"/>
        <v>2.122639329266025E-3</v>
      </c>
      <c r="S52" s="1922">
        <f t="shared" si="5"/>
        <v>0</v>
      </c>
    </row>
    <row r="53" spans="1:19" x14ac:dyDescent="0.25">
      <c r="A53" s="1553">
        <f t="shared" si="6"/>
        <v>43</v>
      </c>
      <c r="B53" s="1546">
        <v>649</v>
      </c>
      <c r="C53" s="1547">
        <v>64910</v>
      </c>
      <c r="D53" s="1547" t="s">
        <v>1664</v>
      </c>
      <c r="E53" s="1548">
        <f t="shared" si="0"/>
        <v>0</v>
      </c>
      <c r="F53" s="1601">
        <v>0</v>
      </c>
      <c r="G53" s="1548">
        <f t="shared" si="0"/>
        <v>9.8999999999999999E-4</v>
      </c>
      <c r="H53" s="1557">
        <f>P53</f>
        <v>0.99</v>
      </c>
      <c r="I53" s="1551">
        <f t="shared" si="1"/>
        <v>9.8999999999999999E-4</v>
      </c>
      <c r="K53" s="1226"/>
      <c r="L53" s="1226"/>
      <c r="M53" s="1639"/>
      <c r="N53" s="1639"/>
      <c r="O53" s="1226">
        <v>64910</v>
      </c>
      <c r="P53" s="1656">
        <f t="shared" si="3"/>
        <v>0.99</v>
      </c>
      <c r="Q53" s="1639">
        <v>-0.99</v>
      </c>
      <c r="R53" s="1922">
        <f t="shared" si="4"/>
        <v>0</v>
      </c>
      <c r="S53" s="1922">
        <f t="shared" si="5"/>
        <v>1.546367598131863E-8</v>
      </c>
    </row>
    <row r="54" spans="1:19" x14ac:dyDescent="0.25">
      <c r="A54" s="1553">
        <f t="shared" si="6"/>
        <v>44</v>
      </c>
      <c r="B54" s="1546">
        <v>649</v>
      </c>
      <c r="C54" s="1939">
        <v>64912</v>
      </c>
      <c r="D54" s="1939" t="s">
        <v>1665</v>
      </c>
      <c r="E54" s="1602">
        <f t="shared" si="0"/>
        <v>0</v>
      </c>
      <c r="F54" s="1601">
        <v>0</v>
      </c>
      <c r="G54" s="1602">
        <f t="shared" si="0"/>
        <v>289.07191</v>
      </c>
      <c r="H54" s="1595">
        <f>P54</f>
        <v>289071.90999999997</v>
      </c>
      <c r="I54" s="1551">
        <f t="shared" si="1"/>
        <v>289.07191</v>
      </c>
      <c r="K54" s="1226"/>
      <c r="L54" s="1226"/>
      <c r="M54" s="1639"/>
      <c r="N54" s="1639"/>
      <c r="O54" s="1226">
        <v>64912</v>
      </c>
      <c r="P54" s="1656">
        <f t="shared" si="3"/>
        <v>289071.90999999997</v>
      </c>
      <c r="Q54" s="1639">
        <v>-289071.90999999997</v>
      </c>
      <c r="R54" s="1922">
        <f t="shared" si="4"/>
        <v>0</v>
      </c>
      <c r="S54" s="1922">
        <f t="shared" si="5"/>
        <v>4.5152670217584855E-3</v>
      </c>
    </row>
    <row r="55" spans="1:19" x14ac:dyDescent="0.25">
      <c r="A55" s="1553">
        <f t="shared" si="6"/>
        <v>45</v>
      </c>
      <c r="B55" s="1546">
        <v>649</v>
      </c>
      <c r="C55" s="1555">
        <v>64914</v>
      </c>
      <c r="D55" s="1547" t="s">
        <v>1666</v>
      </c>
      <c r="E55" s="1548">
        <f t="shared" si="0"/>
        <v>0.34958999999999996</v>
      </c>
      <c r="F55" s="1549">
        <f>M55</f>
        <v>349.59</v>
      </c>
      <c r="G55" s="1548">
        <f t="shared" si="0"/>
        <v>0</v>
      </c>
      <c r="H55" s="1557"/>
      <c r="I55" s="1551">
        <f t="shared" si="1"/>
        <v>0.34958999999999996</v>
      </c>
      <c r="K55" s="1226">
        <v>649</v>
      </c>
      <c r="L55" s="1226">
        <v>64914</v>
      </c>
      <c r="M55" s="1642">
        <f t="shared" ref="M55:M57" si="16">N55*-1</f>
        <v>349.59</v>
      </c>
      <c r="N55" s="1639">
        <v>-349.59</v>
      </c>
      <c r="O55" s="1226"/>
      <c r="P55" s="1639"/>
      <c r="Q55" s="1639"/>
      <c r="R55" s="1922">
        <f t="shared" si="4"/>
        <v>8.6665394083479797E-7</v>
      </c>
      <c r="S55" s="1922">
        <f t="shared" si="5"/>
        <v>0</v>
      </c>
    </row>
    <row r="56" spans="1:19" x14ac:dyDescent="0.25">
      <c r="A56" s="1553">
        <f t="shared" si="6"/>
        <v>46</v>
      </c>
      <c r="B56" s="1546">
        <v>649</v>
      </c>
      <c r="C56" s="1939">
        <v>64917</v>
      </c>
      <c r="D56" s="1939" t="s">
        <v>1667</v>
      </c>
      <c r="E56" s="1602">
        <f t="shared" si="0"/>
        <v>394.77217999999999</v>
      </c>
      <c r="F56" s="1549">
        <f>M56</f>
        <v>394772.18</v>
      </c>
      <c r="G56" s="1548">
        <f t="shared" si="0"/>
        <v>0</v>
      </c>
      <c r="H56" s="1557"/>
      <c r="I56" s="1551">
        <f t="shared" si="1"/>
        <v>394.77217999999999</v>
      </c>
      <c r="K56" s="1226">
        <v>649</v>
      </c>
      <c r="L56" s="1226">
        <v>64917</v>
      </c>
      <c r="M56" s="1642">
        <f t="shared" si="16"/>
        <v>394772.18</v>
      </c>
      <c r="N56" s="1639">
        <v>-394772.18</v>
      </c>
      <c r="O56" s="1226"/>
      <c r="P56" s="1639"/>
      <c r="Q56" s="1639"/>
      <c r="R56" s="1922">
        <f t="shared" si="4"/>
        <v>9.7866319267983699E-4</v>
      </c>
      <c r="S56" s="1922">
        <f t="shared" si="5"/>
        <v>0</v>
      </c>
    </row>
    <row r="57" spans="1:19" x14ac:dyDescent="0.25">
      <c r="A57" s="1553">
        <f t="shared" si="6"/>
        <v>47</v>
      </c>
      <c r="B57" s="1603">
        <v>649</v>
      </c>
      <c r="C57" s="1604">
        <v>64918</v>
      </c>
      <c r="D57" s="1604" t="s">
        <v>1668</v>
      </c>
      <c r="E57" s="1607">
        <f t="shared" si="0"/>
        <v>17427.726420000003</v>
      </c>
      <c r="F57" s="1615">
        <f>M57</f>
        <v>17427726.420000002</v>
      </c>
      <c r="G57" s="1616">
        <f t="shared" si="0"/>
        <v>0.56464000000000003</v>
      </c>
      <c r="H57" s="1617">
        <f>P57</f>
        <v>564.64</v>
      </c>
      <c r="I57" s="1609">
        <f t="shared" si="1"/>
        <v>17428.291060000003</v>
      </c>
      <c r="K57" s="1226">
        <v>649</v>
      </c>
      <c r="L57" s="1226">
        <v>64918</v>
      </c>
      <c r="M57" s="1642">
        <f t="shared" si="16"/>
        <v>17427726.420000002</v>
      </c>
      <c r="N57" s="1639">
        <v>-17427726.420000002</v>
      </c>
      <c r="O57" s="1226">
        <v>64918</v>
      </c>
      <c r="P57" s="1656">
        <f t="shared" si="3"/>
        <v>564.64</v>
      </c>
      <c r="Q57" s="1639">
        <v>-564.64</v>
      </c>
      <c r="R57" s="2193">
        <f t="shared" si="4"/>
        <v>4.3204347325963927E-2</v>
      </c>
      <c r="S57" s="1922">
        <f t="shared" si="5"/>
        <v>8.8196060667593447E-6</v>
      </c>
    </row>
    <row r="58" spans="1:19" x14ac:dyDescent="0.25">
      <c r="A58" s="1553">
        <f t="shared" si="6"/>
        <v>48</v>
      </c>
      <c r="B58" s="1603">
        <v>649</v>
      </c>
      <c r="C58" s="1604">
        <v>64919</v>
      </c>
      <c r="D58" s="1604" t="s">
        <v>1669</v>
      </c>
      <c r="E58" s="1616">
        <f t="shared" si="0"/>
        <v>0</v>
      </c>
      <c r="F58" s="1606">
        <v>0</v>
      </c>
      <c r="G58" s="1607">
        <f>H58/1000</f>
        <v>36813.389710000003</v>
      </c>
      <c r="H58" s="1608">
        <f>P58</f>
        <v>36813389.710000001</v>
      </c>
      <c r="I58" s="1609">
        <f t="shared" si="1"/>
        <v>36813.389710000003</v>
      </c>
      <c r="K58" s="1226"/>
      <c r="L58" s="1226"/>
      <c r="M58" s="1639"/>
      <c r="N58" s="1639"/>
      <c r="O58" s="1226">
        <v>64919</v>
      </c>
      <c r="P58" s="1656">
        <f t="shared" si="3"/>
        <v>36813389.710000001</v>
      </c>
      <c r="Q58" s="1639">
        <v>-36813389.710000001</v>
      </c>
      <c r="R58" s="1922">
        <f t="shared" si="4"/>
        <v>0</v>
      </c>
      <c r="S58" s="2193">
        <f t="shared" si="5"/>
        <v>0.57502053560550448</v>
      </c>
    </row>
    <row r="59" spans="1:19" x14ac:dyDescent="0.25">
      <c r="A59" s="1553">
        <f t="shared" si="6"/>
        <v>49</v>
      </c>
      <c r="B59" s="1546">
        <v>649</v>
      </c>
      <c r="C59" s="1939">
        <v>64920</v>
      </c>
      <c r="D59" s="1939" t="s">
        <v>1670</v>
      </c>
      <c r="E59" s="1602">
        <f t="shared" si="0"/>
        <v>0</v>
      </c>
      <c r="F59" s="1601">
        <v>0</v>
      </c>
      <c r="G59" s="1602">
        <f t="shared" si="0"/>
        <v>178.42644000000001</v>
      </c>
      <c r="H59" s="1595">
        <f>P59</f>
        <v>178426.44</v>
      </c>
      <c r="I59" s="1551">
        <f t="shared" si="1"/>
        <v>178.42644000000001</v>
      </c>
      <c r="K59" s="1226"/>
      <c r="L59" s="1226"/>
      <c r="M59" s="1639"/>
      <c r="N59" s="1639"/>
      <c r="O59" s="1226">
        <v>64920</v>
      </c>
      <c r="P59" s="1656">
        <f t="shared" si="3"/>
        <v>178426.44</v>
      </c>
      <c r="Q59" s="1639">
        <v>-178426.44</v>
      </c>
      <c r="R59" s="1922">
        <f t="shared" si="4"/>
        <v>0</v>
      </c>
      <c r="S59" s="1922">
        <f t="shared" si="5"/>
        <v>2.7869986410708988E-3</v>
      </c>
    </row>
    <row r="60" spans="1:19" x14ac:dyDescent="0.25">
      <c r="A60" s="1553">
        <f t="shared" si="6"/>
        <v>50</v>
      </c>
      <c r="B60" s="1546">
        <v>649</v>
      </c>
      <c r="C60" s="1566">
        <v>64921</v>
      </c>
      <c r="D60" s="1547" t="s">
        <v>1671</v>
      </c>
      <c r="E60" s="1548">
        <f t="shared" si="0"/>
        <v>0</v>
      </c>
      <c r="F60" s="1549">
        <v>0</v>
      </c>
      <c r="G60" s="1548">
        <f t="shared" si="0"/>
        <v>0</v>
      </c>
      <c r="H60" s="1557"/>
      <c r="I60" s="1551">
        <f t="shared" si="1"/>
        <v>0</v>
      </c>
      <c r="K60" s="1226"/>
      <c r="L60" s="1226"/>
      <c r="M60" s="1639"/>
      <c r="N60" s="1639"/>
      <c r="O60" s="1226"/>
      <c r="P60" s="1639"/>
      <c r="Q60" s="1639"/>
      <c r="R60" s="1922">
        <f t="shared" si="4"/>
        <v>0</v>
      </c>
      <c r="S60" s="1922">
        <f t="shared" si="5"/>
        <v>0</v>
      </c>
    </row>
    <row r="61" spans="1:19" s="139" customFormat="1" x14ac:dyDescent="0.25">
      <c r="A61" s="1553">
        <f t="shared" si="6"/>
        <v>51</v>
      </c>
      <c r="B61" s="1645">
        <v>649</v>
      </c>
      <c r="C61" s="1644">
        <v>6493</v>
      </c>
      <c r="D61" s="1658" t="s">
        <v>1708</v>
      </c>
      <c r="E61" s="1548">
        <f t="shared" si="0"/>
        <v>149.87620000000001</v>
      </c>
      <c r="F61" s="1549">
        <f t="shared" ref="F61:F67" si="17">M61</f>
        <v>149876.20000000001</v>
      </c>
      <c r="G61" s="1548">
        <f t="shared" si="0"/>
        <v>0</v>
      </c>
      <c r="H61" s="1557"/>
      <c r="I61" s="1551">
        <f t="shared" si="1"/>
        <v>149.87620000000001</v>
      </c>
      <c r="K61" s="1226">
        <v>649</v>
      </c>
      <c r="L61" s="1226">
        <v>6493</v>
      </c>
      <c r="M61" s="1642">
        <f t="shared" ref="M61:M69" si="18">N61*-1</f>
        <v>149876.20000000001</v>
      </c>
      <c r="N61" s="1639">
        <v>-149876.20000000001</v>
      </c>
      <c r="P61" s="1639">
        <f t="shared" si="3"/>
        <v>0</v>
      </c>
      <c r="R61" s="1922">
        <f t="shared" si="4"/>
        <v>3.7155181603405236E-4</v>
      </c>
      <c r="S61" s="1922">
        <f t="shared" si="5"/>
        <v>0</v>
      </c>
    </row>
    <row r="62" spans="1:19" x14ac:dyDescent="0.25">
      <c r="A62" s="1553">
        <f t="shared" si="6"/>
        <v>52</v>
      </c>
      <c r="B62" s="1546">
        <v>649</v>
      </c>
      <c r="C62" s="1618">
        <v>6495</v>
      </c>
      <c r="D62" s="1618" t="s">
        <v>1672</v>
      </c>
      <c r="E62" s="1619">
        <f t="shared" si="0"/>
        <v>4228.2485999999999</v>
      </c>
      <c r="F62" s="1549">
        <f t="shared" si="17"/>
        <v>4228248.5999999996</v>
      </c>
      <c r="G62" s="1548">
        <f t="shared" si="0"/>
        <v>0</v>
      </c>
      <c r="H62" s="1557"/>
      <c r="I62" s="1551">
        <f t="shared" si="1"/>
        <v>4228.2485999999999</v>
      </c>
      <c r="K62" s="1226">
        <v>649</v>
      </c>
      <c r="L62" s="1226">
        <v>6495</v>
      </c>
      <c r="M62" s="1642">
        <f t="shared" si="18"/>
        <v>4228248.5999999996</v>
      </c>
      <c r="N62" s="1639">
        <v>-4228248.5999999996</v>
      </c>
      <c r="P62" s="1639">
        <f t="shared" si="3"/>
        <v>0</v>
      </c>
      <c r="R62" s="1922">
        <f t="shared" si="4"/>
        <v>1.048207417837815E-2</v>
      </c>
      <c r="S62" s="1922">
        <f t="shared" si="5"/>
        <v>0</v>
      </c>
    </row>
    <row r="63" spans="1:19" x14ac:dyDescent="0.25">
      <c r="A63" s="1553">
        <f t="shared" si="6"/>
        <v>53</v>
      </c>
      <c r="B63" s="1546">
        <v>649</v>
      </c>
      <c r="C63" s="1620">
        <v>64951</v>
      </c>
      <c r="D63" s="1618" t="s">
        <v>1673</v>
      </c>
      <c r="E63" s="1619">
        <f t="shared" si="0"/>
        <v>107.203</v>
      </c>
      <c r="F63" s="1549">
        <f t="shared" si="17"/>
        <v>107203</v>
      </c>
      <c r="G63" s="1548">
        <f t="shared" si="0"/>
        <v>0</v>
      </c>
      <c r="H63" s="1557"/>
      <c r="I63" s="1551">
        <f t="shared" si="1"/>
        <v>107.203</v>
      </c>
      <c r="K63" s="1226">
        <v>649</v>
      </c>
      <c r="L63" s="1226">
        <v>64951</v>
      </c>
      <c r="M63" s="1642">
        <f t="shared" si="18"/>
        <v>107203</v>
      </c>
      <c r="N63" s="1639">
        <v>-107203</v>
      </c>
      <c r="P63" s="1639">
        <f t="shared" si="3"/>
        <v>0</v>
      </c>
      <c r="R63" s="1922">
        <f t="shared" si="4"/>
        <v>2.6576247152181943E-4</v>
      </c>
      <c r="S63" s="1922">
        <f t="shared" si="5"/>
        <v>0</v>
      </c>
    </row>
    <row r="64" spans="1:19" x14ac:dyDescent="0.25">
      <c r="A64" s="1553">
        <f t="shared" si="6"/>
        <v>54</v>
      </c>
      <c r="B64" s="1546">
        <v>649</v>
      </c>
      <c r="C64" s="1547">
        <v>649551</v>
      </c>
      <c r="D64" s="1547" t="s">
        <v>1674</v>
      </c>
      <c r="E64" s="1548">
        <f t="shared" si="0"/>
        <v>12099.5771</v>
      </c>
      <c r="F64" s="1549">
        <f t="shared" si="17"/>
        <v>12099577.1</v>
      </c>
      <c r="G64" s="1548">
        <f t="shared" si="0"/>
        <v>0</v>
      </c>
      <c r="H64" s="1557"/>
      <c r="I64" s="1551">
        <f t="shared" si="1"/>
        <v>12099.5771</v>
      </c>
      <c r="K64" s="1226">
        <v>649</v>
      </c>
      <c r="L64" s="1226">
        <v>649551</v>
      </c>
      <c r="M64" s="1642">
        <f t="shared" si="18"/>
        <v>12099577.1</v>
      </c>
      <c r="N64" s="1639">
        <v>-12099577.1</v>
      </c>
      <c r="P64" s="1639">
        <f t="shared" si="3"/>
        <v>0</v>
      </c>
      <c r="R64" s="1922">
        <f t="shared" si="4"/>
        <v>2.9995555296631705E-2</v>
      </c>
      <c r="S64" s="1922">
        <f t="shared" si="5"/>
        <v>0</v>
      </c>
    </row>
    <row r="65" spans="1:19" x14ac:dyDescent="0.25">
      <c r="A65" s="1553">
        <f t="shared" si="6"/>
        <v>55</v>
      </c>
      <c r="B65" s="1546">
        <v>649</v>
      </c>
      <c r="C65" s="1547">
        <v>6499</v>
      </c>
      <c r="D65" s="1547" t="s">
        <v>1675</v>
      </c>
      <c r="E65" s="1548">
        <f t="shared" si="0"/>
        <v>576.86973999999998</v>
      </c>
      <c r="F65" s="1549">
        <f t="shared" si="17"/>
        <v>576869.74</v>
      </c>
      <c r="G65" s="1548">
        <f t="shared" si="0"/>
        <v>636.62751000000003</v>
      </c>
      <c r="H65" s="1595">
        <f>P65</f>
        <v>636627.51</v>
      </c>
      <c r="I65" s="1551">
        <f t="shared" si="1"/>
        <v>1213.4972499999999</v>
      </c>
      <c r="K65" s="1226">
        <v>649</v>
      </c>
      <c r="L65" s="1226">
        <v>6499</v>
      </c>
      <c r="M65" s="1642">
        <f t="shared" si="18"/>
        <v>576869.74</v>
      </c>
      <c r="N65" s="1639">
        <v>-576869.74</v>
      </c>
      <c r="O65" s="1226">
        <v>6499</v>
      </c>
      <c r="P65" s="1656">
        <f t="shared" si="3"/>
        <v>636627.51</v>
      </c>
      <c r="Q65" s="1639">
        <v>-636627.51</v>
      </c>
      <c r="R65" s="1922">
        <f t="shared" si="4"/>
        <v>1.4300936340265605E-3</v>
      </c>
      <c r="S65" s="1922">
        <f t="shared" si="5"/>
        <v>9.9440419549835218E-3</v>
      </c>
    </row>
    <row r="66" spans="1:19" x14ac:dyDescent="0.25">
      <c r="A66" s="1553">
        <f t="shared" si="6"/>
        <v>56</v>
      </c>
      <c r="B66" s="1546">
        <v>649</v>
      </c>
      <c r="C66" s="1547">
        <v>64990</v>
      </c>
      <c r="D66" s="1547" t="s">
        <v>1676</v>
      </c>
      <c r="E66" s="1548">
        <f t="shared" si="0"/>
        <v>439.09934999999996</v>
      </c>
      <c r="F66" s="1549">
        <f t="shared" si="17"/>
        <v>439099.35</v>
      </c>
      <c r="G66" s="1548">
        <f t="shared" si="0"/>
        <v>0</v>
      </c>
      <c r="H66" s="1595"/>
      <c r="I66" s="1551">
        <f t="shared" si="1"/>
        <v>439.09934999999996</v>
      </c>
      <c r="K66" s="1226">
        <v>649</v>
      </c>
      <c r="L66" s="1226">
        <v>64990</v>
      </c>
      <c r="M66" s="1642">
        <f t="shared" si="18"/>
        <v>439099.35</v>
      </c>
      <c r="N66" s="1639">
        <v>-439099.35</v>
      </c>
      <c r="P66" s="1639">
        <f t="shared" si="3"/>
        <v>0</v>
      </c>
      <c r="R66" s="1922">
        <f t="shared" si="4"/>
        <v>1.0885528250107219E-3</v>
      </c>
      <c r="S66" s="1922">
        <f t="shared" si="5"/>
        <v>0</v>
      </c>
    </row>
    <row r="67" spans="1:19" x14ac:dyDescent="0.25">
      <c r="A67" s="1553">
        <f t="shared" si="6"/>
        <v>57</v>
      </c>
      <c r="B67" s="1546">
        <v>649</v>
      </c>
      <c r="C67" s="1547">
        <v>64995</v>
      </c>
      <c r="D67" s="1547" t="s">
        <v>1677</v>
      </c>
      <c r="E67" s="1548">
        <f t="shared" si="0"/>
        <v>19.538</v>
      </c>
      <c r="F67" s="1549">
        <f t="shared" si="17"/>
        <v>19538</v>
      </c>
      <c r="G67" s="1548">
        <f t="shared" si="0"/>
        <v>0</v>
      </c>
      <c r="H67" s="1595"/>
      <c r="I67" s="1551">
        <f t="shared" si="1"/>
        <v>19.538</v>
      </c>
      <c r="K67" s="1226">
        <v>649</v>
      </c>
      <c r="L67" s="1226">
        <v>64995</v>
      </c>
      <c r="M67" s="1642">
        <f t="shared" si="18"/>
        <v>19538</v>
      </c>
      <c r="N67" s="1639">
        <v>-19538</v>
      </c>
      <c r="P67" s="1639">
        <f t="shared" si="3"/>
        <v>0</v>
      </c>
      <c r="R67" s="1922">
        <f t="shared" si="4"/>
        <v>4.8435838256329658E-5</v>
      </c>
      <c r="S67" s="1922">
        <f t="shared" si="5"/>
        <v>0</v>
      </c>
    </row>
    <row r="68" spans="1:19" s="139" customFormat="1" x14ac:dyDescent="0.25">
      <c r="A68" s="1553">
        <f t="shared" si="6"/>
        <v>58</v>
      </c>
      <c r="B68" s="1546">
        <v>649</v>
      </c>
      <c r="C68" s="1547">
        <v>64998</v>
      </c>
      <c r="D68" s="1547" t="s">
        <v>1678</v>
      </c>
      <c r="E68" s="1548">
        <f t="shared" si="0"/>
        <v>0</v>
      </c>
      <c r="F68" s="1549">
        <v>0</v>
      </c>
      <c r="G68" s="1548">
        <f t="shared" si="0"/>
        <v>0</v>
      </c>
      <c r="H68" s="1595"/>
      <c r="I68" s="1551">
        <f t="shared" si="1"/>
        <v>0</v>
      </c>
      <c r="K68" s="1226"/>
      <c r="L68" s="1226"/>
      <c r="M68" s="1642"/>
      <c r="N68" s="1639"/>
      <c r="P68" s="1639">
        <f t="shared" si="3"/>
        <v>0</v>
      </c>
      <c r="R68" s="1922">
        <f t="shared" si="4"/>
        <v>0</v>
      </c>
      <c r="S68" s="1922">
        <f t="shared" si="5"/>
        <v>0</v>
      </c>
    </row>
    <row r="69" spans="1:19" x14ac:dyDescent="0.25">
      <c r="A69" s="1553">
        <f t="shared" si="6"/>
        <v>59</v>
      </c>
      <c r="B69" s="1546">
        <v>649</v>
      </c>
      <c r="C69" s="1547">
        <v>649999</v>
      </c>
      <c r="D69" s="1658" t="s">
        <v>1709</v>
      </c>
      <c r="E69" s="1548">
        <f t="shared" si="0"/>
        <v>2.8140000000000001</v>
      </c>
      <c r="F69" s="1549">
        <f>M69</f>
        <v>2814</v>
      </c>
      <c r="G69" s="1548">
        <f t="shared" si="0"/>
        <v>0</v>
      </c>
      <c r="H69" s="1557"/>
      <c r="I69" s="1551">
        <f t="shared" si="1"/>
        <v>2.8140000000000001</v>
      </c>
      <c r="K69" s="1226">
        <v>649</v>
      </c>
      <c r="L69" s="1226">
        <v>649999</v>
      </c>
      <c r="M69" s="1642">
        <f t="shared" si="18"/>
        <v>2814</v>
      </c>
      <c r="N69" s="1639">
        <v>-2814</v>
      </c>
      <c r="P69" s="1639">
        <f t="shared" si="3"/>
        <v>0</v>
      </c>
      <c r="R69" s="1922">
        <f t="shared" si="4"/>
        <v>6.9760696516179573E-6</v>
      </c>
      <c r="S69" s="1922">
        <f t="shared" si="5"/>
        <v>0</v>
      </c>
    </row>
    <row r="70" spans="1:19" ht="16.5" customHeight="1" x14ac:dyDescent="0.25">
      <c r="A70" s="1553">
        <f t="shared" si="6"/>
        <v>60</v>
      </c>
      <c r="B70" s="1558">
        <v>649</v>
      </c>
      <c r="C70" s="1559"/>
      <c r="D70" s="1559"/>
      <c r="E70" s="1560">
        <f>SUM(E52:E69)</f>
        <v>36302.302309999999</v>
      </c>
      <c r="F70" s="1613">
        <f>SUM(F52:F69)</f>
        <v>36302302.310000002</v>
      </c>
      <c r="G70" s="1560">
        <f>SUM(G52:G69)</f>
        <v>37918.081200000008</v>
      </c>
      <c r="H70" s="1562">
        <f>SUM(H52:H69)</f>
        <v>37918081.199999996</v>
      </c>
      <c r="I70" s="1551">
        <f t="shared" si="1"/>
        <v>74220.383510000014</v>
      </c>
      <c r="K70" s="1226"/>
      <c r="L70" s="1226"/>
      <c r="M70" s="1648">
        <f>SUM(M52:M69)</f>
        <v>36302302.310000002</v>
      </c>
      <c r="N70" s="1639"/>
      <c r="P70" s="1639">
        <f t="shared" si="3"/>
        <v>0</v>
      </c>
      <c r="R70" s="2193">
        <f t="shared" si="4"/>
        <v>8.9995518631361571E-2</v>
      </c>
      <c r="S70" s="2193">
        <f t="shared" si="5"/>
        <v>0.59227567829306016</v>
      </c>
    </row>
    <row r="71" spans="1:19" x14ac:dyDescent="0.25">
      <c r="A71" s="1553">
        <f t="shared" si="6"/>
        <v>61</v>
      </c>
      <c r="B71" s="1621">
        <v>652</v>
      </c>
      <c r="C71" s="1622">
        <v>652</v>
      </c>
      <c r="D71" s="1622" t="s">
        <v>1679</v>
      </c>
      <c r="E71" s="1623">
        <f t="shared" si="0"/>
        <v>10.914999999999999</v>
      </c>
      <c r="F71" s="1598">
        <f>M71</f>
        <v>10915</v>
      </c>
      <c r="G71" s="1560">
        <f t="shared" si="0"/>
        <v>0</v>
      </c>
      <c r="H71" s="1562"/>
      <c r="I71" s="1551">
        <f t="shared" si="1"/>
        <v>10.914999999999999</v>
      </c>
      <c r="K71" s="1226">
        <v>652</v>
      </c>
      <c r="L71" s="1226">
        <v>652</v>
      </c>
      <c r="M71" s="1642">
        <f t="shared" ref="M71:M73" si="19">N71*-1</f>
        <v>10915</v>
      </c>
      <c r="N71" s="1639">
        <v>-10915</v>
      </c>
      <c r="P71" s="1639">
        <f t="shared" si="3"/>
        <v>0</v>
      </c>
      <c r="R71" s="1922">
        <f t="shared" si="4"/>
        <v>2.7058919775199005E-5</v>
      </c>
      <c r="S71" s="1922">
        <f t="shared" si="5"/>
        <v>0</v>
      </c>
    </row>
    <row r="72" spans="1:19" x14ac:dyDescent="0.25">
      <c r="A72" s="1553">
        <f t="shared" si="6"/>
        <v>62</v>
      </c>
      <c r="B72" s="1546">
        <v>682</v>
      </c>
      <c r="C72" s="1547">
        <v>6821</v>
      </c>
      <c r="D72" s="1547" t="s">
        <v>1680</v>
      </c>
      <c r="E72" s="1548">
        <f t="shared" si="0"/>
        <v>671.96180000000004</v>
      </c>
      <c r="F72" s="1549">
        <f>M72</f>
        <v>671961.8</v>
      </c>
      <c r="G72" s="1548">
        <f t="shared" si="0"/>
        <v>0</v>
      </c>
      <c r="H72" s="1557"/>
      <c r="I72" s="1551">
        <f t="shared" si="1"/>
        <v>671.96180000000004</v>
      </c>
      <c r="K72" s="1226">
        <v>682</v>
      </c>
      <c r="L72" s="1226">
        <v>6821</v>
      </c>
      <c r="M72" s="1642">
        <f t="shared" si="19"/>
        <v>671961.8</v>
      </c>
      <c r="N72" s="1639">
        <v>-671961.8</v>
      </c>
      <c r="P72" s="1639">
        <f t="shared" si="3"/>
        <v>0</v>
      </c>
      <c r="R72" s="1922">
        <f t="shared" si="4"/>
        <v>1.6658323809618251E-3</v>
      </c>
      <c r="S72" s="1922">
        <f t="shared" si="5"/>
        <v>0</v>
      </c>
    </row>
    <row r="73" spans="1:19" x14ac:dyDescent="0.25">
      <c r="A73" s="1553">
        <f t="shared" si="6"/>
        <v>63</v>
      </c>
      <c r="B73" s="1546">
        <v>682</v>
      </c>
      <c r="C73" s="1547">
        <v>6822</v>
      </c>
      <c r="D73" s="1547" t="s">
        <v>1681</v>
      </c>
      <c r="E73" s="1548">
        <f t="shared" si="0"/>
        <v>48.56</v>
      </c>
      <c r="F73" s="1549">
        <f>M73</f>
        <v>48560</v>
      </c>
      <c r="G73" s="1548">
        <f t="shared" si="0"/>
        <v>0</v>
      </c>
      <c r="H73" s="1557"/>
      <c r="I73" s="1551">
        <f t="shared" si="1"/>
        <v>48.56</v>
      </c>
      <c r="K73" s="1226">
        <v>682</v>
      </c>
      <c r="L73" s="1226">
        <v>6822</v>
      </c>
      <c r="M73" s="1642">
        <f t="shared" si="19"/>
        <v>48560</v>
      </c>
      <c r="N73" s="1639">
        <v>-48560</v>
      </c>
      <c r="P73" s="1639">
        <f t="shared" si="3"/>
        <v>0</v>
      </c>
      <c r="R73" s="1922">
        <f t="shared" si="4"/>
        <v>1.2038306406629994E-4</v>
      </c>
      <c r="S73" s="1922">
        <f t="shared" si="5"/>
        <v>0</v>
      </c>
    </row>
    <row r="74" spans="1:19" x14ac:dyDescent="0.25">
      <c r="A74" s="1553">
        <f t="shared" si="6"/>
        <v>64</v>
      </c>
      <c r="B74" s="1621">
        <v>682</v>
      </c>
      <c r="C74" s="1622"/>
      <c r="D74" s="1622"/>
      <c r="E74" s="1623">
        <f>SUM(E72:E73)</f>
        <v>720.52179999999998</v>
      </c>
      <c r="F74" s="1613">
        <f>SUM(F71:F73)</f>
        <v>731436.8</v>
      </c>
      <c r="G74" s="1560">
        <f>SUM(G72:G73)</f>
        <v>0</v>
      </c>
      <c r="H74" s="1562">
        <f>SUM(H72:H73)</f>
        <v>0</v>
      </c>
      <c r="I74" s="1551">
        <f t="shared" si="1"/>
        <v>720.52179999999998</v>
      </c>
      <c r="K74" s="1226"/>
      <c r="L74" s="1226"/>
      <c r="M74" s="1648">
        <f>SUM(M71:M73)</f>
        <v>731436.8</v>
      </c>
      <c r="N74" s="1639"/>
      <c r="P74" s="1639">
        <f t="shared" si="3"/>
        <v>0</v>
      </c>
      <c r="R74" s="1922">
        <f t="shared" si="4"/>
        <v>1.7862154450281249E-3</v>
      </c>
      <c r="S74" s="1922">
        <f t="shared" si="5"/>
        <v>0</v>
      </c>
    </row>
    <row r="75" spans="1:19" x14ac:dyDescent="0.25">
      <c r="A75" s="1553">
        <f t="shared" si="6"/>
        <v>65</v>
      </c>
      <c r="B75" s="1546">
        <v>691</v>
      </c>
      <c r="C75" s="1547">
        <v>691111</v>
      </c>
      <c r="D75" s="1547" t="s">
        <v>1682</v>
      </c>
      <c r="E75" s="1548">
        <f t="shared" si="0"/>
        <v>2568.9224700000004</v>
      </c>
      <c r="F75" s="1549">
        <f>M75</f>
        <v>2568922.4700000002</v>
      </c>
      <c r="G75" s="1548">
        <f t="shared" si="0"/>
        <v>0</v>
      </c>
      <c r="H75" s="1557"/>
      <c r="I75" s="1551">
        <f t="shared" si="1"/>
        <v>2568.9224700000004</v>
      </c>
      <c r="K75" s="1226"/>
      <c r="L75" s="1226"/>
      <c r="M75" s="1642">
        <v>2568922.4700000002</v>
      </c>
      <c r="N75" s="1639"/>
      <c r="P75" s="1639">
        <f t="shared" si="3"/>
        <v>0</v>
      </c>
      <c r="R75" s="1922">
        <f t="shared" si="4"/>
        <v>6.368508201963911E-3</v>
      </c>
      <c r="S75" s="1922">
        <f t="shared" si="5"/>
        <v>0</v>
      </c>
    </row>
    <row r="76" spans="1:19" x14ac:dyDescent="0.25">
      <c r="A76" s="1553">
        <f t="shared" si="6"/>
        <v>66</v>
      </c>
      <c r="B76" s="1546">
        <v>691</v>
      </c>
      <c r="C76" s="1547">
        <v>691113</v>
      </c>
      <c r="D76" s="1547" t="s">
        <v>1683</v>
      </c>
      <c r="E76" s="1548">
        <f t="shared" si="0"/>
        <v>0</v>
      </c>
      <c r="F76" s="1601">
        <v>0</v>
      </c>
      <c r="G76" s="1548">
        <f t="shared" si="0"/>
        <v>0</v>
      </c>
      <c r="H76" s="1557"/>
      <c r="I76" s="1551">
        <f t="shared" si="1"/>
        <v>0</v>
      </c>
      <c r="K76" s="1226"/>
      <c r="L76" s="1226"/>
      <c r="M76" s="1639"/>
      <c r="N76" s="1639"/>
      <c r="P76" s="1639">
        <f t="shared" si="3"/>
        <v>0</v>
      </c>
      <c r="R76" s="1922">
        <f t="shared" ref="R76:R97" si="20">E76/403379</f>
        <v>0</v>
      </c>
      <c r="S76" s="1922">
        <f t="shared" ref="S76:S96" si="21">G76/64021</f>
        <v>0</v>
      </c>
    </row>
    <row r="77" spans="1:19" x14ac:dyDescent="0.25">
      <c r="A77" s="1553">
        <f t="shared" ref="A77:A96" si="22">A76+1</f>
        <v>67</v>
      </c>
      <c r="B77" s="1546">
        <v>691</v>
      </c>
      <c r="C77" s="1547">
        <v>691115</v>
      </c>
      <c r="D77" s="1547" t="s">
        <v>1684</v>
      </c>
      <c r="E77" s="1548">
        <f t="shared" si="0"/>
        <v>9338.1391800000001</v>
      </c>
      <c r="F77" s="1549">
        <f t="shared" ref="F77:F94" si="23">M77</f>
        <v>9338139.1799999997</v>
      </c>
      <c r="G77" s="1548">
        <f t="shared" si="0"/>
        <v>0</v>
      </c>
      <c r="H77" s="1557"/>
      <c r="I77" s="1551">
        <f t="shared" si="1"/>
        <v>9338.1391800000001</v>
      </c>
      <c r="K77" s="1226">
        <v>691</v>
      </c>
      <c r="L77" s="1226">
        <v>691115</v>
      </c>
      <c r="M77" s="1642">
        <f t="shared" ref="M77:M79" si="24">N77*-1</f>
        <v>9338139.1799999997</v>
      </c>
      <c r="N77" s="1639">
        <v>-9338139.1799999997</v>
      </c>
      <c r="O77" s="139"/>
      <c r="P77" s="1639">
        <f t="shared" si="3"/>
        <v>0</v>
      </c>
      <c r="R77" s="1922">
        <f t="shared" si="20"/>
        <v>2.3149790098145911E-2</v>
      </c>
      <c r="S77" s="1922">
        <f t="shared" si="21"/>
        <v>0</v>
      </c>
    </row>
    <row r="78" spans="1:19" x14ac:dyDescent="0.25">
      <c r="A78" s="1553">
        <f t="shared" si="22"/>
        <v>68</v>
      </c>
      <c r="B78" s="1546">
        <v>691</v>
      </c>
      <c r="C78" s="1547">
        <v>691117</v>
      </c>
      <c r="D78" s="1547" t="s">
        <v>1685</v>
      </c>
      <c r="E78" s="1548">
        <f t="shared" si="0"/>
        <v>3788.7577000000001</v>
      </c>
      <c r="F78" s="1549">
        <f t="shared" si="23"/>
        <v>3788757.7</v>
      </c>
      <c r="G78" s="1548">
        <f t="shared" si="0"/>
        <v>0</v>
      </c>
      <c r="H78" s="1557"/>
      <c r="I78" s="1551">
        <f t="shared" si="1"/>
        <v>3788.7577000000001</v>
      </c>
      <c r="K78" s="1226">
        <v>691</v>
      </c>
      <c r="L78" s="1226">
        <v>691117</v>
      </c>
      <c r="M78" s="1642">
        <f t="shared" si="24"/>
        <v>3788757.7</v>
      </c>
      <c r="N78" s="1639">
        <v>-3788757.7</v>
      </c>
      <c r="O78" s="139"/>
      <c r="P78" s="1639">
        <f t="shared" si="3"/>
        <v>0</v>
      </c>
      <c r="R78" s="1922">
        <f t="shared" si="20"/>
        <v>9.3925506781463598E-3</v>
      </c>
      <c r="S78" s="1922">
        <f t="shared" si="21"/>
        <v>0</v>
      </c>
    </row>
    <row r="79" spans="1:19" x14ac:dyDescent="0.25">
      <c r="A79" s="1553">
        <f t="shared" si="22"/>
        <v>69</v>
      </c>
      <c r="B79" s="1546">
        <v>691</v>
      </c>
      <c r="C79" s="1547">
        <v>691118</v>
      </c>
      <c r="D79" s="1547" t="s">
        <v>1686</v>
      </c>
      <c r="E79" s="1548">
        <f t="shared" si="0"/>
        <v>12603.537900000001</v>
      </c>
      <c r="F79" s="1549">
        <f t="shared" si="23"/>
        <v>12603537.9</v>
      </c>
      <c r="G79" s="1548">
        <f t="shared" si="0"/>
        <v>0</v>
      </c>
      <c r="H79" s="1557"/>
      <c r="I79" s="1551">
        <f t="shared" si="1"/>
        <v>12603.537900000001</v>
      </c>
      <c r="K79" s="1226">
        <v>691</v>
      </c>
      <c r="L79" s="1226">
        <v>691118</v>
      </c>
      <c r="M79" s="1642">
        <f t="shared" si="24"/>
        <v>12603537.9</v>
      </c>
      <c r="N79" s="1639">
        <v>-12603537.9</v>
      </c>
      <c r="O79" s="139"/>
      <c r="P79" s="1639">
        <f t="shared" ref="P79:P94" si="25">Q79*-1</f>
        <v>0</v>
      </c>
      <c r="R79" s="1922">
        <f t="shared" si="20"/>
        <v>3.1244903428289526E-2</v>
      </c>
      <c r="S79" s="1922">
        <f t="shared" si="21"/>
        <v>0</v>
      </c>
    </row>
    <row r="80" spans="1:19" s="139" customFormat="1" x14ac:dyDescent="0.25">
      <c r="A80" s="1553">
        <f t="shared" si="22"/>
        <v>70</v>
      </c>
      <c r="B80" s="1546">
        <v>691</v>
      </c>
      <c r="C80" s="1547">
        <v>691120</v>
      </c>
      <c r="D80" s="1658" t="s">
        <v>1710</v>
      </c>
      <c r="E80" s="1548">
        <f t="shared" ref="E80" si="26">F80/1000</f>
        <v>794.24800000000005</v>
      </c>
      <c r="F80" s="1549">
        <f t="shared" si="23"/>
        <v>794248</v>
      </c>
      <c r="G80" s="1548">
        <f t="shared" ref="G80" si="27">H80/1000</f>
        <v>0</v>
      </c>
      <c r="H80" s="1557"/>
      <c r="I80" s="1551">
        <f t="shared" ref="I80" si="28">E80+G80</f>
        <v>794.24800000000005</v>
      </c>
      <c r="K80" s="1226">
        <v>691</v>
      </c>
      <c r="L80" s="1226">
        <v>691120</v>
      </c>
      <c r="M80" s="1642">
        <f t="shared" ref="M80:M94" si="29">N80*-1</f>
        <v>794248</v>
      </c>
      <c r="N80" s="1639">
        <v>-794248</v>
      </c>
      <c r="P80" s="1639">
        <f t="shared" si="25"/>
        <v>0</v>
      </c>
      <c r="R80" s="1922">
        <f t="shared" si="20"/>
        <v>1.9689869824656217E-3</v>
      </c>
      <c r="S80" s="1922">
        <f t="shared" si="21"/>
        <v>0</v>
      </c>
    </row>
    <row r="81" spans="1:19" x14ac:dyDescent="0.25">
      <c r="A81" s="1553">
        <f t="shared" si="22"/>
        <v>71</v>
      </c>
      <c r="B81" s="1546">
        <v>691</v>
      </c>
      <c r="C81" s="1547">
        <v>691121</v>
      </c>
      <c r="D81" s="1547" t="s">
        <v>1687</v>
      </c>
      <c r="E81" s="1548">
        <f t="shared" si="0"/>
        <v>12955.825140000001</v>
      </c>
      <c r="F81" s="1549">
        <f t="shared" si="23"/>
        <v>12955825.140000001</v>
      </c>
      <c r="G81" s="1548">
        <f t="shared" si="0"/>
        <v>0</v>
      </c>
      <c r="H81" s="1557"/>
      <c r="I81" s="1551">
        <f t="shared" si="1"/>
        <v>12955.825140000001</v>
      </c>
      <c r="K81" s="1226">
        <v>691</v>
      </c>
      <c r="L81" s="1226">
        <v>691121</v>
      </c>
      <c r="M81" s="1642">
        <f t="shared" si="29"/>
        <v>12955825.140000001</v>
      </c>
      <c r="N81" s="1639">
        <v>-12955825.140000001</v>
      </c>
      <c r="O81" s="139"/>
      <c r="P81" s="1639">
        <f t="shared" si="25"/>
        <v>0</v>
      </c>
      <c r="R81" s="1922">
        <f t="shared" si="20"/>
        <v>3.2118243983945624E-2</v>
      </c>
      <c r="S81" s="1922">
        <f t="shared" si="21"/>
        <v>0</v>
      </c>
    </row>
    <row r="82" spans="1:19" x14ac:dyDescent="0.25">
      <c r="A82" s="1553">
        <f t="shared" si="22"/>
        <v>72</v>
      </c>
      <c r="B82" s="1621">
        <v>691</v>
      </c>
      <c r="C82" s="1622">
        <v>69121</v>
      </c>
      <c r="D82" s="1622" t="s">
        <v>1688</v>
      </c>
      <c r="E82" s="1623">
        <f t="shared" si="0"/>
        <v>254579</v>
      </c>
      <c r="F82" s="1624">
        <f t="shared" si="23"/>
        <v>254579000</v>
      </c>
      <c r="G82" s="1623">
        <f t="shared" si="0"/>
        <v>0</v>
      </c>
      <c r="H82" s="1625"/>
      <c r="I82" s="1626">
        <f t="shared" si="1"/>
        <v>254579</v>
      </c>
      <c r="K82" s="1226">
        <v>691</v>
      </c>
      <c r="L82" s="1226">
        <v>69121</v>
      </c>
      <c r="M82" s="1642">
        <f t="shared" si="29"/>
        <v>254579000</v>
      </c>
      <c r="N82" s="1639">
        <v>-254579000</v>
      </c>
      <c r="O82" s="139"/>
      <c r="P82" s="1639">
        <f t="shared" si="25"/>
        <v>0</v>
      </c>
      <c r="R82" s="2193">
        <f t="shared" si="20"/>
        <v>0.6311161463536773</v>
      </c>
      <c r="S82" s="1922">
        <f t="shared" si="21"/>
        <v>0</v>
      </c>
    </row>
    <row r="83" spans="1:19" x14ac:dyDescent="0.25">
      <c r="A83" s="1553">
        <f t="shared" si="22"/>
        <v>73</v>
      </c>
      <c r="B83" s="1546">
        <v>691</v>
      </c>
      <c r="C83" s="1547">
        <v>69123</v>
      </c>
      <c r="D83" s="1547" t="s">
        <v>1689</v>
      </c>
      <c r="E83" s="1548">
        <f t="shared" si="0"/>
        <v>4995</v>
      </c>
      <c r="F83" s="1549">
        <f t="shared" si="23"/>
        <v>4995000</v>
      </c>
      <c r="G83" s="1548">
        <f t="shared" si="0"/>
        <v>0</v>
      </c>
      <c r="H83" s="1557"/>
      <c r="I83" s="1551">
        <f t="shared" ref="I83:I95" si="30">E83+G83</f>
        <v>4995</v>
      </c>
      <c r="K83" s="1226">
        <v>691</v>
      </c>
      <c r="L83" s="1226">
        <v>69123</v>
      </c>
      <c r="M83" s="1642">
        <f t="shared" si="29"/>
        <v>4995000</v>
      </c>
      <c r="N83" s="1639">
        <v>-4995000</v>
      </c>
      <c r="O83" s="139"/>
      <c r="P83" s="1639">
        <f t="shared" si="25"/>
        <v>0</v>
      </c>
      <c r="R83" s="1922">
        <f t="shared" si="20"/>
        <v>1.2382895490345307E-2</v>
      </c>
      <c r="S83" s="1922">
        <f t="shared" si="21"/>
        <v>0</v>
      </c>
    </row>
    <row r="84" spans="1:19" x14ac:dyDescent="0.25">
      <c r="A84" s="1553">
        <f t="shared" si="22"/>
        <v>74</v>
      </c>
      <c r="B84" s="1546">
        <v>691</v>
      </c>
      <c r="C84" s="1547">
        <v>69124</v>
      </c>
      <c r="D84" s="1547" t="s">
        <v>1690</v>
      </c>
      <c r="E84" s="1548">
        <f t="shared" si="0"/>
        <v>633.23199999999997</v>
      </c>
      <c r="F84" s="1549">
        <f t="shared" si="23"/>
        <v>633232</v>
      </c>
      <c r="G84" s="1548">
        <f t="shared" si="0"/>
        <v>0</v>
      </c>
      <c r="H84" s="1557"/>
      <c r="I84" s="1551">
        <f t="shared" si="30"/>
        <v>633.23199999999997</v>
      </c>
      <c r="K84" s="1226">
        <v>691</v>
      </c>
      <c r="L84" s="1226">
        <v>69124</v>
      </c>
      <c r="M84" s="1642">
        <f t="shared" si="29"/>
        <v>633232</v>
      </c>
      <c r="N84" s="1639">
        <v>-633232</v>
      </c>
      <c r="O84" s="139"/>
      <c r="P84" s="1639">
        <f t="shared" si="25"/>
        <v>0</v>
      </c>
      <c r="R84" s="1922">
        <f t="shared" si="20"/>
        <v>1.5698189543828507E-3</v>
      </c>
      <c r="S84" s="1922">
        <f t="shared" si="21"/>
        <v>0</v>
      </c>
    </row>
    <row r="85" spans="1:19" x14ac:dyDescent="0.25">
      <c r="A85" s="1553">
        <f t="shared" si="22"/>
        <v>75</v>
      </c>
      <c r="B85" s="1554">
        <v>691</v>
      </c>
      <c r="C85" s="1555">
        <v>69125</v>
      </c>
      <c r="D85" s="1547" t="s">
        <v>1691</v>
      </c>
      <c r="E85" s="1548">
        <f t="shared" si="0"/>
        <v>3403.9849599999998</v>
      </c>
      <c r="F85" s="1549">
        <f t="shared" si="23"/>
        <v>3403984.96</v>
      </c>
      <c r="G85" s="1548">
        <f t="shared" si="0"/>
        <v>0</v>
      </c>
      <c r="H85" s="1557"/>
      <c r="I85" s="1551">
        <f t="shared" si="30"/>
        <v>3403.9849599999998</v>
      </c>
      <c r="K85" s="1226">
        <v>691</v>
      </c>
      <c r="L85" s="1226">
        <v>69125</v>
      </c>
      <c r="M85" s="1642">
        <f t="shared" si="29"/>
        <v>3403984.96</v>
      </c>
      <c r="N85" s="1639">
        <v>-3403984.96</v>
      </c>
      <c r="O85" s="139"/>
      <c r="P85" s="1639">
        <f t="shared" si="25"/>
        <v>0</v>
      </c>
      <c r="R85" s="1922">
        <f t="shared" si="20"/>
        <v>8.4386766787562066E-3</v>
      </c>
      <c r="S85" s="1922">
        <f t="shared" si="21"/>
        <v>0</v>
      </c>
    </row>
    <row r="86" spans="1:19" x14ac:dyDescent="0.25">
      <c r="A86" s="1553">
        <f t="shared" si="22"/>
        <v>76</v>
      </c>
      <c r="B86" s="1546">
        <v>691</v>
      </c>
      <c r="C86" s="1547">
        <v>69127</v>
      </c>
      <c r="D86" s="1547" t="s">
        <v>1692</v>
      </c>
      <c r="E86" s="1548">
        <f t="shared" si="0"/>
        <v>22.68</v>
      </c>
      <c r="F86" s="1549">
        <f t="shared" si="23"/>
        <v>22680</v>
      </c>
      <c r="G86" s="1548">
        <f t="shared" si="0"/>
        <v>0</v>
      </c>
      <c r="H86" s="1557"/>
      <c r="I86" s="1551">
        <f t="shared" si="30"/>
        <v>22.68</v>
      </c>
      <c r="K86" s="1226">
        <v>691</v>
      </c>
      <c r="L86" s="1226">
        <v>69127</v>
      </c>
      <c r="M86" s="1642">
        <f t="shared" si="29"/>
        <v>22680</v>
      </c>
      <c r="N86" s="1639">
        <v>-22680</v>
      </c>
      <c r="O86" s="139"/>
      <c r="P86" s="1639">
        <f t="shared" si="25"/>
        <v>0</v>
      </c>
      <c r="R86" s="1922">
        <f t="shared" si="20"/>
        <v>5.6225038983189504E-5</v>
      </c>
      <c r="S86" s="1922">
        <f t="shared" si="21"/>
        <v>0</v>
      </c>
    </row>
    <row r="87" spans="1:19" x14ac:dyDescent="0.25">
      <c r="A87" s="1553">
        <f t="shared" si="22"/>
        <v>77</v>
      </c>
      <c r="B87" s="1546">
        <v>691</v>
      </c>
      <c r="C87" s="1547">
        <v>69128</v>
      </c>
      <c r="D87" s="1547" t="s">
        <v>1693</v>
      </c>
      <c r="E87" s="1548">
        <f t="shared" si="0"/>
        <v>2634.922</v>
      </c>
      <c r="F87" s="1549">
        <f t="shared" si="23"/>
        <v>2634922</v>
      </c>
      <c r="G87" s="1548">
        <f t="shared" si="0"/>
        <v>0</v>
      </c>
      <c r="H87" s="1557"/>
      <c r="I87" s="1551">
        <f t="shared" si="30"/>
        <v>2634.922</v>
      </c>
      <c r="K87" s="1226">
        <v>691</v>
      </c>
      <c r="L87" s="1226">
        <v>69128</v>
      </c>
      <c r="M87" s="1642">
        <f t="shared" si="29"/>
        <v>2634922</v>
      </c>
      <c r="N87" s="1639">
        <v>-2634922</v>
      </c>
      <c r="O87" s="139"/>
      <c r="P87" s="1639">
        <f t="shared" si="25"/>
        <v>0</v>
      </c>
      <c r="R87" s="1922">
        <f t="shared" si="20"/>
        <v>6.5321248751174458E-3</v>
      </c>
      <c r="S87" s="1922">
        <f t="shared" si="21"/>
        <v>0</v>
      </c>
    </row>
    <row r="88" spans="1:19" x14ac:dyDescent="0.25">
      <c r="A88" s="1553">
        <f t="shared" si="22"/>
        <v>78</v>
      </c>
      <c r="B88" s="1546">
        <v>691</v>
      </c>
      <c r="C88" s="1547">
        <v>69155</v>
      </c>
      <c r="D88" s="1547" t="s">
        <v>1694</v>
      </c>
      <c r="E88" s="1548">
        <f t="shared" si="0"/>
        <v>5621.9129999999996</v>
      </c>
      <c r="F88" s="1549">
        <f t="shared" si="23"/>
        <v>5621913</v>
      </c>
      <c r="G88" s="1548">
        <f t="shared" si="0"/>
        <v>0</v>
      </c>
      <c r="H88" s="1557"/>
      <c r="I88" s="1551">
        <f t="shared" si="30"/>
        <v>5621.9129999999996</v>
      </c>
      <c r="K88" s="1226">
        <v>691</v>
      </c>
      <c r="L88" s="1226">
        <v>69155</v>
      </c>
      <c r="M88" s="1642">
        <f t="shared" si="29"/>
        <v>5621913</v>
      </c>
      <c r="N88" s="1639">
        <v>-5621913</v>
      </c>
      <c r="O88" s="139"/>
      <c r="P88" s="1639">
        <f t="shared" si="25"/>
        <v>0</v>
      </c>
      <c r="R88" s="1922">
        <f t="shared" si="20"/>
        <v>1.3937049276238971E-2</v>
      </c>
      <c r="S88" s="1922">
        <f t="shared" si="21"/>
        <v>0</v>
      </c>
    </row>
    <row r="89" spans="1:19" x14ac:dyDescent="0.25">
      <c r="A89" s="1553">
        <f t="shared" si="22"/>
        <v>79</v>
      </c>
      <c r="B89" s="1546">
        <v>691</v>
      </c>
      <c r="C89" s="1547">
        <v>69156</v>
      </c>
      <c r="D89" s="1547" t="s">
        <v>1695</v>
      </c>
      <c r="E89" s="1548">
        <f t="shared" si="0"/>
        <v>16495.228500000001</v>
      </c>
      <c r="F89" s="1549">
        <f t="shared" si="23"/>
        <v>16495228.5</v>
      </c>
      <c r="G89" s="1548">
        <f t="shared" si="0"/>
        <v>0</v>
      </c>
      <c r="H89" s="1557"/>
      <c r="I89" s="1551">
        <f t="shared" si="30"/>
        <v>16495.228500000001</v>
      </c>
      <c r="K89" s="1226">
        <v>691</v>
      </c>
      <c r="L89" s="1226">
        <v>69156</v>
      </c>
      <c r="M89" s="1642">
        <f t="shared" si="29"/>
        <v>16495228.5</v>
      </c>
      <c r="N89" s="1639">
        <v>-16495228.5</v>
      </c>
      <c r="O89" s="139"/>
      <c r="P89" s="1639">
        <f t="shared" si="25"/>
        <v>0</v>
      </c>
      <c r="R89" s="2194">
        <f t="shared" si="20"/>
        <v>4.0892630751724807E-2</v>
      </c>
      <c r="S89" s="1922">
        <f t="shared" si="21"/>
        <v>0</v>
      </c>
    </row>
    <row r="90" spans="1:19" x14ac:dyDescent="0.25">
      <c r="A90" s="1553">
        <f t="shared" si="22"/>
        <v>80</v>
      </c>
      <c r="B90" s="1546">
        <v>691</v>
      </c>
      <c r="C90" s="1547">
        <v>69166</v>
      </c>
      <c r="D90" s="1547" t="s">
        <v>1696</v>
      </c>
      <c r="E90" s="1548">
        <f t="shared" si="0"/>
        <v>505</v>
      </c>
      <c r="F90" s="1549">
        <f t="shared" si="23"/>
        <v>505000</v>
      </c>
      <c r="G90" s="1548">
        <f t="shared" si="0"/>
        <v>0</v>
      </c>
      <c r="H90" s="1557"/>
      <c r="I90" s="1551">
        <f t="shared" si="30"/>
        <v>505</v>
      </c>
      <c r="K90" s="1226">
        <v>691</v>
      </c>
      <c r="L90" s="1226">
        <v>69166</v>
      </c>
      <c r="M90" s="1642">
        <f t="shared" si="29"/>
        <v>505000</v>
      </c>
      <c r="N90" s="1639">
        <v>-505000</v>
      </c>
      <c r="O90" s="139"/>
      <c r="P90" s="1639">
        <f t="shared" si="25"/>
        <v>0</v>
      </c>
      <c r="R90" s="1922">
        <f t="shared" si="20"/>
        <v>1.2519243688937699E-3</v>
      </c>
      <c r="S90" s="1922">
        <f t="shared" si="21"/>
        <v>0</v>
      </c>
    </row>
    <row r="91" spans="1:19" x14ac:dyDescent="0.25">
      <c r="A91" s="1553">
        <f t="shared" si="22"/>
        <v>81</v>
      </c>
      <c r="B91" s="1546">
        <v>691</v>
      </c>
      <c r="C91" s="1547">
        <v>69167</v>
      </c>
      <c r="D91" s="1547" t="s">
        <v>1697</v>
      </c>
      <c r="E91" s="1548">
        <f t="shared" si="0"/>
        <v>4179.75378</v>
      </c>
      <c r="F91" s="1549">
        <f t="shared" si="23"/>
        <v>4179753.78</v>
      </c>
      <c r="G91" s="1548">
        <f t="shared" si="0"/>
        <v>0</v>
      </c>
      <c r="H91" s="1557"/>
      <c r="I91" s="1551">
        <f t="shared" si="30"/>
        <v>4179.75378</v>
      </c>
      <c r="K91" s="1226">
        <v>691</v>
      </c>
      <c r="L91" s="1226">
        <v>69167</v>
      </c>
      <c r="M91" s="1642">
        <f t="shared" si="29"/>
        <v>4179753.78</v>
      </c>
      <c r="N91" s="1639">
        <v>-4179753.78</v>
      </c>
      <c r="O91" s="139"/>
      <c r="P91" s="1639">
        <f t="shared" si="25"/>
        <v>0</v>
      </c>
      <c r="R91" s="1922">
        <f t="shared" si="20"/>
        <v>1.0361852699322473E-2</v>
      </c>
      <c r="S91" s="1922">
        <f t="shared" si="21"/>
        <v>0</v>
      </c>
    </row>
    <row r="92" spans="1:19" x14ac:dyDescent="0.25">
      <c r="A92" s="1553">
        <f t="shared" si="22"/>
        <v>82</v>
      </c>
      <c r="B92" s="1546">
        <v>691</v>
      </c>
      <c r="C92" s="1547">
        <v>69168</v>
      </c>
      <c r="D92" s="1547" t="s">
        <v>1698</v>
      </c>
      <c r="E92" s="1548">
        <f t="shared" si="0"/>
        <v>755.15724999999998</v>
      </c>
      <c r="F92" s="1549">
        <f t="shared" si="23"/>
        <v>755157.25</v>
      </c>
      <c r="G92" s="1548">
        <f t="shared" si="0"/>
        <v>0</v>
      </c>
      <c r="H92" s="1557"/>
      <c r="I92" s="1551">
        <f t="shared" si="30"/>
        <v>755.15724999999998</v>
      </c>
      <c r="K92" s="1226">
        <v>691</v>
      </c>
      <c r="L92" s="1226">
        <v>69168</v>
      </c>
      <c r="M92" s="1642">
        <f t="shared" si="29"/>
        <v>755157.25</v>
      </c>
      <c r="N92" s="1639">
        <v>-755157.25</v>
      </c>
      <c r="O92" s="139"/>
      <c r="P92" s="1639">
        <f t="shared" si="25"/>
        <v>0</v>
      </c>
      <c r="R92" s="1922">
        <f t="shared" si="20"/>
        <v>1.8720787398451579E-3</v>
      </c>
      <c r="S92" s="1922">
        <f t="shared" si="21"/>
        <v>0</v>
      </c>
    </row>
    <row r="93" spans="1:19" x14ac:dyDescent="0.25">
      <c r="A93" s="1553">
        <f t="shared" si="22"/>
        <v>83</v>
      </c>
      <c r="B93" s="1546">
        <v>691</v>
      </c>
      <c r="C93" s="1547">
        <v>69169</v>
      </c>
      <c r="D93" s="1547" t="s">
        <v>1699</v>
      </c>
      <c r="E93" s="1548">
        <f t="shared" si="0"/>
        <v>52.46</v>
      </c>
      <c r="F93" s="1549">
        <f t="shared" si="23"/>
        <v>52460</v>
      </c>
      <c r="G93" s="1548">
        <f t="shared" si="0"/>
        <v>0</v>
      </c>
      <c r="H93" s="1557"/>
      <c r="I93" s="1551">
        <f t="shared" si="30"/>
        <v>52.46</v>
      </c>
      <c r="K93" s="1226">
        <v>691</v>
      </c>
      <c r="L93" s="1226">
        <v>69169</v>
      </c>
      <c r="M93" s="1642">
        <f t="shared" si="29"/>
        <v>52460</v>
      </c>
      <c r="N93" s="1639">
        <v>-52460</v>
      </c>
      <c r="O93" s="139"/>
      <c r="P93" s="1639">
        <f t="shared" si="25"/>
        <v>0</v>
      </c>
      <c r="R93" s="1922">
        <f t="shared" si="20"/>
        <v>1.3005139087557855E-4</v>
      </c>
      <c r="S93" s="1922">
        <f t="shared" si="21"/>
        <v>0</v>
      </c>
    </row>
    <row r="94" spans="1:19" x14ac:dyDescent="0.25">
      <c r="A94" s="1553">
        <f t="shared" si="22"/>
        <v>84</v>
      </c>
      <c r="B94" s="1546">
        <v>691</v>
      </c>
      <c r="C94" s="1547">
        <v>69199</v>
      </c>
      <c r="D94" s="1547" t="s">
        <v>1700</v>
      </c>
      <c r="E94" s="1548">
        <f t="shared" si="0"/>
        <v>1307</v>
      </c>
      <c r="F94" s="1549">
        <f t="shared" si="23"/>
        <v>1307000</v>
      </c>
      <c r="G94" s="1548">
        <f t="shared" si="0"/>
        <v>0</v>
      </c>
      <c r="H94" s="1557"/>
      <c r="I94" s="1551">
        <f t="shared" si="30"/>
        <v>1307</v>
      </c>
      <c r="K94" s="1226">
        <v>691</v>
      </c>
      <c r="L94" s="1226">
        <v>69199</v>
      </c>
      <c r="M94" s="1642">
        <f t="shared" si="29"/>
        <v>1307000</v>
      </c>
      <c r="N94" s="1639">
        <v>-1307000</v>
      </c>
      <c r="O94" s="139"/>
      <c r="P94" s="1639">
        <f t="shared" si="25"/>
        <v>0</v>
      </c>
      <c r="R94" s="1922">
        <f t="shared" si="20"/>
        <v>3.2401290101864498E-3</v>
      </c>
      <c r="S94" s="1922">
        <f t="shared" si="21"/>
        <v>0</v>
      </c>
    </row>
    <row r="95" spans="1:19" ht="15.75" thickBot="1" x14ac:dyDescent="0.3">
      <c r="A95" s="1659">
        <f t="shared" si="22"/>
        <v>85</v>
      </c>
      <c r="B95" s="1627">
        <v>691</v>
      </c>
      <c r="C95" s="1628"/>
      <c r="D95" s="1628"/>
      <c r="E95" s="1629">
        <f>SUM(E75:E94)</f>
        <v>337234.76188000006</v>
      </c>
      <c r="F95" s="1630">
        <f>SUM(F75:F94)</f>
        <v>337234761.87999994</v>
      </c>
      <c r="G95" s="1631">
        <f>SUM(G75:G94)</f>
        <v>0</v>
      </c>
      <c r="H95" s="1632">
        <f>SUM(H75:H94)</f>
        <v>0</v>
      </c>
      <c r="I95" s="1633">
        <f t="shared" si="30"/>
        <v>337234.76188000006</v>
      </c>
      <c r="K95" s="1226"/>
      <c r="L95" s="1226"/>
      <c r="M95" s="1648">
        <f>SUM(M75:M94)</f>
        <v>337234761.87999994</v>
      </c>
      <c r="N95" s="1639"/>
      <c r="O95" s="139"/>
      <c r="R95" s="2193">
        <f t="shared" si="20"/>
        <v>0.83602458700130666</v>
      </c>
      <c r="S95" s="1922">
        <f t="shared" si="21"/>
        <v>0</v>
      </c>
    </row>
    <row r="96" spans="1:19" ht="16.5" thickTop="1" thickBot="1" x14ac:dyDescent="0.3">
      <c r="A96" s="2220">
        <f t="shared" si="22"/>
        <v>86</v>
      </c>
      <c r="B96" s="2221"/>
      <c r="C96" s="2222"/>
      <c r="D96" s="2223" t="s">
        <v>471</v>
      </c>
      <c r="E96" s="2224">
        <f>SUM(E11:E95)-E34-E42-E51-E70-E74-E95-E13</f>
        <v>403378.87576999993</v>
      </c>
      <c r="F96" s="2224">
        <f>SUM(F11:F95)-F34-F42-F51-F70-F74-F95-F13</f>
        <v>403378875.7700001</v>
      </c>
      <c r="G96" s="2224">
        <f>SUM(G11:G95)-G34-G42-G51-G70-G74-G95-G13</f>
        <v>64020.90821999999</v>
      </c>
      <c r="H96" s="2224">
        <f>SUM(H11:H95)-H34-H42-H51-H70-H74-H95-H13</f>
        <v>64020908.220000014</v>
      </c>
      <c r="I96" s="2225">
        <f>SUM(I11:I95)-I34-I42-I51-I70-I74-I95-I13</f>
        <v>467399.78399000003</v>
      </c>
      <c r="K96" s="1226"/>
      <c r="L96" s="1226"/>
      <c r="M96" s="2226">
        <f>SUM(M11:M95)-M34-M42-M51-M70-M74-M95-M13</f>
        <v>403378875.7700001</v>
      </c>
      <c r="N96" s="1639"/>
      <c r="O96" s="139"/>
      <c r="P96" s="829">
        <f>SUM(P11:P95)</f>
        <v>64020908.220000006</v>
      </c>
      <c r="R96" s="2227">
        <f t="shared" si="20"/>
        <v>0.9999996920266051</v>
      </c>
      <c r="S96" s="2227">
        <f t="shared" si="21"/>
        <v>0.9999985664078973</v>
      </c>
    </row>
    <row r="97" spans="1:21" ht="16.5" thickTop="1" thickBot="1" x14ac:dyDescent="0.3">
      <c r="A97" s="2228"/>
      <c r="B97" s="2229"/>
      <c r="C97" s="2229"/>
      <c r="D97" s="2229" t="s">
        <v>1903</v>
      </c>
      <c r="E97" s="2230">
        <f>E62+E63+E95</f>
        <v>341570.21348000003</v>
      </c>
      <c r="F97" s="2231"/>
      <c r="G97" s="2232"/>
      <c r="H97" s="2231"/>
      <c r="I97" s="2231"/>
      <c r="J97" s="2233"/>
      <c r="K97" s="2234"/>
      <c r="L97" s="2234"/>
      <c r="M97" s="2235"/>
      <c r="N97" s="2236"/>
      <c r="O97" s="2233"/>
      <c r="P97" s="2233"/>
      <c r="Q97" s="2233"/>
      <c r="R97" s="2193">
        <f t="shared" si="20"/>
        <v>0.84677242365120653</v>
      </c>
      <c r="S97" s="2237"/>
    </row>
    <row r="98" spans="1:21" ht="15.75" thickTop="1" x14ac:dyDescent="0.25">
      <c r="A98" s="1226"/>
      <c r="B98" s="1529"/>
      <c r="C98" s="1529"/>
      <c r="D98" s="1529"/>
      <c r="E98" s="1637">
        <f>E96/I96</f>
        <v>0.86302751859771976</v>
      </c>
      <c r="F98" s="1638"/>
      <c r="G98" s="1638">
        <f>G96/I96</f>
        <v>0.13697248140228005</v>
      </c>
      <c r="H98" s="1638"/>
      <c r="I98" s="1638">
        <f>I96/I96</f>
        <v>1</v>
      </c>
      <c r="K98" s="139"/>
      <c r="L98" s="139"/>
      <c r="M98" s="139"/>
      <c r="N98" s="139"/>
    </row>
    <row r="99" spans="1:21" x14ac:dyDescent="0.25">
      <c r="A99" s="1226"/>
      <c r="B99" s="1529"/>
      <c r="C99" s="1529"/>
      <c r="D99" s="1529"/>
      <c r="E99" s="1650">
        <f>403378.88</f>
        <v>403378.88</v>
      </c>
      <c r="F99" s="1651"/>
      <c r="G99" s="1652">
        <f>64020.91</f>
        <v>64020.91</v>
      </c>
      <c r="H99" s="1221"/>
      <c r="I99" s="1221"/>
      <c r="K99" s="139"/>
      <c r="L99" s="139"/>
      <c r="M99" s="139"/>
      <c r="N99" s="139"/>
    </row>
    <row r="100" spans="1:21" x14ac:dyDescent="0.25">
      <c r="A100" s="1226"/>
      <c r="B100" s="1529"/>
      <c r="C100" s="1529"/>
      <c r="D100" s="1654"/>
      <c r="E100" s="1653">
        <f>E99-E96</f>
        <v>4.2300000786781311E-3</v>
      </c>
      <c r="F100" s="1221"/>
      <c r="G100" s="1653">
        <f>G99-G96</f>
        <v>1.7800000132410787E-3</v>
      </c>
      <c r="H100" s="1221"/>
      <c r="I100" s="1221"/>
      <c r="K100" s="139"/>
      <c r="L100" s="139"/>
      <c r="M100" s="139"/>
      <c r="N100" s="139"/>
    </row>
    <row r="101" spans="1:21" x14ac:dyDescent="0.25">
      <c r="A101" s="1226"/>
      <c r="B101" s="1529"/>
      <c r="C101" s="1529"/>
      <c r="D101" s="1654"/>
      <c r="E101" s="1649"/>
      <c r="F101" s="1221"/>
      <c r="G101" s="1221"/>
      <c r="H101" s="1221"/>
      <c r="I101" s="1221"/>
      <c r="K101" s="139"/>
      <c r="L101" s="139"/>
      <c r="M101" s="139"/>
      <c r="N101" s="139"/>
    </row>
    <row r="102" spans="1:21" x14ac:dyDescent="0.25">
      <c r="A102" s="1226"/>
      <c r="B102" s="1529"/>
      <c r="C102" s="1529"/>
      <c r="D102" s="1654"/>
      <c r="E102" s="1529"/>
      <c r="F102" s="1222"/>
      <c r="G102" s="1222"/>
      <c r="H102" s="1222"/>
      <c r="I102" s="173"/>
      <c r="K102" s="139"/>
      <c r="L102" s="139"/>
      <c r="M102" s="139"/>
      <c r="N102" s="139"/>
    </row>
    <row r="103" spans="1:21" x14ac:dyDescent="0.25">
      <c r="A103" s="1226"/>
      <c r="B103" s="1529"/>
      <c r="C103" s="1529"/>
      <c r="D103" s="1529"/>
      <c r="E103" s="1529"/>
      <c r="F103" s="173"/>
      <c r="G103" s="173"/>
      <c r="H103" s="173"/>
      <c r="I103" s="1222"/>
      <c r="K103" s="139"/>
      <c r="L103" s="139"/>
      <c r="M103" s="139"/>
      <c r="N103" s="139"/>
    </row>
    <row r="104" spans="1:21" x14ac:dyDescent="0.25">
      <c r="K104" s="139"/>
      <c r="L104" s="139"/>
      <c r="M104" s="139"/>
      <c r="N104" s="139"/>
    </row>
    <row r="105" spans="1:21" x14ac:dyDescent="0.25">
      <c r="K105" s="139"/>
      <c r="L105" s="139"/>
      <c r="M105" s="139"/>
      <c r="N105" s="139"/>
    </row>
    <row r="106" spans="1:21" x14ac:dyDescent="0.25">
      <c r="K106" s="139"/>
      <c r="L106" s="139"/>
      <c r="M106" s="139"/>
      <c r="N106" s="139"/>
    </row>
    <row r="107" spans="1:21" x14ac:dyDescent="0.25">
      <c r="K107" s="139"/>
      <c r="L107" s="139"/>
      <c r="M107" s="139"/>
      <c r="N107" s="139"/>
    </row>
    <row r="108" spans="1:21" x14ac:dyDescent="0.25">
      <c r="K108" s="139"/>
      <c r="L108" s="139"/>
      <c r="M108" s="139"/>
      <c r="N108" s="139"/>
    </row>
    <row r="112" spans="1:21" ht="26.25" x14ac:dyDescent="0.4">
      <c r="A112" s="1643" t="s">
        <v>1701</v>
      </c>
      <c r="B112" s="139"/>
      <c r="C112" s="139"/>
      <c r="D112" s="139"/>
      <c r="E112" s="139"/>
      <c r="F112" s="139"/>
      <c r="G112" s="139"/>
      <c r="H112" s="139"/>
      <c r="I112" s="139"/>
      <c r="J112" s="139"/>
      <c r="K112" s="139"/>
      <c r="L112" s="139"/>
      <c r="M112" s="139"/>
      <c r="N112" s="139"/>
      <c r="O112" s="139"/>
      <c r="Q112" s="139"/>
      <c r="R112" s="139"/>
      <c r="S112" s="139"/>
      <c r="T112" s="139"/>
      <c r="U112" s="139"/>
    </row>
    <row r="113" spans="1:21" x14ac:dyDescent="0.25">
      <c r="A113" s="139"/>
      <c r="B113" s="139"/>
      <c r="C113" s="139"/>
      <c r="D113" s="139"/>
      <c r="E113" s="139"/>
      <c r="F113" s="139"/>
      <c r="G113" s="139"/>
      <c r="H113" s="139"/>
      <c r="I113" s="139"/>
      <c r="J113" s="139"/>
      <c r="K113" s="139"/>
      <c r="L113" s="139"/>
      <c r="M113" s="139"/>
      <c r="N113" s="139"/>
      <c r="O113" s="139"/>
      <c r="Q113" s="139"/>
      <c r="R113" s="139"/>
      <c r="S113" s="139"/>
      <c r="T113" s="139"/>
      <c r="U113" s="139"/>
    </row>
    <row r="114" spans="1:21" x14ac:dyDescent="0.25">
      <c r="A114" s="139"/>
      <c r="B114" s="139"/>
      <c r="C114" s="139"/>
      <c r="D114" s="139"/>
      <c r="E114" s="139"/>
      <c r="F114" s="139"/>
      <c r="G114" s="139"/>
      <c r="H114" s="139"/>
      <c r="I114" s="139"/>
      <c r="J114" s="139"/>
      <c r="K114" s="139"/>
      <c r="L114" s="139"/>
      <c r="M114" s="139"/>
      <c r="N114" s="139"/>
      <c r="O114" s="139"/>
      <c r="Q114" s="139"/>
      <c r="R114" s="139"/>
      <c r="S114" s="139"/>
      <c r="T114" s="139"/>
      <c r="U114" s="139"/>
    </row>
    <row r="115" spans="1:21" x14ac:dyDescent="0.25">
      <c r="A115" s="139"/>
      <c r="B115" s="139"/>
      <c r="C115" s="139"/>
      <c r="D115" s="139"/>
      <c r="E115" s="139"/>
      <c r="F115" s="139"/>
      <c r="G115" s="139"/>
      <c r="H115" s="139"/>
      <c r="I115" s="139"/>
      <c r="J115" s="139"/>
      <c r="K115" s="139"/>
      <c r="L115" s="139"/>
      <c r="M115" s="139"/>
      <c r="N115" s="139"/>
      <c r="O115" s="139"/>
      <c r="Q115" s="139"/>
      <c r="R115" s="139"/>
      <c r="S115" s="139"/>
      <c r="T115" s="139"/>
      <c r="U115" s="139"/>
    </row>
    <row r="116" spans="1:21" ht="26.25" x14ac:dyDescent="0.25">
      <c r="A116" s="2507" t="s">
        <v>579</v>
      </c>
      <c r="B116" s="2507"/>
      <c r="C116" s="2507"/>
      <c r="D116" s="2507"/>
      <c r="E116" s="2507"/>
      <c r="F116" s="2507"/>
      <c r="G116" s="2507"/>
      <c r="H116" s="2507"/>
      <c r="I116" s="2507"/>
      <c r="J116" s="139"/>
      <c r="K116" s="139"/>
      <c r="L116" s="139"/>
      <c r="M116" s="139"/>
      <c r="N116" s="139"/>
      <c r="O116" s="139"/>
      <c r="Q116" s="139"/>
      <c r="R116" s="139"/>
      <c r="S116" s="139"/>
      <c r="T116" s="139"/>
      <c r="U116" s="139"/>
    </row>
    <row r="117" spans="1:21" ht="27" thickBot="1" x14ac:dyDescent="0.3">
      <c r="A117" s="2155"/>
      <c r="B117" s="2155"/>
      <c r="C117" s="2155"/>
      <c r="D117" s="2155"/>
      <c r="E117" s="2155"/>
      <c r="F117" s="2155"/>
      <c r="G117" s="2155"/>
      <c r="H117" s="2155"/>
      <c r="I117" s="2155"/>
      <c r="J117" s="139"/>
      <c r="K117" s="139"/>
      <c r="L117" s="139"/>
      <c r="M117" s="139"/>
      <c r="N117" s="139"/>
      <c r="O117" s="139"/>
      <c r="Q117" s="139"/>
      <c r="R117" s="139"/>
      <c r="S117" s="139"/>
      <c r="T117" s="139"/>
      <c r="U117" s="139"/>
    </row>
    <row r="118" spans="1:21" ht="16.5" thickTop="1" thickBot="1" x14ac:dyDescent="0.3">
      <c r="A118" s="1534" t="s">
        <v>1524</v>
      </c>
      <c r="B118" s="1535" t="s">
        <v>1525</v>
      </c>
      <c r="C118" s="1535" t="s">
        <v>1526</v>
      </c>
      <c r="D118" s="1536" t="s">
        <v>1527</v>
      </c>
      <c r="E118" s="1536" t="s">
        <v>1522</v>
      </c>
      <c r="F118" s="1537"/>
      <c r="G118" s="1538" t="s">
        <v>1523</v>
      </c>
      <c r="H118" s="1538"/>
      <c r="I118" s="1539" t="s">
        <v>1528</v>
      </c>
      <c r="J118" s="139"/>
      <c r="K118" s="139"/>
      <c r="L118" s="139"/>
      <c r="M118" s="139"/>
      <c r="N118" s="139"/>
      <c r="O118" s="139"/>
      <c r="Q118" s="139"/>
      <c r="R118" s="139"/>
      <c r="S118" s="139"/>
      <c r="T118" s="139"/>
      <c r="U118" s="139"/>
    </row>
    <row r="119" spans="1:21" ht="15.75" thickTop="1" x14ac:dyDescent="0.25">
      <c r="A119" s="1540"/>
      <c r="B119" s="1541" t="s">
        <v>558</v>
      </c>
      <c r="C119" s="1541" t="s">
        <v>559</v>
      </c>
      <c r="D119" s="1541" t="s">
        <v>560</v>
      </c>
      <c r="E119" s="1541" t="s">
        <v>561</v>
      </c>
      <c r="F119" s="1542"/>
      <c r="G119" s="1542" t="s">
        <v>562</v>
      </c>
      <c r="H119" s="1542"/>
      <c r="I119" s="1543" t="s">
        <v>563</v>
      </c>
      <c r="J119" s="139"/>
      <c r="K119" s="139"/>
      <c r="L119" s="139"/>
      <c r="M119" s="139"/>
      <c r="N119" s="139"/>
      <c r="O119" s="139"/>
      <c r="Q119" s="139"/>
      <c r="R119" s="139"/>
      <c r="S119" s="139"/>
      <c r="T119" s="139"/>
      <c r="U119" s="139"/>
    </row>
    <row r="120" spans="1:21" x14ac:dyDescent="0.25">
      <c r="A120" s="1567">
        <v>1</v>
      </c>
      <c r="B120" s="1572">
        <v>601</v>
      </c>
      <c r="C120" s="1573">
        <v>6012</v>
      </c>
      <c r="D120" s="1573" t="s">
        <v>1633</v>
      </c>
      <c r="E120" s="1574">
        <f t="shared" ref="E120:E142" si="31">F120/1000</f>
        <v>54.709339999999997</v>
      </c>
      <c r="F120" s="2166">
        <f>M120</f>
        <v>54709.34</v>
      </c>
      <c r="G120" s="1574">
        <f t="shared" ref="G120:G142" si="32">H120/1000</f>
        <v>931.87616000000003</v>
      </c>
      <c r="H120" s="2167">
        <f>P120</f>
        <v>931876.16</v>
      </c>
      <c r="I120" s="2168">
        <f>E120+G120</f>
        <v>986.58550000000002</v>
      </c>
      <c r="J120" s="139"/>
      <c r="K120" s="1226">
        <v>601</v>
      </c>
      <c r="L120" s="1226">
        <v>6012</v>
      </c>
      <c r="M120" s="1642">
        <f>N120*-1</f>
        <v>54709.34</v>
      </c>
      <c r="N120" s="1639">
        <v>-54709.34</v>
      </c>
      <c r="O120" s="1226">
        <v>6012</v>
      </c>
      <c r="P120" s="1656">
        <f>Q120*-1</f>
        <v>931876.16</v>
      </c>
      <c r="Q120" s="1639">
        <v>-931876.16</v>
      </c>
      <c r="R120" s="139"/>
      <c r="S120" s="139"/>
      <c r="T120" s="139"/>
      <c r="U120" s="139"/>
    </row>
    <row r="121" spans="1:21" x14ac:dyDescent="0.25">
      <c r="A121" s="1567">
        <f>A120+1</f>
        <v>2</v>
      </c>
      <c r="B121" s="2169">
        <v>601</v>
      </c>
      <c r="C121" s="2170">
        <v>6014</v>
      </c>
      <c r="D121" s="1573" t="s">
        <v>1634</v>
      </c>
      <c r="E121" s="1574">
        <f t="shared" si="31"/>
        <v>0</v>
      </c>
      <c r="F121" s="2171">
        <v>0</v>
      </c>
      <c r="G121" s="1574">
        <f t="shared" si="32"/>
        <v>56.317360000000001</v>
      </c>
      <c r="H121" s="2167">
        <f>P121</f>
        <v>56317.36</v>
      </c>
      <c r="I121" s="2168">
        <f t="shared" ref="I121:I191" si="33">E121+G121</f>
        <v>56.317360000000001</v>
      </c>
      <c r="J121" s="139"/>
      <c r="K121" s="1226"/>
      <c r="L121" s="1226"/>
      <c r="M121" s="1639">
        <f t="shared" ref="M121" si="34">N121*-1</f>
        <v>0</v>
      </c>
      <c r="N121" s="1639"/>
      <c r="O121" s="1226">
        <v>6014</v>
      </c>
      <c r="P121" s="1656">
        <f t="shared" ref="P121" si="35">Q121*-1</f>
        <v>56317.36</v>
      </c>
      <c r="Q121" s="1639">
        <v>-56317.36</v>
      </c>
      <c r="R121" s="139"/>
      <c r="S121" s="139"/>
      <c r="T121" s="139"/>
      <c r="U121" s="139"/>
    </row>
    <row r="122" spans="1:21" x14ac:dyDescent="0.25">
      <c r="A122" s="2181">
        <f t="shared" ref="A122:A185" si="36">A121+1</f>
        <v>3</v>
      </c>
      <c r="B122" s="2172">
        <v>601</v>
      </c>
      <c r="C122" s="1569"/>
      <c r="D122" s="1569"/>
      <c r="E122" s="1570">
        <f t="shared" si="31"/>
        <v>54.709339999999997</v>
      </c>
      <c r="F122" s="2171">
        <f>SUM(F120:F121)</f>
        <v>54709.34</v>
      </c>
      <c r="G122" s="1570">
        <f t="shared" si="32"/>
        <v>988.19352000000003</v>
      </c>
      <c r="H122" s="2173">
        <f>SUM(H120:H121)</f>
        <v>988193.52</v>
      </c>
      <c r="I122" s="1571">
        <f t="shared" si="33"/>
        <v>1042.9028600000001</v>
      </c>
      <c r="J122" s="139"/>
      <c r="K122" s="1226"/>
      <c r="L122" s="1226"/>
      <c r="M122" s="1648">
        <f>SUM(M120:M121)</f>
        <v>54709.34</v>
      </c>
      <c r="N122" s="1639"/>
      <c r="O122" s="1226"/>
      <c r="P122" s="1639"/>
      <c r="Q122" s="1639"/>
      <c r="R122" s="139"/>
      <c r="S122" s="139"/>
      <c r="T122" s="139"/>
      <c r="U122" s="139"/>
    </row>
    <row r="123" spans="1:21" x14ac:dyDescent="0.25">
      <c r="A123" s="1567">
        <f t="shared" si="36"/>
        <v>4</v>
      </c>
      <c r="B123" s="1572">
        <v>602</v>
      </c>
      <c r="C123" s="1573">
        <v>6021</v>
      </c>
      <c r="D123" s="1573" t="s">
        <v>1635</v>
      </c>
      <c r="E123" s="1574">
        <f t="shared" si="31"/>
        <v>366.20254999999997</v>
      </c>
      <c r="F123" s="2166">
        <f>M123</f>
        <v>366202.55</v>
      </c>
      <c r="G123" s="1574">
        <f t="shared" si="32"/>
        <v>878.96668999999997</v>
      </c>
      <c r="H123" s="2167">
        <f>P123</f>
        <v>878966.69</v>
      </c>
      <c r="I123" s="2168">
        <f t="shared" si="33"/>
        <v>1245.1692399999999</v>
      </c>
      <c r="J123" s="139"/>
      <c r="K123" s="1226">
        <v>602</v>
      </c>
      <c r="L123" s="1226">
        <v>6021</v>
      </c>
      <c r="M123" s="1642">
        <f t="shared" ref="M123:M124" si="37">N123*-1</f>
        <v>366202.55</v>
      </c>
      <c r="N123" s="1639">
        <v>-366202.55</v>
      </c>
      <c r="O123" s="1226">
        <v>6021</v>
      </c>
      <c r="P123" s="1656">
        <f t="shared" ref="P123:P124" si="38">Q123*-1</f>
        <v>878966.69</v>
      </c>
      <c r="Q123" s="1639">
        <v>-878966.69</v>
      </c>
      <c r="R123" s="139"/>
      <c r="S123" s="139"/>
      <c r="T123" s="139"/>
      <c r="U123" s="139"/>
    </row>
    <row r="124" spans="1:21" x14ac:dyDescent="0.25">
      <c r="A124" s="1567">
        <f t="shared" si="36"/>
        <v>5</v>
      </c>
      <c r="B124" s="1572">
        <v>602</v>
      </c>
      <c r="C124" s="1573">
        <v>60211</v>
      </c>
      <c r="D124" s="1573" t="s">
        <v>1636</v>
      </c>
      <c r="E124" s="1574">
        <f t="shared" si="31"/>
        <v>234.70914999999999</v>
      </c>
      <c r="F124" s="2166">
        <f>M124</f>
        <v>234709.15</v>
      </c>
      <c r="G124" s="1574">
        <f t="shared" si="32"/>
        <v>961.6351800000001</v>
      </c>
      <c r="H124" s="2167">
        <f>P124</f>
        <v>961635.18</v>
      </c>
      <c r="I124" s="2168">
        <f t="shared" si="33"/>
        <v>1196.3443300000001</v>
      </c>
      <c r="J124" s="139"/>
      <c r="K124" s="1226">
        <v>602</v>
      </c>
      <c r="L124" s="1226">
        <v>60211</v>
      </c>
      <c r="M124" s="1642">
        <f t="shared" si="37"/>
        <v>234709.15</v>
      </c>
      <c r="N124" s="1639">
        <v>-234709.15</v>
      </c>
      <c r="O124" s="1226">
        <v>60211</v>
      </c>
      <c r="P124" s="1656">
        <f t="shared" si="38"/>
        <v>961635.18</v>
      </c>
      <c r="Q124" s="1639">
        <v>-961635.18</v>
      </c>
      <c r="R124" s="139"/>
      <c r="S124" s="139"/>
      <c r="T124" s="139"/>
      <c r="U124" s="139"/>
    </row>
    <row r="125" spans="1:21" x14ac:dyDescent="0.25">
      <c r="A125" s="1567">
        <f t="shared" si="36"/>
        <v>6</v>
      </c>
      <c r="B125" s="1572">
        <v>602</v>
      </c>
      <c r="C125" s="1573">
        <v>602111</v>
      </c>
      <c r="D125" s="1573" t="s">
        <v>1637</v>
      </c>
      <c r="E125" s="1574">
        <f t="shared" si="31"/>
        <v>0</v>
      </c>
      <c r="F125" s="1576">
        <v>0</v>
      </c>
      <c r="G125" s="1574">
        <f t="shared" si="32"/>
        <v>0</v>
      </c>
      <c r="H125" s="2167"/>
      <c r="I125" s="2168">
        <f t="shared" si="33"/>
        <v>0</v>
      </c>
      <c r="J125" s="139"/>
      <c r="K125" s="1226"/>
      <c r="L125" s="1226"/>
      <c r="M125" s="1639"/>
      <c r="N125" s="1639"/>
      <c r="O125" s="1226"/>
      <c r="P125" s="1639"/>
      <c r="Q125" s="1639"/>
      <c r="R125" s="139"/>
      <c r="S125" s="139"/>
      <c r="T125" s="139"/>
      <c r="U125" s="139"/>
    </row>
    <row r="126" spans="1:21" x14ac:dyDescent="0.25">
      <c r="A126" s="1567">
        <f t="shared" si="36"/>
        <v>7</v>
      </c>
      <c r="B126" s="1572">
        <v>602</v>
      </c>
      <c r="C126" s="1573">
        <v>602112</v>
      </c>
      <c r="D126" s="1573" t="s">
        <v>1638</v>
      </c>
      <c r="E126" s="1574">
        <f t="shared" si="31"/>
        <v>0</v>
      </c>
      <c r="F126" s="1576">
        <v>0</v>
      </c>
      <c r="G126" s="1574">
        <f t="shared" si="32"/>
        <v>3440.1534100000003</v>
      </c>
      <c r="H126" s="2167">
        <f>P126</f>
        <v>3440153.41</v>
      </c>
      <c r="I126" s="2168">
        <f t="shared" si="33"/>
        <v>3440.1534100000003</v>
      </c>
      <c r="J126" s="139"/>
      <c r="K126" s="1226"/>
      <c r="L126" s="1226"/>
      <c r="M126" s="1639"/>
      <c r="N126" s="1639"/>
      <c r="O126" s="1226">
        <v>602112</v>
      </c>
      <c r="P126" s="1656">
        <f t="shared" ref="P126:P129" si="39">Q126*-1</f>
        <v>3440153.41</v>
      </c>
      <c r="Q126" s="1639">
        <v>-3440153.41</v>
      </c>
      <c r="R126" s="139"/>
      <c r="S126" s="139"/>
      <c r="T126" s="139"/>
      <c r="U126" s="139"/>
    </row>
    <row r="127" spans="1:21" x14ac:dyDescent="0.25">
      <c r="A127" s="1567">
        <f t="shared" si="36"/>
        <v>8</v>
      </c>
      <c r="B127" s="1572">
        <v>602</v>
      </c>
      <c r="C127" s="1573">
        <v>602113</v>
      </c>
      <c r="D127" s="1573" t="s">
        <v>1639</v>
      </c>
      <c r="E127" s="1574">
        <f t="shared" si="31"/>
        <v>0</v>
      </c>
      <c r="F127" s="1576">
        <v>0</v>
      </c>
      <c r="G127" s="1574">
        <f t="shared" si="32"/>
        <v>1788.02421</v>
      </c>
      <c r="H127" s="2167">
        <f>P127</f>
        <v>1788024.21</v>
      </c>
      <c r="I127" s="2168">
        <f t="shared" si="33"/>
        <v>1788.02421</v>
      </c>
      <c r="J127" s="139"/>
      <c r="K127" s="1226"/>
      <c r="L127" s="1226"/>
      <c r="M127" s="1639"/>
      <c r="N127" s="1639"/>
      <c r="O127" s="1226">
        <v>602113</v>
      </c>
      <c r="P127" s="1656">
        <f t="shared" si="39"/>
        <v>1788024.21</v>
      </c>
      <c r="Q127" s="1639">
        <v>-1788024.21</v>
      </c>
      <c r="R127" s="139"/>
      <c r="S127" s="139"/>
      <c r="T127" s="139"/>
      <c r="U127" s="139"/>
    </row>
    <row r="128" spans="1:21" x14ac:dyDescent="0.25">
      <c r="A128" s="1567">
        <f t="shared" si="36"/>
        <v>9</v>
      </c>
      <c r="B128" s="1572">
        <v>602</v>
      </c>
      <c r="C128" s="1573">
        <v>602114</v>
      </c>
      <c r="D128" s="1573" t="s">
        <v>1640</v>
      </c>
      <c r="E128" s="1574">
        <f t="shared" si="31"/>
        <v>0</v>
      </c>
      <c r="F128" s="1576">
        <v>0</v>
      </c>
      <c r="G128" s="1574">
        <f t="shared" si="32"/>
        <v>64.578510000000009</v>
      </c>
      <c r="H128" s="2167">
        <f>P128</f>
        <v>64578.51</v>
      </c>
      <c r="I128" s="2168">
        <f t="shared" si="33"/>
        <v>64.578510000000009</v>
      </c>
      <c r="J128" s="139"/>
      <c r="K128" s="1226"/>
      <c r="L128" s="1226"/>
      <c r="M128" s="1639"/>
      <c r="N128" s="1639"/>
      <c r="O128" s="1226">
        <v>602114</v>
      </c>
      <c r="P128" s="1656">
        <f t="shared" si="39"/>
        <v>64578.51</v>
      </c>
      <c r="Q128" s="1639">
        <v>-64578.51</v>
      </c>
      <c r="R128" s="139"/>
      <c r="S128" s="139"/>
      <c r="T128" s="139"/>
      <c r="U128" s="139"/>
    </row>
    <row r="129" spans="1:21" x14ac:dyDescent="0.25">
      <c r="A129" s="1567">
        <f t="shared" si="36"/>
        <v>10</v>
      </c>
      <c r="B129" s="1572">
        <v>602</v>
      </c>
      <c r="C129" s="1573">
        <v>602115</v>
      </c>
      <c r="D129" s="1573" t="s">
        <v>1641</v>
      </c>
      <c r="E129" s="1574">
        <f t="shared" si="31"/>
        <v>0</v>
      </c>
      <c r="F129" s="1576">
        <v>0</v>
      </c>
      <c r="G129" s="1574">
        <f t="shared" si="32"/>
        <v>1302.5164299999999</v>
      </c>
      <c r="H129" s="2167">
        <f>P129</f>
        <v>1302516.43</v>
      </c>
      <c r="I129" s="2168">
        <f t="shared" si="33"/>
        <v>1302.5164299999999</v>
      </c>
      <c r="J129" s="139"/>
      <c r="K129" s="1226"/>
      <c r="L129" s="1226"/>
      <c r="M129" s="1639"/>
      <c r="N129" s="1639"/>
      <c r="O129" s="1226">
        <v>602115</v>
      </c>
      <c r="P129" s="1656">
        <f t="shared" si="39"/>
        <v>1302516.43</v>
      </c>
      <c r="Q129" s="1639">
        <v>-1302516.43</v>
      </c>
      <c r="R129" s="139"/>
      <c r="S129" s="139"/>
      <c r="T129" s="139"/>
      <c r="U129" s="139"/>
    </row>
    <row r="130" spans="1:21" x14ac:dyDescent="0.25">
      <c r="A130" s="1567">
        <f t="shared" si="36"/>
        <v>11</v>
      </c>
      <c r="B130" s="1572">
        <v>602</v>
      </c>
      <c r="C130" s="1573">
        <v>602116</v>
      </c>
      <c r="D130" s="1573" t="s">
        <v>1642</v>
      </c>
      <c r="E130" s="1574">
        <f t="shared" si="31"/>
        <v>19.75216</v>
      </c>
      <c r="F130" s="2166">
        <f t="shared" ref="F130:F136" si="40">M130</f>
        <v>19752.16</v>
      </c>
      <c r="G130" s="1574">
        <f t="shared" si="32"/>
        <v>0</v>
      </c>
      <c r="H130" s="1576"/>
      <c r="I130" s="2168">
        <f t="shared" si="33"/>
        <v>19.75216</v>
      </c>
      <c r="J130" s="139"/>
      <c r="K130" s="1226">
        <v>602</v>
      </c>
      <c r="L130" s="1226">
        <v>602116</v>
      </c>
      <c r="M130" s="1642">
        <f t="shared" ref="M130:M136" si="41">N130*-1</f>
        <v>19752.16</v>
      </c>
      <c r="N130" s="1639">
        <v>-19752.16</v>
      </c>
      <c r="O130" s="1226"/>
      <c r="P130" s="1639"/>
      <c r="Q130" s="1639"/>
      <c r="R130" s="139"/>
      <c r="S130" s="139"/>
      <c r="T130" s="139"/>
      <c r="U130" s="139"/>
    </row>
    <row r="131" spans="1:21" x14ac:dyDescent="0.25">
      <c r="A131" s="1567">
        <f t="shared" si="36"/>
        <v>12</v>
      </c>
      <c r="B131" s="1572">
        <v>602</v>
      </c>
      <c r="C131" s="1573">
        <v>60212</v>
      </c>
      <c r="D131" s="1573" t="s">
        <v>1643</v>
      </c>
      <c r="E131" s="1574">
        <f t="shared" si="31"/>
        <v>1022.77638</v>
      </c>
      <c r="F131" s="2166">
        <f t="shared" si="40"/>
        <v>1022776.38</v>
      </c>
      <c r="G131" s="1574">
        <f t="shared" si="32"/>
        <v>6.69421</v>
      </c>
      <c r="H131" s="2167">
        <f>P131</f>
        <v>6694.21</v>
      </c>
      <c r="I131" s="2168">
        <f t="shared" si="33"/>
        <v>1029.4705900000001</v>
      </c>
      <c r="J131" s="139"/>
      <c r="K131" s="1226">
        <v>602</v>
      </c>
      <c r="L131" s="1226">
        <v>60212</v>
      </c>
      <c r="M131" s="1642">
        <f t="shared" si="41"/>
        <v>1022776.38</v>
      </c>
      <c r="N131" s="1639">
        <v>-1022776.38</v>
      </c>
      <c r="O131" s="1226">
        <v>60212</v>
      </c>
      <c r="P131" s="1656">
        <f t="shared" ref="P131:P133" si="42">Q131*-1</f>
        <v>6694.21</v>
      </c>
      <c r="Q131" s="1639">
        <v>-6694.21</v>
      </c>
      <c r="R131" s="139"/>
      <c r="S131" s="139"/>
      <c r="T131" s="139"/>
      <c r="U131" s="139"/>
    </row>
    <row r="132" spans="1:21" x14ac:dyDescent="0.25">
      <c r="A132" s="1567">
        <f t="shared" si="36"/>
        <v>13</v>
      </c>
      <c r="B132" s="1572">
        <v>602</v>
      </c>
      <c r="C132" s="1573">
        <v>6023</v>
      </c>
      <c r="D132" s="1573" t="s">
        <v>1644</v>
      </c>
      <c r="E132" s="1574">
        <f t="shared" si="31"/>
        <v>683.13404000000003</v>
      </c>
      <c r="F132" s="2166">
        <f t="shared" si="40"/>
        <v>683134.04</v>
      </c>
      <c r="G132" s="1574">
        <f t="shared" si="32"/>
        <v>1057.5299</v>
      </c>
      <c r="H132" s="2167">
        <f>P132</f>
        <v>1057529.8999999999</v>
      </c>
      <c r="I132" s="2168">
        <f t="shared" si="33"/>
        <v>1740.6639399999999</v>
      </c>
      <c r="J132" s="139"/>
      <c r="K132" s="1226">
        <v>602</v>
      </c>
      <c r="L132" s="1226">
        <v>6023</v>
      </c>
      <c r="M132" s="1642">
        <f t="shared" si="41"/>
        <v>683134.04</v>
      </c>
      <c r="N132" s="1639">
        <v>-683134.04</v>
      </c>
      <c r="O132" s="1226">
        <v>6023</v>
      </c>
      <c r="P132" s="1656">
        <f t="shared" si="42"/>
        <v>1057529.8999999999</v>
      </c>
      <c r="Q132" s="1639">
        <v>-1057529.8999999999</v>
      </c>
      <c r="R132" s="139"/>
      <c r="S132" s="139"/>
      <c r="T132" s="139"/>
      <c r="U132" s="139"/>
    </row>
    <row r="133" spans="1:21" x14ac:dyDescent="0.25">
      <c r="A133" s="1567">
        <f t="shared" si="36"/>
        <v>14</v>
      </c>
      <c r="B133" s="1572">
        <v>602</v>
      </c>
      <c r="C133" s="1573">
        <v>60231</v>
      </c>
      <c r="D133" s="1573" t="s">
        <v>1645</v>
      </c>
      <c r="E133" s="1574">
        <f t="shared" si="31"/>
        <v>9.3578399999999995</v>
      </c>
      <c r="F133" s="2166">
        <f t="shared" si="40"/>
        <v>9357.84</v>
      </c>
      <c r="G133" s="1574">
        <f t="shared" si="32"/>
        <v>469.30853000000002</v>
      </c>
      <c r="H133" s="2167">
        <f>P133</f>
        <v>469308.53</v>
      </c>
      <c r="I133" s="2168">
        <f t="shared" si="33"/>
        <v>478.66637000000003</v>
      </c>
      <c r="J133" s="139"/>
      <c r="K133" s="1226">
        <v>602</v>
      </c>
      <c r="L133" s="1226">
        <v>60231</v>
      </c>
      <c r="M133" s="1642">
        <f t="shared" si="41"/>
        <v>9357.84</v>
      </c>
      <c r="N133" s="1639">
        <v>-9357.84</v>
      </c>
      <c r="O133" s="1226">
        <v>60231</v>
      </c>
      <c r="P133" s="1656">
        <f t="shared" si="42"/>
        <v>469308.53</v>
      </c>
      <c r="Q133" s="1639">
        <v>-469308.53</v>
      </c>
      <c r="R133" s="139"/>
      <c r="S133" s="139"/>
      <c r="T133" s="139"/>
      <c r="U133" s="139"/>
    </row>
    <row r="134" spans="1:21" x14ac:dyDescent="0.25">
      <c r="A134" s="1567">
        <f t="shared" si="36"/>
        <v>15</v>
      </c>
      <c r="B134" s="1572">
        <v>602</v>
      </c>
      <c r="C134" s="1573">
        <v>602311</v>
      </c>
      <c r="D134" s="2174" t="s">
        <v>1702</v>
      </c>
      <c r="E134" s="1574">
        <f t="shared" si="31"/>
        <v>167.80189000000001</v>
      </c>
      <c r="F134" s="2166">
        <f t="shared" si="40"/>
        <v>167801.89</v>
      </c>
      <c r="G134" s="1574">
        <f t="shared" si="32"/>
        <v>0</v>
      </c>
      <c r="H134" s="1576"/>
      <c r="I134" s="2168">
        <f t="shared" si="33"/>
        <v>167.80189000000001</v>
      </c>
      <c r="J134" s="139"/>
      <c r="K134" s="1226">
        <v>602</v>
      </c>
      <c r="L134" s="1226">
        <v>602311</v>
      </c>
      <c r="M134" s="1642">
        <f t="shared" si="41"/>
        <v>167801.89</v>
      </c>
      <c r="N134" s="1639">
        <v>-167801.89</v>
      </c>
      <c r="O134" s="1226"/>
      <c r="P134" s="1639"/>
      <c r="Q134" s="1639"/>
      <c r="R134" s="139"/>
      <c r="S134" s="139"/>
      <c r="T134" s="139"/>
      <c r="U134" s="139"/>
    </row>
    <row r="135" spans="1:21" x14ac:dyDescent="0.25">
      <c r="A135" s="1567">
        <f t="shared" si="36"/>
        <v>16</v>
      </c>
      <c r="B135" s="1572">
        <v>602</v>
      </c>
      <c r="C135" s="1573">
        <v>602312</v>
      </c>
      <c r="D135" s="2174" t="s">
        <v>1703</v>
      </c>
      <c r="E135" s="1574">
        <f t="shared" si="31"/>
        <v>487.87936999999999</v>
      </c>
      <c r="F135" s="2166">
        <f t="shared" si="40"/>
        <v>487879.37</v>
      </c>
      <c r="G135" s="1574">
        <f t="shared" si="32"/>
        <v>0</v>
      </c>
      <c r="H135" s="1576"/>
      <c r="I135" s="2168">
        <f t="shared" si="33"/>
        <v>487.87936999999999</v>
      </c>
      <c r="J135" s="139"/>
      <c r="K135" s="1226">
        <v>602</v>
      </c>
      <c r="L135" s="1226">
        <v>602312</v>
      </c>
      <c r="M135" s="1642">
        <f t="shared" si="41"/>
        <v>487879.37</v>
      </c>
      <c r="N135" s="1639">
        <v>-487879.37</v>
      </c>
      <c r="O135" s="1226"/>
      <c r="P135" s="1639"/>
      <c r="Q135" s="1639"/>
      <c r="R135" s="139"/>
      <c r="S135" s="139"/>
      <c r="T135" s="139"/>
      <c r="U135" s="139"/>
    </row>
    <row r="136" spans="1:21" x14ac:dyDescent="0.25">
      <c r="A136" s="1567">
        <f t="shared" si="36"/>
        <v>17</v>
      </c>
      <c r="B136" s="2175">
        <v>602</v>
      </c>
      <c r="C136" s="2176">
        <v>602313</v>
      </c>
      <c r="D136" s="2174" t="s">
        <v>1704</v>
      </c>
      <c r="E136" s="1574">
        <f t="shared" si="31"/>
        <v>12.164350000000001</v>
      </c>
      <c r="F136" s="2166">
        <f t="shared" si="40"/>
        <v>12164.35</v>
      </c>
      <c r="G136" s="1574">
        <f t="shared" si="32"/>
        <v>0</v>
      </c>
      <c r="H136" s="1576"/>
      <c r="I136" s="2168">
        <f t="shared" si="33"/>
        <v>12.164350000000001</v>
      </c>
      <c r="J136" s="139"/>
      <c r="K136" s="1226">
        <v>602</v>
      </c>
      <c r="L136" s="1226">
        <v>602313</v>
      </c>
      <c r="M136" s="1642">
        <f t="shared" si="41"/>
        <v>12164.35</v>
      </c>
      <c r="N136" s="1639">
        <v>-12164.35</v>
      </c>
      <c r="O136" s="1226"/>
      <c r="P136" s="1639"/>
      <c r="Q136" s="1639"/>
      <c r="R136" s="139"/>
      <c r="S136" s="139"/>
      <c r="T136" s="139"/>
      <c r="U136" s="139"/>
    </row>
    <row r="137" spans="1:21" x14ac:dyDescent="0.25">
      <c r="A137" s="1567">
        <f t="shared" si="36"/>
        <v>18</v>
      </c>
      <c r="B137" s="1572">
        <v>602</v>
      </c>
      <c r="C137" s="1573">
        <v>60233</v>
      </c>
      <c r="D137" s="1573" t="s">
        <v>1646</v>
      </c>
      <c r="E137" s="1574">
        <f t="shared" si="31"/>
        <v>0</v>
      </c>
      <c r="F137" s="1576">
        <v>0</v>
      </c>
      <c r="G137" s="1574">
        <f t="shared" si="32"/>
        <v>47.486650000000004</v>
      </c>
      <c r="H137" s="2167">
        <f>P137</f>
        <v>47486.65</v>
      </c>
      <c r="I137" s="2168">
        <f t="shared" si="33"/>
        <v>47.486650000000004</v>
      </c>
      <c r="J137" s="139"/>
      <c r="K137" s="1226"/>
      <c r="L137" s="1226"/>
      <c r="M137" s="1639"/>
      <c r="N137" s="1639"/>
      <c r="O137" s="1226">
        <v>60233</v>
      </c>
      <c r="P137" s="1656">
        <f t="shared" ref="P137:P142" si="43">Q137*-1</f>
        <v>47486.65</v>
      </c>
      <c r="Q137" s="1639">
        <v>-47486.65</v>
      </c>
      <c r="R137" s="139"/>
      <c r="S137" s="139"/>
      <c r="T137" s="139"/>
      <c r="U137" s="139"/>
    </row>
    <row r="138" spans="1:21" x14ac:dyDescent="0.25">
      <c r="A138" s="1567">
        <f t="shared" si="36"/>
        <v>19</v>
      </c>
      <c r="B138" s="1572">
        <v>602</v>
      </c>
      <c r="C138" s="2177">
        <v>60234</v>
      </c>
      <c r="D138" s="2174" t="s">
        <v>1705</v>
      </c>
      <c r="E138" s="1574">
        <f t="shared" si="31"/>
        <v>0</v>
      </c>
      <c r="F138" s="1576">
        <v>0</v>
      </c>
      <c r="G138" s="1574">
        <f t="shared" si="32"/>
        <v>39.225000000000001</v>
      </c>
      <c r="H138" s="2167">
        <f>P138</f>
        <v>39225</v>
      </c>
      <c r="I138" s="2168">
        <f t="shared" si="33"/>
        <v>39.225000000000001</v>
      </c>
      <c r="J138" s="139"/>
      <c r="K138" s="1226"/>
      <c r="L138" s="1226"/>
      <c r="M138" s="1639"/>
      <c r="N138" s="1639"/>
      <c r="O138" s="1226">
        <v>60234</v>
      </c>
      <c r="P138" s="1656">
        <f t="shared" si="43"/>
        <v>39225</v>
      </c>
      <c r="Q138" s="1639">
        <v>-39225</v>
      </c>
      <c r="R138" s="139"/>
      <c r="S138" s="139"/>
      <c r="T138" s="139"/>
      <c r="U138" s="139"/>
    </row>
    <row r="139" spans="1:21" x14ac:dyDescent="0.25">
      <c r="A139" s="1567">
        <f t="shared" si="36"/>
        <v>20</v>
      </c>
      <c r="B139" s="1572">
        <v>602</v>
      </c>
      <c r="C139" s="2177">
        <v>60235</v>
      </c>
      <c r="D139" s="2174" t="s">
        <v>1706</v>
      </c>
      <c r="E139" s="1574">
        <f t="shared" si="31"/>
        <v>0</v>
      </c>
      <c r="F139" s="1576">
        <v>0</v>
      </c>
      <c r="G139" s="1574">
        <f t="shared" si="32"/>
        <v>6.9421499999999998</v>
      </c>
      <c r="H139" s="2167">
        <f t="shared" ref="H139:H140" si="44">P139</f>
        <v>6942.15</v>
      </c>
      <c r="I139" s="2168">
        <f t="shared" si="33"/>
        <v>6.9421499999999998</v>
      </c>
      <c r="J139" s="139"/>
      <c r="K139" s="1226"/>
      <c r="L139" s="1226"/>
      <c r="M139" s="1639"/>
      <c r="N139" s="1639"/>
      <c r="O139" s="1226">
        <v>60235</v>
      </c>
      <c r="P139" s="1656">
        <f t="shared" si="43"/>
        <v>6942.15</v>
      </c>
      <c r="Q139" s="1639">
        <v>-6942.15</v>
      </c>
      <c r="R139" s="139"/>
      <c r="S139" s="139"/>
      <c r="T139" s="139"/>
      <c r="U139" s="139"/>
    </row>
    <row r="140" spans="1:21" x14ac:dyDescent="0.25">
      <c r="A140" s="1567">
        <f t="shared" si="36"/>
        <v>21</v>
      </c>
      <c r="B140" s="1572">
        <v>602</v>
      </c>
      <c r="C140" s="2177">
        <v>60241</v>
      </c>
      <c r="D140" s="2174" t="s">
        <v>1707</v>
      </c>
      <c r="E140" s="1574">
        <f t="shared" si="31"/>
        <v>0</v>
      </c>
      <c r="F140" s="1576">
        <v>0</v>
      </c>
      <c r="G140" s="1574">
        <f t="shared" si="32"/>
        <v>0.87309000000000003</v>
      </c>
      <c r="H140" s="2167">
        <f t="shared" si="44"/>
        <v>873.09</v>
      </c>
      <c r="I140" s="2168">
        <f t="shared" si="33"/>
        <v>0.87309000000000003</v>
      </c>
      <c r="J140" s="139"/>
      <c r="K140" s="1226"/>
      <c r="L140" s="1226"/>
      <c r="M140" s="1639"/>
      <c r="N140" s="1639"/>
      <c r="O140" s="1226">
        <v>60241</v>
      </c>
      <c r="P140" s="1656">
        <f t="shared" si="43"/>
        <v>873.09</v>
      </c>
      <c r="Q140" s="1639">
        <v>-873.09</v>
      </c>
      <c r="R140" s="139"/>
      <c r="S140" s="139"/>
      <c r="T140" s="139"/>
      <c r="U140" s="139"/>
    </row>
    <row r="141" spans="1:21" x14ac:dyDescent="0.25">
      <c r="A141" s="1567">
        <f t="shared" si="36"/>
        <v>22</v>
      </c>
      <c r="B141" s="1837">
        <v>602</v>
      </c>
      <c r="C141" s="1838">
        <v>6027</v>
      </c>
      <c r="D141" s="1838" t="s">
        <v>1647</v>
      </c>
      <c r="E141" s="2182">
        <f t="shared" si="31"/>
        <v>0</v>
      </c>
      <c r="F141" s="2184">
        <v>0</v>
      </c>
      <c r="G141" s="2182">
        <f t="shared" si="32"/>
        <v>14946.12328</v>
      </c>
      <c r="H141" s="2186">
        <f>P141</f>
        <v>14946123.279999999</v>
      </c>
      <c r="I141" s="2185">
        <f t="shared" si="33"/>
        <v>14946.12328</v>
      </c>
      <c r="J141" s="139"/>
      <c r="K141" s="1226"/>
      <c r="L141" s="1226"/>
      <c r="M141" s="1639"/>
      <c r="N141" s="1639"/>
      <c r="O141" s="1226">
        <v>6027</v>
      </c>
      <c r="P141" s="1656">
        <f t="shared" si="43"/>
        <v>14946123.279999999</v>
      </c>
      <c r="Q141" s="1639">
        <v>-14946123.279999999</v>
      </c>
      <c r="R141" s="139"/>
      <c r="S141" s="139"/>
      <c r="T141" s="139"/>
      <c r="U141" s="139"/>
    </row>
    <row r="142" spans="1:21" x14ac:dyDescent="0.25">
      <c r="A142" s="1567">
        <f t="shared" si="36"/>
        <v>23</v>
      </c>
      <c r="B142" s="1572">
        <v>602</v>
      </c>
      <c r="C142" s="1573">
        <v>6028</v>
      </c>
      <c r="D142" s="1573" t="s">
        <v>1648</v>
      </c>
      <c r="E142" s="1574">
        <f t="shared" si="31"/>
        <v>0</v>
      </c>
      <c r="F142" s="1576">
        <v>0</v>
      </c>
      <c r="G142" s="1574">
        <f t="shared" si="32"/>
        <v>79.938850000000002</v>
      </c>
      <c r="H142" s="2167">
        <f>P142</f>
        <v>79938.850000000006</v>
      </c>
      <c r="I142" s="2168">
        <f t="shared" si="33"/>
        <v>79.938850000000002</v>
      </c>
      <c r="J142" s="139"/>
      <c r="K142" s="1226"/>
      <c r="L142" s="1226"/>
      <c r="M142" s="1639"/>
      <c r="N142" s="1639"/>
      <c r="O142" s="1226">
        <v>6028</v>
      </c>
      <c r="P142" s="1656">
        <f t="shared" si="43"/>
        <v>79938.850000000006</v>
      </c>
      <c r="Q142" s="1639">
        <v>-79938.850000000006</v>
      </c>
      <c r="R142" s="139"/>
      <c r="S142" s="139"/>
      <c r="T142" s="139"/>
      <c r="U142" s="139"/>
    </row>
    <row r="143" spans="1:21" x14ac:dyDescent="0.25">
      <c r="A143" s="2181">
        <f t="shared" si="36"/>
        <v>24</v>
      </c>
      <c r="B143" s="1568">
        <v>602</v>
      </c>
      <c r="C143" s="1569"/>
      <c r="D143" s="1569"/>
      <c r="E143" s="1570">
        <f>SUM(E123:E142)</f>
        <v>3003.7777300000002</v>
      </c>
      <c r="F143" s="2178">
        <f>SUM(F123:F142)</f>
        <v>3003777.7300000004</v>
      </c>
      <c r="G143" s="1570">
        <f>SUM(G123:G142)</f>
        <v>25089.996090000001</v>
      </c>
      <c r="H143" s="2178">
        <f>SUM(H123:H142)</f>
        <v>25089996.090000004</v>
      </c>
      <c r="I143" s="1571">
        <f t="shared" si="33"/>
        <v>28093.773820000002</v>
      </c>
      <c r="J143" s="139"/>
      <c r="K143" s="1226"/>
      <c r="L143" s="1226"/>
      <c r="M143" s="1648">
        <f>SUM(M123:M142)</f>
        <v>3003777.7300000004</v>
      </c>
      <c r="N143" s="1639"/>
      <c r="O143" s="1226"/>
      <c r="P143" s="1639"/>
      <c r="Q143" s="1639"/>
      <c r="R143" s="139"/>
      <c r="S143" s="139"/>
      <c r="T143" s="139"/>
      <c r="U143" s="139"/>
    </row>
    <row r="144" spans="1:21" x14ac:dyDescent="0.25">
      <c r="A144" s="2181">
        <f t="shared" si="36"/>
        <v>25</v>
      </c>
      <c r="B144" s="1568">
        <v>604</v>
      </c>
      <c r="C144" s="1569">
        <v>604</v>
      </c>
      <c r="D144" s="1569" t="s">
        <v>1649</v>
      </c>
      <c r="E144" s="1570">
        <f t="shared" ref="E144:E150" si="45">F144/1000</f>
        <v>0</v>
      </c>
      <c r="F144" s="2178">
        <v>0</v>
      </c>
      <c r="G144" s="1570">
        <f t="shared" ref="G144:G150" si="46">H144/1000</f>
        <v>14.253309999999999</v>
      </c>
      <c r="H144" s="2173">
        <f>P144</f>
        <v>14253.31</v>
      </c>
      <c r="I144" s="1571">
        <f t="shared" si="33"/>
        <v>14.253309999999999</v>
      </c>
      <c r="J144" s="139"/>
      <c r="K144" s="1226"/>
      <c r="L144" s="1226"/>
      <c r="M144" s="1639"/>
      <c r="N144" s="1639"/>
      <c r="O144" s="1226">
        <v>604</v>
      </c>
      <c r="P144" s="1656">
        <f t="shared" ref="P144" si="47">Q144*-1</f>
        <v>14253.31</v>
      </c>
      <c r="Q144" s="1639">
        <v>-14253.31</v>
      </c>
      <c r="R144" s="139"/>
      <c r="S144" s="139"/>
      <c r="T144" s="139"/>
      <c r="U144" s="139"/>
    </row>
    <row r="145" spans="1:21" x14ac:dyDescent="0.25">
      <c r="A145" s="2181">
        <f t="shared" si="36"/>
        <v>26</v>
      </c>
      <c r="B145" s="1568">
        <v>611</v>
      </c>
      <c r="C145" s="1569">
        <v>6111</v>
      </c>
      <c r="D145" s="1569" t="s">
        <v>1650</v>
      </c>
      <c r="E145" s="1570">
        <f t="shared" si="45"/>
        <v>-276.43056999999999</v>
      </c>
      <c r="F145" s="2171">
        <f>M145</f>
        <v>-276430.57</v>
      </c>
      <c r="G145" s="1570">
        <f t="shared" si="46"/>
        <v>0</v>
      </c>
      <c r="H145" s="2178"/>
      <c r="I145" s="1571">
        <f t="shared" si="33"/>
        <v>-276.43056999999999</v>
      </c>
      <c r="J145" s="139"/>
      <c r="K145" s="1226">
        <v>611</v>
      </c>
      <c r="L145" s="1226">
        <v>6111</v>
      </c>
      <c r="M145" s="1642">
        <f t="shared" ref="M145:M146" si="48">N145*-1</f>
        <v>-276430.57</v>
      </c>
      <c r="N145" s="1639">
        <v>276430.57</v>
      </c>
      <c r="O145" s="1226"/>
      <c r="P145" s="1639"/>
      <c r="Q145" s="1639"/>
      <c r="R145" s="139"/>
      <c r="S145" s="139"/>
      <c r="T145" s="139"/>
      <c r="U145" s="139"/>
    </row>
    <row r="146" spans="1:21" x14ac:dyDescent="0.25">
      <c r="A146" s="2181">
        <f t="shared" si="36"/>
        <v>27</v>
      </c>
      <c r="B146" s="1568">
        <v>613</v>
      </c>
      <c r="C146" s="1569">
        <v>61301</v>
      </c>
      <c r="D146" s="1569" t="s">
        <v>1651</v>
      </c>
      <c r="E146" s="1570">
        <f t="shared" si="45"/>
        <v>-590.19081999999992</v>
      </c>
      <c r="F146" s="2171">
        <f>M146</f>
        <v>-590190.81999999995</v>
      </c>
      <c r="G146" s="1570">
        <f t="shared" si="46"/>
        <v>0</v>
      </c>
      <c r="H146" s="2178"/>
      <c r="I146" s="1571">
        <f t="shared" si="33"/>
        <v>-590.19081999999992</v>
      </c>
      <c r="J146" s="139"/>
      <c r="K146" s="1226">
        <v>613</v>
      </c>
      <c r="L146" s="1226">
        <v>61301</v>
      </c>
      <c r="M146" s="1642">
        <f t="shared" si="48"/>
        <v>-590190.81999999995</v>
      </c>
      <c r="N146" s="1639">
        <v>590190.81999999995</v>
      </c>
      <c r="O146" s="1226"/>
      <c r="P146" s="1639"/>
      <c r="Q146" s="1639"/>
      <c r="R146" s="139"/>
      <c r="S146" s="139"/>
      <c r="T146" s="139"/>
      <c r="U146" s="139"/>
    </row>
    <row r="147" spans="1:21" x14ac:dyDescent="0.25">
      <c r="A147" s="2181">
        <f t="shared" si="36"/>
        <v>28</v>
      </c>
      <c r="B147" s="1568">
        <v>641</v>
      </c>
      <c r="C147" s="1569">
        <v>641</v>
      </c>
      <c r="D147" s="1569" t="s">
        <v>1607</v>
      </c>
      <c r="E147" s="1570">
        <f t="shared" si="45"/>
        <v>0</v>
      </c>
      <c r="F147" s="2171"/>
      <c r="G147" s="1570">
        <f t="shared" si="46"/>
        <v>6.1001700000000003</v>
      </c>
      <c r="H147" s="2173">
        <f>P147</f>
        <v>6100.17</v>
      </c>
      <c r="I147" s="1571">
        <f t="shared" si="33"/>
        <v>6.1001700000000003</v>
      </c>
      <c r="J147" s="139"/>
      <c r="K147" s="1226"/>
      <c r="L147" s="1226"/>
      <c r="M147" s="1639"/>
      <c r="N147" s="1639"/>
      <c r="O147" s="1226">
        <v>641</v>
      </c>
      <c r="P147" s="1656">
        <f t="shared" ref="P147:P150" si="49">Q147*-1</f>
        <v>6100.17</v>
      </c>
      <c r="Q147" s="1639">
        <v>-6100.17</v>
      </c>
      <c r="R147" s="139"/>
      <c r="S147" s="139"/>
      <c r="T147" s="139"/>
      <c r="U147" s="139"/>
    </row>
    <row r="148" spans="1:21" x14ac:dyDescent="0.25">
      <c r="A148" s="1567">
        <f t="shared" si="36"/>
        <v>29</v>
      </c>
      <c r="B148" s="1572">
        <v>644</v>
      </c>
      <c r="C148" s="1573">
        <v>644</v>
      </c>
      <c r="D148" s="1573" t="s">
        <v>1652</v>
      </c>
      <c r="E148" s="1574">
        <f t="shared" si="45"/>
        <v>28.92737</v>
      </c>
      <c r="F148" s="2166">
        <f>M148</f>
        <v>28927.37</v>
      </c>
      <c r="G148" s="1574">
        <f t="shared" si="46"/>
        <v>0.67679999999999996</v>
      </c>
      <c r="H148" s="2167">
        <f>P148</f>
        <v>676.8</v>
      </c>
      <c r="I148" s="2168">
        <f t="shared" si="33"/>
        <v>29.60417</v>
      </c>
      <c r="J148" s="139"/>
      <c r="K148" s="1226">
        <v>644</v>
      </c>
      <c r="L148" s="1226">
        <v>644</v>
      </c>
      <c r="M148" s="1642">
        <f t="shared" ref="M148" si="50">N148*-1</f>
        <v>28927.37</v>
      </c>
      <c r="N148" s="1639">
        <v>-28927.37</v>
      </c>
      <c r="O148" s="1226">
        <v>644</v>
      </c>
      <c r="P148" s="1656">
        <f t="shared" si="49"/>
        <v>676.8</v>
      </c>
      <c r="Q148" s="1639">
        <v>-676.8</v>
      </c>
      <c r="R148" s="139"/>
      <c r="S148" s="139"/>
      <c r="T148" s="139"/>
      <c r="U148" s="139"/>
    </row>
    <row r="149" spans="1:21" x14ac:dyDescent="0.25">
      <c r="A149" s="1567">
        <f t="shared" si="36"/>
        <v>30</v>
      </c>
      <c r="B149" s="1572">
        <v>644</v>
      </c>
      <c r="C149" s="1573">
        <v>6441</v>
      </c>
      <c r="D149" s="1573" t="s">
        <v>1653</v>
      </c>
      <c r="E149" s="1574">
        <f t="shared" si="45"/>
        <v>0</v>
      </c>
      <c r="F149" s="1576">
        <v>0</v>
      </c>
      <c r="G149" s="1574">
        <f t="shared" si="46"/>
        <v>4.1309499999999995</v>
      </c>
      <c r="H149" s="2167">
        <f>P149</f>
        <v>4130.95</v>
      </c>
      <c r="I149" s="2168">
        <f t="shared" si="33"/>
        <v>4.1309499999999995</v>
      </c>
      <c r="J149" s="139"/>
      <c r="K149" s="1226"/>
      <c r="L149" s="1226"/>
      <c r="M149" s="1639"/>
      <c r="N149" s="1639"/>
      <c r="O149" s="1226">
        <v>6441</v>
      </c>
      <c r="P149" s="1656">
        <f t="shared" si="49"/>
        <v>4130.95</v>
      </c>
      <c r="Q149" s="1639">
        <v>-4130.95</v>
      </c>
      <c r="R149" s="139"/>
      <c r="S149" s="139"/>
      <c r="T149" s="139"/>
      <c r="U149" s="139"/>
    </row>
    <row r="150" spans="1:21" x14ac:dyDescent="0.25">
      <c r="A150" s="1567">
        <f t="shared" si="36"/>
        <v>31</v>
      </c>
      <c r="B150" s="1572">
        <v>644</v>
      </c>
      <c r="C150" s="1573">
        <v>6442</v>
      </c>
      <c r="D150" s="1573" t="s">
        <v>1654</v>
      </c>
      <c r="E150" s="1574">
        <f t="shared" si="45"/>
        <v>0</v>
      </c>
      <c r="F150" s="1576">
        <v>0</v>
      </c>
      <c r="G150" s="1574">
        <f t="shared" si="46"/>
        <v>1.09501</v>
      </c>
      <c r="H150" s="2167">
        <f>P150</f>
        <v>1095.01</v>
      </c>
      <c r="I150" s="2168">
        <f t="shared" si="33"/>
        <v>1.09501</v>
      </c>
      <c r="J150" s="139"/>
      <c r="K150" s="1226"/>
      <c r="L150" s="1226"/>
      <c r="M150" s="1639"/>
      <c r="N150" s="1639"/>
      <c r="O150" s="1226">
        <v>6442</v>
      </c>
      <c r="P150" s="1656">
        <f t="shared" si="49"/>
        <v>1095.01</v>
      </c>
      <c r="Q150" s="1639">
        <v>-1095.01</v>
      </c>
      <c r="R150" s="139"/>
      <c r="S150" s="139"/>
      <c r="T150" s="139"/>
      <c r="U150" s="139"/>
    </row>
    <row r="151" spans="1:21" x14ac:dyDescent="0.25">
      <c r="A151" s="1567">
        <f t="shared" si="36"/>
        <v>32</v>
      </c>
      <c r="B151" s="1568">
        <v>644</v>
      </c>
      <c r="C151" s="1569"/>
      <c r="D151" s="1569"/>
      <c r="E151" s="1570">
        <f>SUM(E148:E150)</f>
        <v>28.92737</v>
      </c>
      <c r="F151" s="2178">
        <f>SUM(F148:F150)</f>
        <v>28927.37</v>
      </c>
      <c r="G151" s="1570">
        <f>SUM(G148:G150)</f>
        <v>5.9027599999999998</v>
      </c>
      <c r="H151" s="2178">
        <f>SUM(H148:H150)</f>
        <v>5902.76</v>
      </c>
      <c r="I151" s="1571">
        <f t="shared" si="33"/>
        <v>34.830129999999997</v>
      </c>
      <c r="J151" s="139"/>
      <c r="K151" s="1226"/>
      <c r="L151" s="1226"/>
      <c r="M151" s="1648">
        <f>SUM(M148:M150)</f>
        <v>28927.37</v>
      </c>
      <c r="N151" s="1639"/>
      <c r="O151" s="1226"/>
      <c r="P151" s="1639"/>
      <c r="Q151" s="1639"/>
      <c r="R151" s="139"/>
      <c r="S151" s="139"/>
      <c r="T151" s="139"/>
      <c r="U151" s="139"/>
    </row>
    <row r="152" spans="1:21" x14ac:dyDescent="0.25">
      <c r="A152" s="2181">
        <f t="shared" si="36"/>
        <v>33</v>
      </c>
      <c r="B152" s="1568">
        <v>645</v>
      </c>
      <c r="C152" s="1569">
        <v>645</v>
      </c>
      <c r="D152" s="1569" t="s">
        <v>1655</v>
      </c>
      <c r="E152" s="1570">
        <f t="shared" ref="E152:E159" si="51">F152/1000</f>
        <v>119.69242999999999</v>
      </c>
      <c r="F152" s="2171">
        <f t="shared" ref="F152:F157" si="52">M152</f>
        <v>119692.43</v>
      </c>
      <c r="G152" s="1570">
        <f t="shared" ref="G152:G159" si="53">H152/1000</f>
        <v>-1.61883</v>
      </c>
      <c r="H152" s="2173">
        <f>P152</f>
        <v>-1618.83</v>
      </c>
      <c r="I152" s="1571">
        <f t="shared" si="33"/>
        <v>118.07359999999998</v>
      </c>
      <c r="J152" s="139"/>
      <c r="K152" s="1226">
        <v>645</v>
      </c>
      <c r="L152" s="1226">
        <v>645</v>
      </c>
      <c r="M152" s="1648">
        <f t="shared" ref="M152:M157" si="54">N152*-1</f>
        <v>119692.43</v>
      </c>
      <c r="N152" s="1639">
        <v>-119692.43</v>
      </c>
      <c r="O152" s="1226">
        <v>645</v>
      </c>
      <c r="P152" s="1656">
        <f t="shared" ref="P152" si="55">Q152*-1</f>
        <v>-1618.83</v>
      </c>
      <c r="Q152" s="1639">
        <v>1618.83</v>
      </c>
      <c r="R152" s="139"/>
      <c r="S152" s="139"/>
      <c r="T152" s="139"/>
      <c r="U152" s="139"/>
    </row>
    <row r="153" spans="1:21" x14ac:dyDescent="0.25">
      <c r="A153" s="1567">
        <f t="shared" si="36"/>
        <v>34</v>
      </c>
      <c r="B153" s="1572">
        <v>648</v>
      </c>
      <c r="C153" s="1573">
        <v>6481</v>
      </c>
      <c r="D153" s="1573" t="s">
        <v>1656</v>
      </c>
      <c r="E153" s="1574">
        <f t="shared" si="51"/>
        <v>9771.364599999999</v>
      </c>
      <c r="F153" s="2166">
        <f t="shared" si="52"/>
        <v>9771364.5999999996</v>
      </c>
      <c r="G153" s="1574">
        <f t="shared" si="53"/>
        <v>0</v>
      </c>
      <c r="H153" s="1576"/>
      <c r="I153" s="2168">
        <f t="shared" si="33"/>
        <v>9771.364599999999</v>
      </c>
      <c r="J153" s="139"/>
      <c r="K153" s="1226">
        <v>648</v>
      </c>
      <c r="L153" s="1226">
        <v>6481</v>
      </c>
      <c r="M153" s="1642">
        <f t="shared" si="54"/>
        <v>9771364.5999999996</v>
      </c>
      <c r="N153" s="1639">
        <v>-9771364.5999999996</v>
      </c>
      <c r="O153" s="1226"/>
      <c r="P153" s="1639"/>
      <c r="Q153" s="1639"/>
      <c r="R153" s="139"/>
      <c r="S153" s="139"/>
      <c r="T153" s="139"/>
      <c r="U153" s="139"/>
    </row>
    <row r="154" spans="1:21" x14ac:dyDescent="0.25">
      <c r="A154" s="1567">
        <f t="shared" si="36"/>
        <v>35</v>
      </c>
      <c r="B154" s="1572">
        <v>648</v>
      </c>
      <c r="C154" s="1573">
        <v>6482</v>
      </c>
      <c r="D154" s="1573" t="s">
        <v>1657</v>
      </c>
      <c r="E154" s="1574">
        <f t="shared" si="51"/>
        <v>3369.0859999999998</v>
      </c>
      <c r="F154" s="2166">
        <f t="shared" si="52"/>
        <v>3369086</v>
      </c>
      <c r="G154" s="1574">
        <f t="shared" si="53"/>
        <v>0</v>
      </c>
      <c r="H154" s="1576"/>
      <c r="I154" s="2168">
        <f t="shared" si="33"/>
        <v>3369.0859999999998</v>
      </c>
      <c r="J154" s="139"/>
      <c r="K154" s="1226">
        <v>648</v>
      </c>
      <c r="L154" s="1226">
        <v>6482</v>
      </c>
      <c r="M154" s="1642">
        <f t="shared" si="54"/>
        <v>3369086</v>
      </c>
      <c r="N154" s="1639">
        <v>-3369086</v>
      </c>
      <c r="O154" s="1226"/>
      <c r="P154" s="1639"/>
      <c r="Q154" s="1639"/>
      <c r="R154" s="139"/>
      <c r="S154" s="139"/>
      <c r="T154" s="139"/>
      <c r="U154" s="139"/>
    </row>
    <row r="155" spans="1:21" x14ac:dyDescent="0.25">
      <c r="A155" s="1567">
        <f t="shared" si="36"/>
        <v>36</v>
      </c>
      <c r="B155" s="1572">
        <v>648</v>
      </c>
      <c r="C155" s="1578">
        <v>648449</v>
      </c>
      <c r="D155" s="1573" t="s">
        <v>1658</v>
      </c>
      <c r="E155" s="1574">
        <f t="shared" si="51"/>
        <v>520.80915000000005</v>
      </c>
      <c r="F155" s="2166">
        <f t="shared" si="52"/>
        <v>520809.15</v>
      </c>
      <c r="G155" s="1574">
        <f t="shared" si="53"/>
        <v>0</v>
      </c>
      <c r="H155" s="1576"/>
      <c r="I155" s="2168">
        <f t="shared" si="33"/>
        <v>520.80915000000005</v>
      </c>
      <c r="J155" s="139"/>
      <c r="K155" s="1226">
        <v>648</v>
      </c>
      <c r="L155" s="1226">
        <v>648449</v>
      </c>
      <c r="M155" s="1642">
        <f t="shared" si="54"/>
        <v>520809.15</v>
      </c>
      <c r="N155" s="1639">
        <v>-520809.15</v>
      </c>
      <c r="O155" s="1226"/>
      <c r="P155" s="1639"/>
      <c r="Q155" s="1639"/>
      <c r="R155" s="139"/>
      <c r="S155" s="139"/>
      <c r="T155" s="139"/>
      <c r="U155" s="139"/>
    </row>
    <row r="156" spans="1:21" x14ac:dyDescent="0.25">
      <c r="A156" s="1567">
        <f t="shared" si="36"/>
        <v>37</v>
      </c>
      <c r="B156" s="1572">
        <v>648</v>
      </c>
      <c r="C156" s="1573">
        <v>64892</v>
      </c>
      <c r="D156" s="1573" t="s">
        <v>1659</v>
      </c>
      <c r="E156" s="1574">
        <f t="shared" si="51"/>
        <v>677.93114000000003</v>
      </c>
      <c r="F156" s="2166">
        <f t="shared" si="52"/>
        <v>677931.14</v>
      </c>
      <c r="G156" s="1574">
        <f t="shared" si="53"/>
        <v>0</v>
      </c>
      <c r="H156" s="1576"/>
      <c r="I156" s="2168">
        <f t="shared" si="33"/>
        <v>677.93114000000003</v>
      </c>
      <c r="J156" s="139"/>
      <c r="K156" s="1226">
        <v>648</v>
      </c>
      <c r="L156" s="1226">
        <v>64892</v>
      </c>
      <c r="M156" s="1642">
        <f t="shared" si="54"/>
        <v>677931.14</v>
      </c>
      <c r="N156" s="1639">
        <v>-677931.14</v>
      </c>
      <c r="O156" s="1226"/>
      <c r="P156" s="1639"/>
      <c r="Q156" s="1639"/>
      <c r="R156" s="139"/>
      <c r="S156" s="139"/>
      <c r="T156" s="139"/>
      <c r="U156" s="139"/>
    </row>
    <row r="157" spans="1:21" x14ac:dyDescent="0.25">
      <c r="A157" s="1567">
        <f t="shared" si="36"/>
        <v>38</v>
      </c>
      <c r="B157" s="1572">
        <v>648</v>
      </c>
      <c r="C157" s="1573">
        <v>648921</v>
      </c>
      <c r="D157" s="1573" t="s">
        <v>1660</v>
      </c>
      <c r="E157" s="1574">
        <f t="shared" si="51"/>
        <v>485.13984999999997</v>
      </c>
      <c r="F157" s="2166">
        <f t="shared" si="52"/>
        <v>485139.85</v>
      </c>
      <c r="G157" s="1574">
        <f t="shared" si="53"/>
        <v>0</v>
      </c>
      <c r="H157" s="1576"/>
      <c r="I157" s="2168">
        <f t="shared" si="33"/>
        <v>485.13984999999997</v>
      </c>
      <c r="J157" s="139"/>
      <c r="K157" s="1226">
        <v>648</v>
      </c>
      <c r="L157" s="1226">
        <v>648921</v>
      </c>
      <c r="M157" s="1642">
        <f t="shared" si="54"/>
        <v>485139.85</v>
      </c>
      <c r="N157" s="1639">
        <v>-485139.85</v>
      </c>
      <c r="O157" s="1226"/>
      <c r="P157" s="1639"/>
      <c r="Q157" s="1639"/>
      <c r="R157" s="139"/>
      <c r="S157" s="139"/>
      <c r="T157" s="139"/>
      <c r="U157" s="139"/>
    </row>
    <row r="158" spans="1:21" x14ac:dyDescent="0.25">
      <c r="A158" s="1567">
        <f t="shared" si="36"/>
        <v>39</v>
      </c>
      <c r="B158" s="1572">
        <v>648</v>
      </c>
      <c r="C158" s="1573">
        <v>648922</v>
      </c>
      <c r="D158" s="1573" t="s">
        <v>1661</v>
      </c>
      <c r="E158" s="1574">
        <f t="shared" si="51"/>
        <v>0</v>
      </c>
      <c r="F158" s="1576"/>
      <c r="G158" s="1574">
        <f t="shared" si="53"/>
        <v>0</v>
      </c>
      <c r="H158" s="1576"/>
      <c r="I158" s="2168">
        <f t="shared" si="33"/>
        <v>0</v>
      </c>
      <c r="J158" s="139"/>
      <c r="K158" s="1226"/>
      <c r="L158" s="1226"/>
      <c r="M158" s="1639"/>
      <c r="N158" s="1639"/>
      <c r="O158" s="1226"/>
      <c r="P158" s="1639"/>
      <c r="Q158" s="1639"/>
      <c r="R158" s="139"/>
      <c r="S158" s="139"/>
      <c r="T158" s="139"/>
      <c r="U158" s="139"/>
    </row>
    <row r="159" spans="1:21" x14ac:dyDescent="0.25">
      <c r="A159" s="1567">
        <f t="shared" si="36"/>
        <v>40</v>
      </c>
      <c r="B159" s="1572">
        <v>648</v>
      </c>
      <c r="C159" s="1573">
        <v>648924</v>
      </c>
      <c r="D159" s="1573" t="s">
        <v>1662</v>
      </c>
      <c r="E159" s="1574">
        <f t="shared" si="51"/>
        <v>11945.558560000001</v>
      </c>
      <c r="F159" s="2166">
        <f>M159</f>
        <v>11945558.560000001</v>
      </c>
      <c r="G159" s="1574">
        <f t="shared" si="53"/>
        <v>0</v>
      </c>
      <c r="H159" s="1576"/>
      <c r="I159" s="2168">
        <f t="shared" si="33"/>
        <v>11945.558560000001</v>
      </c>
      <c r="J159" s="139"/>
      <c r="K159" s="1226">
        <v>648</v>
      </c>
      <c r="L159" s="1226">
        <v>648924</v>
      </c>
      <c r="M159" s="1642">
        <f t="shared" ref="M159" si="56">N159*-1</f>
        <v>11945558.560000001</v>
      </c>
      <c r="N159" s="1639">
        <v>-11945558.560000001</v>
      </c>
      <c r="O159" s="139"/>
      <c r="P159" s="1639">
        <f t="shared" ref="P159:P160" si="57">Q159*-1</f>
        <v>0</v>
      </c>
      <c r="Q159" s="139"/>
      <c r="R159" s="139"/>
      <c r="S159" s="139"/>
      <c r="T159" s="139"/>
      <c r="U159" s="139"/>
    </row>
    <row r="160" spans="1:21" x14ac:dyDescent="0.25">
      <c r="A160" s="2181">
        <f t="shared" si="36"/>
        <v>41</v>
      </c>
      <c r="B160" s="1568">
        <v>648</v>
      </c>
      <c r="C160" s="1569"/>
      <c r="D160" s="1569"/>
      <c r="E160" s="1570">
        <f>SUM(E153:E159)</f>
        <v>26769.889299999999</v>
      </c>
      <c r="F160" s="2178">
        <f>SUM(F153:F159)</f>
        <v>26769889.300000001</v>
      </c>
      <c r="G160" s="1570">
        <f>SUM(G153:G159)</f>
        <v>0</v>
      </c>
      <c r="H160" s="2178">
        <f>SUM(H153:H159)</f>
        <v>0</v>
      </c>
      <c r="I160" s="1571">
        <f t="shared" si="33"/>
        <v>26769.889299999999</v>
      </c>
      <c r="J160" s="139"/>
      <c r="K160" s="1226"/>
      <c r="L160" s="1226"/>
      <c r="M160" s="1648">
        <f>SUM(M153:M159)</f>
        <v>26769889.300000001</v>
      </c>
      <c r="N160" s="1639"/>
      <c r="O160" s="139"/>
      <c r="P160" s="1639">
        <f t="shared" si="57"/>
        <v>0</v>
      </c>
      <c r="Q160" s="139"/>
      <c r="R160" s="139"/>
      <c r="S160" s="139"/>
      <c r="T160" s="139"/>
      <c r="U160" s="139"/>
    </row>
    <row r="161" spans="1:21" x14ac:dyDescent="0.25">
      <c r="A161" s="1567">
        <f t="shared" si="36"/>
        <v>42</v>
      </c>
      <c r="B161" s="1572">
        <v>649</v>
      </c>
      <c r="C161" s="1573">
        <v>6491</v>
      </c>
      <c r="D161" s="1573" t="s">
        <v>1663</v>
      </c>
      <c r="E161" s="1574">
        <f t="shared" ref="E161:E178" si="58">F161/1000</f>
        <v>856.22812999999996</v>
      </c>
      <c r="F161" s="2166">
        <f>M161</f>
        <v>856228.13</v>
      </c>
      <c r="G161" s="1574">
        <f t="shared" ref="G161:G166" si="59">H161/1000</f>
        <v>0</v>
      </c>
      <c r="H161" s="1576"/>
      <c r="I161" s="2168">
        <f t="shared" si="33"/>
        <v>856.22812999999996</v>
      </c>
      <c r="J161" s="139"/>
      <c r="K161" s="1226">
        <v>649</v>
      </c>
      <c r="L161" s="1226">
        <v>6491</v>
      </c>
      <c r="M161" s="1642">
        <f>N161*-1</f>
        <v>856228.13</v>
      </c>
      <c r="N161" s="1639">
        <v>-856228.13</v>
      </c>
      <c r="O161" s="1226"/>
      <c r="P161" s="1639"/>
      <c r="Q161" s="1639"/>
      <c r="R161" s="139"/>
      <c r="S161" s="139"/>
      <c r="T161" s="139"/>
      <c r="U161" s="139"/>
    </row>
    <row r="162" spans="1:21" x14ac:dyDescent="0.25">
      <c r="A162" s="1567">
        <f t="shared" si="36"/>
        <v>43</v>
      </c>
      <c r="B162" s="1572">
        <v>649</v>
      </c>
      <c r="C162" s="1573">
        <v>64910</v>
      </c>
      <c r="D162" s="1573" t="s">
        <v>1664</v>
      </c>
      <c r="E162" s="1574">
        <f t="shared" si="58"/>
        <v>0</v>
      </c>
      <c r="F162" s="1576">
        <v>0</v>
      </c>
      <c r="G162" s="1574">
        <f t="shared" si="59"/>
        <v>9.8999999999999999E-4</v>
      </c>
      <c r="H162" s="1576">
        <f>P162</f>
        <v>0.99</v>
      </c>
      <c r="I162" s="2168">
        <f t="shared" si="33"/>
        <v>9.8999999999999999E-4</v>
      </c>
      <c r="J162" s="139"/>
      <c r="K162" s="1226"/>
      <c r="L162" s="1226"/>
      <c r="M162" s="1639"/>
      <c r="N162" s="1639"/>
      <c r="O162" s="1226">
        <v>64910</v>
      </c>
      <c r="P162" s="1656">
        <f t="shared" ref="P162:P163" si="60">Q162*-1</f>
        <v>0.99</v>
      </c>
      <c r="Q162" s="1639">
        <v>-0.99</v>
      </c>
      <c r="R162" s="139"/>
      <c r="S162" s="139"/>
      <c r="T162" s="139"/>
      <c r="U162" s="139"/>
    </row>
    <row r="163" spans="1:21" x14ac:dyDescent="0.25">
      <c r="A163" s="1567">
        <f t="shared" si="36"/>
        <v>44</v>
      </c>
      <c r="B163" s="1572">
        <v>649</v>
      </c>
      <c r="C163" s="1573">
        <v>64912</v>
      </c>
      <c r="D163" s="1573" t="s">
        <v>1665</v>
      </c>
      <c r="E163" s="1574">
        <f t="shared" si="58"/>
        <v>0</v>
      </c>
      <c r="F163" s="1576">
        <v>0</v>
      </c>
      <c r="G163" s="1574">
        <f t="shared" si="59"/>
        <v>289.07191</v>
      </c>
      <c r="H163" s="2167">
        <f>P163</f>
        <v>289071.90999999997</v>
      </c>
      <c r="I163" s="2168">
        <f t="shared" si="33"/>
        <v>289.07191</v>
      </c>
      <c r="J163" s="139"/>
      <c r="K163" s="1226"/>
      <c r="L163" s="1226"/>
      <c r="M163" s="1639"/>
      <c r="N163" s="1639"/>
      <c r="O163" s="1226">
        <v>64912</v>
      </c>
      <c r="P163" s="1656">
        <f t="shared" si="60"/>
        <v>289071.90999999997</v>
      </c>
      <c r="Q163" s="1639">
        <v>-289071.90999999997</v>
      </c>
      <c r="R163" s="139"/>
      <c r="S163" s="139"/>
      <c r="T163" s="139"/>
      <c r="U163" s="139"/>
    </row>
    <row r="164" spans="1:21" x14ac:dyDescent="0.25">
      <c r="A164" s="1567">
        <f t="shared" si="36"/>
        <v>45</v>
      </c>
      <c r="B164" s="1572">
        <v>649</v>
      </c>
      <c r="C164" s="1578">
        <v>64914</v>
      </c>
      <c r="D164" s="1573" t="s">
        <v>1666</v>
      </c>
      <c r="E164" s="1574">
        <f t="shared" si="58"/>
        <v>0.34958999999999996</v>
      </c>
      <c r="F164" s="2166">
        <f>M164</f>
        <v>349.59</v>
      </c>
      <c r="G164" s="1574">
        <f t="shared" si="59"/>
        <v>0</v>
      </c>
      <c r="H164" s="1576"/>
      <c r="I164" s="2168">
        <f t="shared" si="33"/>
        <v>0.34958999999999996</v>
      </c>
      <c r="J164" s="139"/>
      <c r="K164" s="1226">
        <v>649</v>
      </c>
      <c r="L164" s="1226">
        <v>64914</v>
      </c>
      <c r="M164" s="1642">
        <f t="shared" ref="M164:M166" si="61">N164*-1</f>
        <v>349.59</v>
      </c>
      <c r="N164" s="1639">
        <v>-349.59</v>
      </c>
      <c r="O164" s="1226"/>
      <c r="P164" s="1639"/>
      <c r="Q164" s="1639"/>
      <c r="R164" s="139"/>
      <c r="S164" s="139"/>
      <c r="T164" s="139"/>
      <c r="U164" s="139"/>
    </row>
    <row r="165" spans="1:21" x14ac:dyDescent="0.25">
      <c r="A165" s="1567">
        <f t="shared" si="36"/>
        <v>46</v>
      </c>
      <c r="B165" s="1572">
        <v>649</v>
      </c>
      <c r="C165" s="1573">
        <v>64917</v>
      </c>
      <c r="D165" s="1573" t="s">
        <v>1667</v>
      </c>
      <c r="E165" s="1574">
        <f t="shared" si="58"/>
        <v>394.77217999999999</v>
      </c>
      <c r="F165" s="2166">
        <f>M165</f>
        <v>394772.18</v>
      </c>
      <c r="G165" s="1574">
        <f t="shared" si="59"/>
        <v>0</v>
      </c>
      <c r="H165" s="1576"/>
      <c r="I165" s="2168">
        <f t="shared" si="33"/>
        <v>394.77217999999999</v>
      </c>
      <c r="J165" s="139"/>
      <c r="K165" s="1226">
        <v>649</v>
      </c>
      <c r="L165" s="1226">
        <v>64917</v>
      </c>
      <c r="M165" s="1642">
        <f t="shared" si="61"/>
        <v>394772.18</v>
      </c>
      <c r="N165" s="1639">
        <v>-394772.18</v>
      </c>
      <c r="O165" s="1226"/>
      <c r="P165" s="1639"/>
      <c r="Q165" s="1639"/>
      <c r="R165" s="139"/>
      <c r="S165" s="139"/>
      <c r="T165" s="139"/>
      <c r="U165" s="139"/>
    </row>
    <row r="166" spans="1:21" x14ac:dyDescent="0.25">
      <c r="A166" s="1567">
        <f t="shared" si="36"/>
        <v>47</v>
      </c>
      <c r="B166" s="1837">
        <v>649</v>
      </c>
      <c r="C166" s="1838">
        <v>64918</v>
      </c>
      <c r="D166" s="1838" t="s">
        <v>1668</v>
      </c>
      <c r="E166" s="2182">
        <f t="shared" si="58"/>
        <v>17427.726420000003</v>
      </c>
      <c r="F166" s="2183">
        <f>M166</f>
        <v>17427726.420000002</v>
      </c>
      <c r="G166" s="2182">
        <f t="shared" si="59"/>
        <v>0.56464000000000003</v>
      </c>
      <c r="H166" s="2184">
        <f>P166</f>
        <v>564.64</v>
      </c>
      <c r="I166" s="2185">
        <f t="shared" si="33"/>
        <v>17428.291060000003</v>
      </c>
      <c r="J166" s="139"/>
      <c r="K166" s="1226">
        <v>649</v>
      </c>
      <c r="L166" s="1226">
        <v>64918</v>
      </c>
      <c r="M166" s="1642">
        <f t="shared" si="61"/>
        <v>17427726.420000002</v>
      </c>
      <c r="N166" s="1639">
        <v>-17427726.420000002</v>
      </c>
      <c r="O166" s="1226">
        <v>64918</v>
      </c>
      <c r="P166" s="1656">
        <f t="shared" ref="P166:P168" si="62">Q166*-1</f>
        <v>564.64</v>
      </c>
      <c r="Q166" s="1639">
        <v>-564.64</v>
      </c>
      <c r="R166" s="139"/>
      <c r="S166" s="139"/>
      <c r="T166" s="139"/>
      <c r="U166" s="139"/>
    </row>
    <row r="167" spans="1:21" x14ac:dyDescent="0.25">
      <c r="A167" s="1567">
        <f t="shared" si="36"/>
        <v>48</v>
      </c>
      <c r="B167" s="1837">
        <v>649</v>
      </c>
      <c r="C167" s="1838">
        <v>64919</v>
      </c>
      <c r="D167" s="1838" t="s">
        <v>1669</v>
      </c>
      <c r="E167" s="2182">
        <f t="shared" si="58"/>
        <v>0</v>
      </c>
      <c r="F167" s="2184">
        <v>0</v>
      </c>
      <c r="G167" s="2182">
        <f>H167/1000</f>
        <v>36813.389710000003</v>
      </c>
      <c r="H167" s="2186">
        <f>P167</f>
        <v>36813389.710000001</v>
      </c>
      <c r="I167" s="2185">
        <f t="shared" si="33"/>
        <v>36813.389710000003</v>
      </c>
      <c r="J167" s="139"/>
      <c r="K167" s="1226"/>
      <c r="L167" s="1226"/>
      <c r="M167" s="1639"/>
      <c r="N167" s="1639"/>
      <c r="O167" s="1226">
        <v>64919</v>
      </c>
      <c r="P167" s="1656">
        <f t="shared" si="62"/>
        <v>36813389.710000001</v>
      </c>
      <c r="Q167" s="1639">
        <v>-36813389.710000001</v>
      </c>
      <c r="R167" s="139"/>
      <c r="S167" s="139"/>
      <c r="T167" s="139"/>
      <c r="U167" s="139"/>
    </row>
    <row r="168" spans="1:21" x14ac:dyDescent="0.25">
      <c r="A168" s="1567">
        <f t="shared" si="36"/>
        <v>49</v>
      </c>
      <c r="B168" s="1572">
        <v>649</v>
      </c>
      <c r="C168" s="1573">
        <v>64920</v>
      </c>
      <c r="D168" s="1573" t="s">
        <v>1670</v>
      </c>
      <c r="E168" s="1574">
        <f t="shared" si="58"/>
        <v>0</v>
      </c>
      <c r="F168" s="1576">
        <v>0</v>
      </c>
      <c r="G168" s="1574">
        <f t="shared" ref="G168:G178" si="63">H168/1000</f>
        <v>178.42644000000001</v>
      </c>
      <c r="H168" s="2167">
        <f>P168</f>
        <v>178426.44</v>
      </c>
      <c r="I168" s="2168">
        <f t="shared" si="33"/>
        <v>178.42644000000001</v>
      </c>
      <c r="J168" s="139"/>
      <c r="K168" s="1226"/>
      <c r="L168" s="1226"/>
      <c r="M168" s="1639"/>
      <c r="N168" s="1639"/>
      <c r="O168" s="1226">
        <v>64920</v>
      </c>
      <c r="P168" s="1656">
        <f t="shared" si="62"/>
        <v>178426.44</v>
      </c>
      <c r="Q168" s="1639">
        <v>-178426.44</v>
      </c>
      <c r="R168" s="139"/>
      <c r="S168" s="139"/>
      <c r="T168" s="139"/>
      <c r="U168" s="139"/>
    </row>
    <row r="169" spans="1:21" x14ac:dyDescent="0.25">
      <c r="A169" s="1567">
        <f t="shared" si="36"/>
        <v>50</v>
      </c>
      <c r="B169" s="1572">
        <v>649</v>
      </c>
      <c r="C169" s="1573">
        <v>64921</v>
      </c>
      <c r="D169" s="1573" t="s">
        <v>1671</v>
      </c>
      <c r="E169" s="1574">
        <f t="shared" si="58"/>
        <v>0</v>
      </c>
      <c r="F169" s="2166">
        <v>0</v>
      </c>
      <c r="G169" s="1574">
        <f t="shared" si="63"/>
        <v>0</v>
      </c>
      <c r="H169" s="1576"/>
      <c r="I169" s="2168">
        <f t="shared" si="33"/>
        <v>0</v>
      </c>
      <c r="J169" s="139"/>
      <c r="K169" s="1226"/>
      <c r="L169" s="1226"/>
      <c r="M169" s="1639"/>
      <c r="N169" s="1639"/>
      <c r="O169" s="1226"/>
      <c r="P169" s="1639"/>
      <c r="Q169" s="1639"/>
      <c r="R169" s="139"/>
      <c r="S169" s="139"/>
      <c r="T169" s="139"/>
      <c r="U169" s="139"/>
    </row>
    <row r="170" spans="1:21" x14ac:dyDescent="0.25">
      <c r="A170" s="1567">
        <f t="shared" si="36"/>
        <v>51</v>
      </c>
      <c r="B170" s="2175">
        <v>649</v>
      </c>
      <c r="C170" s="2176">
        <v>6493</v>
      </c>
      <c r="D170" s="2174" t="s">
        <v>1708</v>
      </c>
      <c r="E170" s="1574">
        <f t="shared" si="58"/>
        <v>149.87620000000001</v>
      </c>
      <c r="F170" s="2166">
        <f t="shared" ref="F170:F176" si="64">M170</f>
        <v>149876.20000000001</v>
      </c>
      <c r="G170" s="1574">
        <f t="shared" si="63"/>
        <v>0</v>
      </c>
      <c r="H170" s="1576"/>
      <c r="I170" s="2168">
        <f t="shared" si="33"/>
        <v>149.87620000000001</v>
      </c>
      <c r="J170" s="139"/>
      <c r="K170" s="1226">
        <v>649</v>
      </c>
      <c r="L170" s="1226">
        <v>6493</v>
      </c>
      <c r="M170" s="1642">
        <f t="shared" ref="M170:M176" si="65">N170*-1</f>
        <v>149876.20000000001</v>
      </c>
      <c r="N170" s="1639">
        <v>-149876.20000000001</v>
      </c>
      <c r="O170" s="139"/>
      <c r="P170" s="1639">
        <f t="shared" ref="P170:P203" si="66">Q170*-1</f>
        <v>0</v>
      </c>
      <c r="Q170" s="139"/>
      <c r="R170" s="139"/>
      <c r="S170" s="139"/>
      <c r="T170" s="139"/>
      <c r="U170" s="139"/>
    </row>
    <row r="171" spans="1:21" x14ac:dyDescent="0.25">
      <c r="A171" s="1567">
        <f t="shared" si="36"/>
        <v>52</v>
      </c>
      <c r="B171" s="1572">
        <v>649</v>
      </c>
      <c r="C171" s="1573">
        <v>6495</v>
      </c>
      <c r="D171" s="1573" t="s">
        <v>1672</v>
      </c>
      <c r="E171" s="1574">
        <f t="shared" si="58"/>
        <v>4228.2485999999999</v>
      </c>
      <c r="F171" s="2166">
        <f t="shared" si="64"/>
        <v>4228248.5999999996</v>
      </c>
      <c r="G171" s="1574">
        <f t="shared" si="63"/>
        <v>0</v>
      </c>
      <c r="H171" s="1576"/>
      <c r="I171" s="2168">
        <f t="shared" si="33"/>
        <v>4228.2485999999999</v>
      </c>
      <c r="J171" s="139"/>
      <c r="K171" s="1226">
        <v>649</v>
      </c>
      <c r="L171" s="1226">
        <v>6495</v>
      </c>
      <c r="M171" s="1642">
        <f t="shared" si="65"/>
        <v>4228248.5999999996</v>
      </c>
      <c r="N171" s="1639">
        <v>-4228248.5999999996</v>
      </c>
      <c r="O171" s="139"/>
      <c r="P171" s="1639">
        <f t="shared" si="66"/>
        <v>0</v>
      </c>
      <c r="Q171" s="139"/>
      <c r="R171" s="139"/>
      <c r="S171" s="139"/>
      <c r="T171" s="139"/>
      <c r="U171" s="139"/>
    </row>
    <row r="172" spans="1:21" x14ac:dyDescent="0.25">
      <c r="A172" s="1567">
        <f t="shared" si="36"/>
        <v>53</v>
      </c>
      <c r="B172" s="1572">
        <v>649</v>
      </c>
      <c r="C172" s="1578">
        <v>64951</v>
      </c>
      <c r="D172" s="1573" t="s">
        <v>1673</v>
      </c>
      <c r="E172" s="1574">
        <f t="shared" si="58"/>
        <v>107.203</v>
      </c>
      <c r="F172" s="2166">
        <f t="shared" si="64"/>
        <v>107203</v>
      </c>
      <c r="G172" s="1574">
        <f t="shared" si="63"/>
        <v>0</v>
      </c>
      <c r="H172" s="1576"/>
      <c r="I172" s="2168">
        <f t="shared" si="33"/>
        <v>107.203</v>
      </c>
      <c r="J172" s="139"/>
      <c r="K172" s="1226">
        <v>649</v>
      </c>
      <c r="L172" s="1226">
        <v>64951</v>
      </c>
      <c r="M172" s="1642">
        <f t="shared" si="65"/>
        <v>107203</v>
      </c>
      <c r="N172" s="1639">
        <v>-107203</v>
      </c>
      <c r="O172" s="139"/>
      <c r="P172" s="1639">
        <f t="shared" si="66"/>
        <v>0</v>
      </c>
      <c r="Q172" s="139"/>
      <c r="R172" s="139"/>
      <c r="S172" s="139"/>
      <c r="T172" s="139"/>
      <c r="U172" s="139"/>
    </row>
    <row r="173" spans="1:21" x14ac:dyDescent="0.25">
      <c r="A173" s="1567">
        <f t="shared" si="36"/>
        <v>54</v>
      </c>
      <c r="B173" s="1572">
        <v>649</v>
      </c>
      <c r="C173" s="1573">
        <v>649551</v>
      </c>
      <c r="D173" s="1573" t="s">
        <v>1674</v>
      </c>
      <c r="E173" s="1574">
        <f t="shared" si="58"/>
        <v>12099.5771</v>
      </c>
      <c r="F173" s="2166">
        <f t="shared" si="64"/>
        <v>12099577.1</v>
      </c>
      <c r="G173" s="1574">
        <f t="shared" si="63"/>
        <v>0</v>
      </c>
      <c r="H173" s="1576"/>
      <c r="I173" s="2168">
        <f t="shared" si="33"/>
        <v>12099.5771</v>
      </c>
      <c r="J173" s="139"/>
      <c r="K173" s="1226">
        <v>649</v>
      </c>
      <c r="L173" s="1226">
        <v>649551</v>
      </c>
      <c r="M173" s="1642">
        <f t="shared" si="65"/>
        <v>12099577.1</v>
      </c>
      <c r="N173" s="1639">
        <v>-12099577.1</v>
      </c>
      <c r="O173" s="139"/>
      <c r="P173" s="1639">
        <f t="shared" si="66"/>
        <v>0</v>
      </c>
      <c r="Q173" s="139"/>
      <c r="R173" s="139"/>
      <c r="S173" s="139"/>
      <c r="T173" s="139"/>
      <c r="U173" s="139"/>
    </row>
    <row r="174" spans="1:21" x14ac:dyDescent="0.25">
      <c r="A174" s="1567">
        <f t="shared" si="36"/>
        <v>55</v>
      </c>
      <c r="B174" s="1572">
        <v>649</v>
      </c>
      <c r="C174" s="1573">
        <v>6499</v>
      </c>
      <c r="D174" s="1573" t="s">
        <v>1675</v>
      </c>
      <c r="E174" s="1574">
        <f t="shared" si="58"/>
        <v>576.86973999999998</v>
      </c>
      <c r="F174" s="2166">
        <f t="shared" si="64"/>
        <v>576869.74</v>
      </c>
      <c r="G174" s="1574">
        <f t="shared" si="63"/>
        <v>636.62751000000003</v>
      </c>
      <c r="H174" s="2167">
        <f>P174</f>
        <v>636627.51</v>
      </c>
      <c r="I174" s="2168">
        <f t="shared" si="33"/>
        <v>1213.4972499999999</v>
      </c>
      <c r="J174" s="139"/>
      <c r="K174" s="1226">
        <v>649</v>
      </c>
      <c r="L174" s="1226">
        <v>6499</v>
      </c>
      <c r="M174" s="1642">
        <f t="shared" si="65"/>
        <v>576869.74</v>
      </c>
      <c r="N174" s="1639">
        <v>-576869.74</v>
      </c>
      <c r="O174" s="1226">
        <v>6499</v>
      </c>
      <c r="P174" s="1656">
        <f t="shared" si="66"/>
        <v>636627.51</v>
      </c>
      <c r="Q174" s="1639">
        <v>-636627.51</v>
      </c>
      <c r="R174" s="139"/>
      <c r="S174" s="139"/>
      <c r="T174" s="139"/>
      <c r="U174" s="139"/>
    </row>
    <row r="175" spans="1:21" x14ac:dyDescent="0.25">
      <c r="A175" s="1567">
        <f t="shared" si="36"/>
        <v>56</v>
      </c>
      <c r="B175" s="1572">
        <v>649</v>
      </c>
      <c r="C175" s="1573">
        <v>64990</v>
      </c>
      <c r="D175" s="1573" t="s">
        <v>1676</v>
      </c>
      <c r="E175" s="1574">
        <f t="shared" si="58"/>
        <v>439.09934999999996</v>
      </c>
      <c r="F175" s="2166">
        <f t="shared" si="64"/>
        <v>439099.35</v>
      </c>
      <c r="G175" s="1574">
        <f t="shared" si="63"/>
        <v>0</v>
      </c>
      <c r="H175" s="2167"/>
      <c r="I175" s="2168">
        <f t="shared" si="33"/>
        <v>439.09934999999996</v>
      </c>
      <c r="J175" s="139"/>
      <c r="K175" s="1226">
        <v>649</v>
      </c>
      <c r="L175" s="1226">
        <v>64990</v>
      </c>
      <c r="M175" s="1642">
        <f t="shared" si="65"/>
        <v>439099.35</v>
      </c>
      <c r="N175" s="1639">
        <v>-439099.35</v>
      </c>
      <c r="O175" s="139"/>
      <c r="P175" s="1639">
        <f t="shared" si="66"/>
        <v>0</v>
      </c>
      <c r="Q175" s="139"/>
      <c r="R175" s="139"/>
      <c r="S175" s="139"/>
      <c r="T175" s="139"/>
      <c r="U175" s="139"/>
    </row>
    <row r="176" spans="1:21" x14ac:dyDescent="0.25">
      <c r="A176" s="1567">
        <f t="shared" si="36"/>
        <v>57</v>
      </c>
      <c r="B176" s="1572">
        <v>649</v>
      </c>
      <c r="C176" s="1573">
        <v>64995</v>
      </c>
      <c r="D176" s="1573" t="s">
        <v>1677</v>
      </c>
      <c r="E176" s="1574">
        <f t="shared" si="58"/>
        <v>19.538</v>
      </c>
      <c r="F176" s="2166">
        <f t="shared" si="64"/>
        <v>19538</v>
      </c>
      <c r="G176" s="1574">
        <f t="shared" si="63"/>
        <v>0</v>
      </c>
      <c r="H176" s="2167"/>
      <c r="I176" s="2168">
        <f t="shared" si="33"/>
        <v>19.538</v>
      </c>
      <c r="J176" s="139"/>
      <c r="K176" s="1226">
        <v>649</v>
      </c>
      <c r="L176" s="1226">
        <v>64995</v>
      </c>
      <c r="M176" s="1642">
        <f t="shared" si="65"/>
        <v>19538</v>
      </c>
      <c r="N176" s="1639">
        <v>-19538</v>
      </c>
      <c r="O176" s="139"/>
      <c r="P176" s="1639">
        <f t="shared" si="66"/>
        <v>0</v>
      </c>
      <c r="Q176" s="139"/>
      <c r="R176" s="139"/>
      <c r="S176" s="139"/>
      <c r="T176" s="139"/>
      <c r="U176" s="139"/>
    </row>
    <row r="177" spans="1:21" x14ac:dyDescent="0.25">
      <c r="A177" s="1567">
        <f t="shared" si="36"/>
        <v>58</v>
      </c>
      <c r="B177" s="1572">
        <v>649</v>
      </c>
      <c r="C177" s="1573">
        <v>64998</v>
      </c>
      <c r="D177" s="1573" t="s">
        <v>1678</v>
      </c>
      <c r="E177" s="1574">
        <f t="shared" si="58"/>
        <v>0</v>
      </c>
      <c r="F177" s="2166">
        <v>0</v>
      </c>
      <c r="G177" s="1574">
        <f t="shared" si="63"/>
        <v>0</v>
      </c>
      <c r="H177" s="2167"/>
      <c r="I177" s="2168">
        <f t="shared" si="33"/>
        <v>0</v>
      </c>
      <c r="J177" s="139"/>
      <c r="K177" s="1226"/>
      <c r="L177" s="1226"/>
      <c r="M177" s="1642"/>
      <c r="N177" s="1639"/>
      <c r="O177" s="139"/>
      <c r="P177" s="1639">
        <f t="shared" si="66"/>
        <v>0</v>
      </c>
      <c r="Q177" s="139"/>
      <c r="R177" s="139"/>
      <c r="S177" s="139"/>
      <c r="T177" s="139"/>
      <c r="U177" s="139"/>
    </row>
    <row r="178" spans="1:21" x14ac:dyDescent="0.25">
      <c r="A178" s="1567">
        <f t="shared" si="36"/>
        <v>59</v>
      </c>
      <c r="B178" s="1572">
        <v>649</v>
      </c>
      <c r="C178" s="1573">
        <v>649999</v>
      </c>
      <c r="D178" s="2174" t="s">
        <v>1709</v>
      </c>
      <c r="E178" s="1574">
        <f t="shared" si="58"/>
        <v>2.8140000000000001</v>
      </c>
      <c r="F178" s="2166">
        <f>M178</f>
        <v>2814</v>
      </c>
      <c r="G178" s="1574">
        <f t="shared" si="63"/>
        <v>0</v>
      </c>
      <c r="H178" s="1576"/>
      <c r="I178" s="2168">
        <f t="shared" si="33"/>
        <v>2.8140000000000001</v>
      </c>
      <c r="J178" s="139"/>
      <c r="K178" s="1226">
        <v>649</v>
      </c>
      <c r="L178" s="1226">
        <v>649999</v>
      </c>
      <c r="M178" s="1642">
        <f t="shared" ref="M178" si="67">N178*-1</f>
        <v>2814</v>
      </c>
      <c r="N178" s="1639">
        <v>-2814</v>
      </c>
      <c r="O178" s="139"/>
      <c r="P178" s="1639">
        <f t="shared" si="66"/>
        <v>0</v>
      </c>
      <c r="Q178" s="139"/>
      <c r="R178" s="139"/>
      <c r="S178" s="139"/>
      <c r="T178" s="139"/>
      <c r="U178" s="139"/>
    </row>
    <row r="179" spans="1:21" x14ac:dyDescent="0.25">
      <c r="A179" s="2181">
        <f t="shared" si="36"/>
        <v>60</v>
      </c>
      <c r="B179" s="1568">
        <v>649</v>
      </c>
      <c r="C179" s="1569"/>
      <c r="D179" s="1569"/>
      <c r="E179" s="1570">
        <f>SUM(E161:E178)</f>
        <v>36302.302309999999</v>
      </c>
      <c r="F179" s="2178">
        <f>SUM(F161:F178)</f>
        <v>36302302.310000002</v>
      </c>
      <c r="G179" s="1570">
        <f>SUM(G161:G178)</f>
        <v>37918.081200000008</v>
      </c>
      <c r="H179" s="2178">
        <f>SUM(H161:H178)</f>
        <v>37918081.199999996</v>
      </c>
      <c r="I179" s="1571">
        <f t="shared" si="33"/>
        <v>74220.383510000014</v>
      </c>
      <c r="J179" s="139"/>
      <c r="K179" s="1226"/>
      <c r="L179" s="1226"/>
      <c r="M179" s="1648">
        <f>SUM(M161:M178)</f>
        <v>36302302.310000002</v>
      </c>
      <c r="N179" s="1639"/>
      <c r="O179" s="139"/>
      <c r="P179" s="1639">
        <f t="shared" si="66"/>
        <v>0</v>
      </c>
      <c r="Q179" s="139"/>
      <c r="R179" s="139"/>
      <c r="S179" s="139"/>
      <c r="T179" s="139"/>
      <c r="U179" s="139"/>
    </row>
    <row r="180" spans="1:21" x14ac:dyDescent="0.25">
      <c r="A180" s="2181">
        <f t="shared" si="36"/>
        <v>61</v>
      </c>
      <c r="B180" s="1568">
        <v>652</v>
      </c>
      <c r="C180" s="1569">
        <v>652</v>
      </c>
      <c r="D180" s="1569" t="s">
        <v>1679</v>
      </c>
      <c r="E180" s="1570">
        <f t="shared" ref="E180:E182" si="68">F180/1000</f>
        <v>10.914999999999999</v>
      </c>
      <c r="F180" s="2171">
        <f>M180</f>
        <v>10915</v>
      </c>
      <c r="G180" s="1570">
        <f t="shared" ref="G180:G182" si="69">H180/1000</f>
        <v>0</v>
      </c>
      <c r="H180" s="2178"/>
      <c r="I180" s="1571">
        <f t="shared" si="33"/>
        <v>10.914999999999999</v>
      </c>
      <c r="J180" s="139"/>
      <c r="K180" s="1226">
        <v>652</v>
      </c>
      <c r="L180" s="1226">
        <v>652</v>
      </c>
      <c r="M180" s="1642">
        <f t="shared" ref="M180:M182" si="70">N180*-1</f>
        <v>10915</v>
      </c>
      <c r="N180" s="1639">
        <v>-10915</v>
      </c>
      <c r="O180" s="139"/>
      <c r="P180" s="1639">
        <f t="shared" si="66"/>
        <v>0</v>
      </c>
      <c r="Q180" s="139"/>
      <c r="R180" s="139"/>
      <c r="S180" s="139"/>
      <c r="T180" s="139"/>
      <c r="U180" s="139"/>
    </row>
    <row r="181" spans="1:21" x14ac:dyDescent="0.25">
      <c r="A181" s="1567">
        <f t="shared" si="36"/>
        <v>62</v>
      </c>
      <c r="B181" s="1572">
        <v>682</v>
      </c>
      <c r="C181" s="1573">
        <v>6821</v>
      </c>
      <c r="D181" s="1573" t="s">
        <v>1680</v>
      </c>
      <c r="E181" s="1574">
        <f t="shared" si="68"/>
        <v>671.96180000000004</v>
      </c>
      <c r="F181" s="2166">
        <f>M181</f>
        <v>671961.8</v>
      </c>
      <c r="G181" s="1574">
        <f t="shared" si="69"/>
        <v>0</v>
      </c>
      <c r="H181" s="1576"/>
      <c r="I181" s="2168">
        <f t="shared" si="33"/>
        <v>671.96180000000004</v>
      </c>
      <c r="J181" s="139"/>
      <c r="K181" s="1226">
        <v>682</v>
      </c>
      <c r="L181" s="1226">
        <v>6821</v>
      </c>
      <c r="M181" s="1642">
        <f t="shared" si="70"/>
        <v>671961.8</v>
      </c>
      <c r="N181" s="1639">
        <v>-671961.8</v>
      </c>
      <c r="O181" s="139"/>
      <c r="P181" s="1639">
        <f t="shared" si="66"/>
        <v>0</v>
      </c>
      <c r="Q181" s="139"/>
      <c r="R181" s="139"/>
      <c r="S181" s="139"/>
      <c r="T181" s="139"/>
      <c r="U181" s="139"/>
    </row>
    <row r="182" spans="1:21" x14ac:dyDescent="0.25">
      <c r="A182" s="1567">
        <f t="shared" si="36"/>
        <v>63</v>
      </c>
      <c r="B182" s="1572">
        <v>682</v>
      </c>
      <c r="C182" s="1573">
        <v>6822</v>
      </c>
      <c r="D182" s="1573" t="s">
        <v>1681</v>
      </c>
      <c r="E182" s="1574">
        <f t="shared" si="68"/>
        <v>48.56</v>
      </c>
      <c r="F182" s="2166">
        <f>M182</f>
        <v>48560</v>
      </c>
      <c r="G182" s="1574">
        <f t="shared" si="69"/>
        <v>0</v>
      </c>
      <c r="H182" s="1576"/>
      <c r="I182" s="2168">
        <f t="shared" si="33"/>
        <v>48.56</v>
      </c>
      <c r="J182" s="139"/>
      <c r="K182" s="1226">
        <v>682</v>
      </c>
      <c r="L182" s="1226">
        <v>6822</v>
      </c>
      <c r="M182" s="1642">
        <f t="shared" si="70"/>
        <v>48560</v>
      </c>
      <c r="N182" s="1639">
        <v>-48560</v>
      </c>
      <c r="O182" s="139"/>
      <c r="P182" s="1639">
        <f t="shared" si="66"/>
        <v>0</v>
      </c>
      <c r="Q182" s="139"/>
      <c r="R182" s="139"/>
      <c r="S182" s="139"/>
      <c r="T182" s="139"/>
      <c r="U182" s="139"/>
    </row>
    <row r="183" spans="1:21" x14ac:dyDescent="0.25">
      <c r="A183" s="2181">
        <f t="shared" si="36"/>
        <v>64</v>
      </c>
      <c r="B183" s="1568">
        <v>682</v>
      </c>
      <c r="C183" s="1569"/>
      <c r="D183" s="1569"/>
      <c r="E183" s="1570">
        <f>SUM(E181:E182)</f>
        <v>720.52179999999998</v>
      </c>
      <c r="F183" s="2178">
        <f>SUM(F180:F182)</f>
        <v>731436.8</v>
      </c>
      <c r="G183" s="1570">
        <f>SUM(G181:G182)</f>
        <v>0</v>
      </c>
      <c r="H183" s="2178">
        <f>SUM(H181:H182)</f>
        <v>0</v>
      </c>
      <c r="I183" s="1571">
        <f t="shared" si="33"/>
        <v>720.52179999999998</v>
      </c>
      <c r="J183" s="139"/>
      <c r="K183" s="1226"/>
      <c r="L183" s="1226"/>
      <c r="M183" s="1648">
        <f>SUM(M180:M182)</f>
        <v>731436.8</v>
      </c>
      <c r="N183" s="1639"/>
      <c r="O183" s="139"/>
      <c r="P183" s="1639">
        <f t="shared" si="66"/>
        <v>0</v>
      </c>
      <c r="Q183" s="139"/>
      <c r="R183" s="139"/>
      <c r="S183" s="139"/>
      <c r="T183" s="139"/>
      <c r="U183" s="139"/>
    </row>
    <row r="184" spans="1:21" x14ac:dyDescent="0.25">
      <c r="A184" s="1567">
        <f t="shared" si="36"/>
        <v>65</v>
      </c>
      <c r="B184" s="1572">
        <v>691</v>
      </c>
      <c r="C184" s="1573">
        <v>691111</v>
      </c>
      <c r="D184" s="1573" t="s">
        <v>1682</v>
      </c>
      <c r="E184" s="1574">
        <f t="shared" ref="E184:E203" si="71">F184/1000</f>
        <v>2568.9224700000004</v>
      </c>
      <c r="F184" s="2166">
        <f>M184</f>
        <v>2568922.4700000002</v>
      </c>
      <c r="G184" s="1574">
        <f t="shared" ref="G184:G203" si="72">H184/1000</f>
        <v>0</v>
      </c>
      <c r="H184" s="1576"/>
      <c r="I184" s="2168">
        <f t="shared" si="33"/>
        <v>2568.9224700000004</v>
      </c>
      <c r="J184" s="139"/>
      <c r="K184" s="1226"/>
      <c r="L184" s="1226"/>
      <c r="M184" s="1642">
        <v>2568922.4700000002</v>
      </c>
      <c r="N184" s="1639"/>
      <c r="O184" s="139"/>
      <c r="P184" s="1639">
        <f t="shared" si="66"/>
        <v>0</v>
      </c>
      <c r="Q184" s="139"/>
      <c r="R184" s="139"/>
      <c r="S184" s="139"/>
      <c r="T184" s="139"/>
      <c r="U184" s="139"/>
    </row>
    <row r="185" spans="1:21" x14ac:dyDescent="0.25">
      <c r="A185" s="1567">
        <f t="shared" si="36"/>
        <v>66</v>
      </c>
      <c r="B185" s="1572">
        <v>691</v>
      </c>
      <c r="C185" s="1573">
        <v>691113</v>
      </c>
      <c r="D185" s="1573" t="s">
        <v>1683</v>
      </c>
      <c r="E185" s="1574">
        <f t="shared" si="71"/>
        <v>0</v>
      </c>
      <c r="F185" s="1576">
        <v>0</v>
      </c>
      <c r="G185" s="1574">
        <f t="shared" si="72"/>
        <v>0</v>
      </c>
      <c r="H185" s="1576"/>
      <c r="I185" s="2168">
        <f t="shared" si="33"/>
        <v>0</v>
      </c>
      <c r="J185" s="139"/>
      <c r="K185" s="1226"/>
      <c r="L185" s="1226"/>
      <c r="M185" s="1639"/>
      <c r="N185" s="1639"/>
      <c r="O185" s="139"/>
      <c r="P185" s="1639">
        <f t="shared" si="66"/>
        <v>0</v>
      </c>
      <c r="Q185" s="139"/>
      <c r="R185" s="139"/>
      <c r="S185" s="139"/>
      <c r="T185" s="139"/>
      <c r="U185" s="139"/>
    </row>
    <row r="186" spans="1:21" x14ac:dyDescent="0.25">
      <c r="A186" s="1567">
        <f t="shared" ref="A186:A205" si="73">A185+1</f>
        <v>67</v>
      </c>
      <c r="B186" s="1572">
        <v>691</v>
      </c>
      <c r="C186" s="1573">
        <v>691115</v>
      </c>
      <c r="D186" s="1573" t="s">
        <v>1684</v>
      </c>
      <c r="E186" s="1574">
        <f t="shared" si="71"/>
        <v>9338.1391800000001</v>
      </c>
      <c r="F186" s="2166">
        <f t="shared" ref="F186:F203" si="74">M186</f>
        <v>9338139.1799999997</v>
      </c>
      <c r="G186" s="1574">
        <f t="shared" si="72"/>
        <v>0</v>
      </c>
      <c r="H186" s="1576"/>
      <c r="I186" s="2168">
        <f t="shared" si="33"/>
        <v>9338.1391800000001</v>
      </c>
      <c r="J186" s="139"/>
      <c r="K186" s="1226">
        <v>691</v>
      </c>
      <c r="L186" s="1226">
        <v>691115</v>
      </c>
      <c r="M186" s="1642">
        <f t="shared" ref="M186:M203" si="75">N186*-1</f>
        <v>9338139.1799999997</v>
      </c>
      <c r="N186" s="1639">
        <v>-9338139.1799999997</v>
      </c>
      <c r="O186" s="139"/>
      <c r="P186" s="1639">
        <f t="shared" si="66"/>
        <v>0</v>
      </c>
      <c r="Q186" s="139"/>
      <c r="R186" s="139"/>
      <c r="S186" s="139"/>
      <c r="T186" s="139"/>
      <c r="U186" s="139"/>
    </row>
    <row r="187" spans="1:21" x14ac:dyDescent="0.25">
      <c r="A187" s="1567">
        <f t="shared" si="73"/>
        <v>68</v>
      </c>
      <c r="B187" s="1572">
        <v>691</v>
      </c>
      <c r="C187" s="1573">
        <v>691117</v>
      </c>
      <c r="D187" s="1573" t="s">
        <v>1685</v>
      </c>
      <c r="E187" s="1574">
        <f t="shared" si="71"/>
        <v>3788.7577000000001</v>
      </c>
      <c r="F187" s="2166">
        <f t="shared" si="74"/>
        <v>3788757.7</v>
      </c>
      <c r="G187" s="1574">
        <f t="shared" si="72"/>
        <v>0</v>
      </c>
      <c r="H187" s="1576"/>
      <c r="I187" s="2168">
        <f t="shared" si="33"/>
        <v>3788.7577000000001</v>
      </c>
      <c r="J187" s="139"/>
      <c r="K187" s="1226">
        <v>691</v>
      </c>
      <c r="L187" s="1226">
        <v>691117</v>
      </c>
      <c r="M187" s="1642">
        <f t="shared" si="75"/>
        <v>3788757.7</v>
      </c>
      <c r="N187" s="1639">
        <v>-3788757.7</v>
      </c>
      <c r="O187" s="139"/>
      <c r="P187" s="1639">
        <f t="shared" si="66"/>
        <v>0</v>
      </c>
      <c r="Q187" s="139"/>
      <c r="R187" s="139"/>
      <c r="S187" s="139"/>
      <c r="T187" s="139"/>
      <c r="U187" s="139"/>
    </row>
    <row r="188" spans="1:21" x14ac:dyDescent="0.25">
      <c r="A188" s="1567">
        <f t="shared" si="73"/>
        <v>69</v>
      </c>
      <c r="B188" s="1572">
        <v>691</v>
      </c>
      <c r="C188" s="1573">
        <v>691118</v>
      </c>
      <c r="D188" s="1573" t="s">
        <v>1686</v>
      </c>
      <c r="E188" s="1574">
        <f t="shared" si="71"/>
        <v>12603.537900000001</v>
      </c>
      <c r="F188" s="2166">
        <f t="shared" si="74"/>
        <v>12603537.9</v>
      </c>
      <c r="G188" s="1574">
        <f t="shared" si="72"/>
        <v>0</v>
      </c>
      <c r="H188" s="1576"/>
      <c r="I188" s="2168">
        <f t="shared" si="33"/>
        <v>12603.537900000001</v>
      </c>
      <c r="J188" s="139"/>
      <c r="K188" s="1226">
        <v>691</v>
      </c>
      <c r="L188" s="1226">
        <v>691118</v>
      </c>
      <c r="M188" s="1642">
        <f t="shared" si="75"/>
        <v>12603537.9</v>
      </c>
      <c r="N188" s="1639">
        <v>-12603537.9</v>
      </c>
      <c r="O188" s="139"/>
      <c r="P188" s="1639">
        <f t="shared" si="66"/>
        <v>0</v>
      </c>
      <c r="Q188" s="139"/>
      <c r="R188" s="139"/>
      <c r="S188" s="139"/>
      <c r="T188" s="139"/>
      <c r="U188" s="139"/>
    </row>
    <row r="189" spans="1:21" x14ac:dyDescent="0.25">
      <c r="A189" s="1567">
        <f t="shared" si="73"/>
        <v>70</v>
      </c>
      <c r="B189" s="1572">
        <v>691</v>
      </c>
      <c r="C189" s="1573">
        <v>691120</v>
      </c>
      <c r="D189" s="2174" t="s">
        <v>1710</v>
      </c>
      <c r="E189" s="1574">
        <f t="shared" si="71"/>
        <v>794.24800000000005</v>
      </c>
      <c r="F189" s="2166">
        <f t="shared" si="74"/>
        <v>794248</v>
      </c>
      <c r="G189" s="1574">
        <f t="shared" si="72"/>
        <v>0</v>
      </c>
      <c r="H189" s="1576"/>
      <c r="I189" s="2168">
        <f t="shared" si="33"/>
        <v>794.24800000000005</v>
      </c>
      <c r="J189" s="139"/>
      <c r="K189" s="1226">
        <v>691</v>
      </c>
      <c r="L189" s="1226">
        <v>691120</v>
      </c>
      <c r="M189" s="1642">
        <f t="shared" si="75"/>
        <v>794248</v>
      </c>
      <c r="N189" s="1639">
        <v>-794248</v>
      </c>
      <c r="O189" s="139"/>
      <c r="P189" s="1639">
        <f t="shared" si="66"/>
        <v>0</v>
      </c>
      <c r="Q189" s="139"/>
      <c r="R189" s="139"/>
      <c r="S189" s="139"/>
      <c r="T189" s="139"/>
      <c r="U189" s="139"/>
    </row>
    <row r="190" spans="1:21" x14ac:dyDescent="0.25">
      <c r="A190" s="1567">
        <f t="shared" si="73"/>
        <v>71</v>
      </c>
      <c r="B190" s="1572">
        <v>691</v>
      </c>
      <c r="C190" s="1573">
        <v>691121</v>
      </c>
      <c r="D190" s="1573" t="s">
        <v>1687</v>
      </c>
      <c r="E190" s="1574">
        <f t="shared" si="71"/>
        <v>12955.825140000001</v>
      </c>
      <c r="F190" s="2166">
        <f t="shared" si="74"/>
        <v>12955825.140000001</v>
      </c>
      <c r="G190" s="1574">
        <f t="shared" si="72"/>
        <v>0</v>
      </c>
      <c r="H190" s="1576"/>
      <c r="I190" s="2168">
        <f t="shared" si="33"/>
        <v>12955.825140000001</v>
      </c>
      <c r="J190" s="139"/>
      <c r="K190" s="1226">
        <v>691</v>
      </c>
      <c r="L190" s="1226">
        <v>691121</v>
      </c>
      <c r="M190" s="1642">
        <f t="shared" si="75"/>
        <v>12955825.140000001</v>
      </c>
      <c r="N190" s="1639">
        <v>-12955825.140000001</v>
      </c>
      <c r="O190" s="139"/>
      <c r="P190" s="1639">
        <f t="shared" si="66"/>
        <v>0</v>
      </c>
      <c r="Q190" s="139"/>
      <c r="R190" s="139"/>
      <c r="S190" s="139"/>
      <c r="T190" s="139"/>
      <c r="U190" s="139"/>
    </row>
    <row r="191" spans="1:21" x14ac:dyDescent="0.25">
      <c r="A191" s="1567">
        <f t="shared" si="73"/>
        <v>72</v>
      </c>
      <c r="B191" s="1572">
        <v>691</v>
      </c>
      <c r="C191" s="1573">
        <v>69121</v>
      </c>
      <c r="D191" s="1573" t="s">
        <v>1688</v>
      </c>
      <c r="E191" s="1574">
        <f t="shared" si="71"/>
        <v>254579</v>
      </c>
      <c r="F191" s="2166">
        <f t="shared" si="74"/>
        <v>254579000</v>
      </c>
      <c r="G191" s="1574">
        <f t="shared" si="72"/>
        <v>0</v>
      </c>
      <c r="H191" s="1576"/>
      <c r="I191" s="2168">
        <f t="shared" si="33"/>
        <v>254579</v>
      </c>
      <c r="J191" s="139"/>
      <c r="K191" s="1226">
        <v>691</v>
      </c>
      <c r="L191" s="1226">
        <v>69121</v>
      </c>
      <c r="M191" s="1642">
        <f t="shared" si="75"/>
        <v>254579000</v>
      </c>
      <c r="N191" s="1639">
        <v>-254579000</v>
      </c>
      <c r="O191" s="139"/>
      <c r="P191" s="1639">
        <f t="shared" si="66"/>
        <v>0</v>
      </c>
      <c r="Q191" s="139"/>
      <c r="R191" s="139"/>
      <c r="S191" s="139"/>
      <c r="T191" s="139"/>
      <c r="U191" s="139"/>
    </row>
    <row r="192" spans="1:21" x14ac:dyDescent="0.25">
      <c r="A192" s="1567">
        <f t="shared" si="73"/>
        <v>73</v>
      </c>
      <c r="B192" s="1572">
        <v>691</v>
      </c>
      <c r="C192" s="1573">
        <v>69123</v>
      </c>
      <c r="D192" s="1573" t="s">
        <v>1689</v>
      </c>
      <c r="E192" s="1574">
        <f t="shared" si="71"/>
        <v>4995</v>
      </c>
      <c r="F192" s="2166">
        <f t="shared" si="74"/>
        <v>4995000</v>
      </c>
      <c r="G192" s="1574">
        <f t="shared" si="72"/>
        <v>0</v>
      </c>
      <c r="H192" s="1576"/>
      <c r="I192" s="2168">
        <f t="shared" ref="I192:I204" si="76">E192+G192</f>
        <v>4995</v>
      </c>
      <c r="J192" s="139"/>
      <c r="K192" s="1226">
        <v>691</v>
      </c>
      <c r="L192" s="1226">
        <v>69123</v>
      </c>
      <c r="M192" s="1642">
        <f t="shared" si="75"/>
        <v>4995000</v>
      </c>
      <c r="N192" s="1639">
        <v>-4995000</v>
      </c>
      <c r="O192" s="139"/>
      <c r="P192" s="1639">
        <f t="shared" si="66"/>
        <v>0</v>
      </c>
      <c r="Q192" s="139"/>
      <c r="R192" s="139"/>
      <c r="S192" s="139"/>
      <c r="T192" s="139"/>
      <c r="U192" s="139"/>
    </row>
    <row r="193" spans="1:21" x14ac:dyDescent="0.25">
      <c r="A193" s="1567">
        <f t="shared" si="73"/>
        <v>74</v>
      </c>
      <c r="B193" s="1572">
        <v>691</v>
      </c>
      <c r="C193" s="1573">
        <v>69124</v>
      </c>
      <c r="D193" s="1573" t="s">
        <v>1690</v>
      </c>
      <c r="E193" s="1574">
        <f t="shared" si="71"/>
        <v>633.23199999999997</v>
      </c>
      <c r="F193" s="2166">
        <f t="shared" si="74"/>
        <v>633232</v>
      </c>
      <c r="G193" s="1574">
        <f t="shared" si="72"/>
        <v>0</v>
      </c>
      <c r="H193" s="1576"/>
      <c r="I193" s="2168">
        <f t="shared" si="76"/>
        <v>633.23199999999997</v>
      </c>
      <c r="J193" s="139"/>
      <c r="K193" s="1226">
        <v>691</v>
      </c>
      <c r="L193" s="1226">
        <v>69124</v>
      </c>
      <c r="M193" s="1642">
        <f t="shared" si="75"/>
        <v>633232</v>
      </c>
      <c r="N193" s="1639">
        <v>-633232</v>
      </c>
      <c r="O193" s="139"/>
      <c r="P193" s="1639">
        <f t="shared" si="66"/>
        <v>0</v>
      </c>
      <c r="Q193" s="139"/>
      <c r="R193" s="139"/>
      <c r="S193" s="139"/>
      <c r="T193" s="139"/>
      <c r="U193" s="139"/>
    </row>
    <row r="194" spans="1:21" x14ac:dyDescent="0.25">
      <c r="A194" s="1567">
        <f t="shared" si="73"/>
        <v>75</v>
      </c>
      <c r="B194" s="2179">
        <v>691</v>
      </c>
      <c r="C194" s="1578">
        <v>69125</v>
      </c>
      <c r="D194" s="1573" t="s">
        <v>1691</v>
      </c>
      <c r="E194" s="1574">
        <f t="shared" si="71"/>
        <v>3403.9849599999998</v>
      </c>
      <c r="F194" s="2166">
        <f t="shared" si="74"/>
        <v>3403984.96</v>
      </c>
      <c r="G194" s="1574">
        <f t="shared" si="72"/>
        <v>0</v>
      </c>
      <c r="H194" s="1576"/>
      <c r="I194" s="2168">
        <f t="shared" si="76"/>
        <v>3403.9849599999998</v>
      </c>
      <c r="J194" s="139"/>
      <c r="K194" s="1226">
        <v>691</v>
      </c>
      <c r="L194" s="1226">
        <v>69125</v>
      </c>
      <c r="M194" s="1642">
        <f t="shared" si="75"/>
        <v>3403984.96</v>
      </c>
      <c r="N194" s="1639">
        <v>-3403984.96</v>
      </c>
      <c r="O194" s="139"/>
      <c r="P194" s="1639">
        <f t="shared" si="66"/>
        <v>0</v>
      </c>
      <c r="Q194" s="139"/>
      <c r="R194" s="139"/>
      <c r="S194" s="139"/>
      <c r="T194" s="139"/>
      <c r="U194" s="139"/>
    </row>
    <row r="195" spans="1:21" x14ac:dyDescent="0.25">
      <c r="A195" s="1567">
        <f t="shared" si="73"/>
        <v>76</v>
      </c>
      <c r="B195" s="1572">
        <v>691</v>
      </c>
      <c r="C195" s="1573">
        <v>69127</v>
      </c>
      <c r="D195" s="1573" t="s">
        <v>1692</v>
      </c>
      <c r="E195" s="1574">
        <f t="shared" si="71"/>
        <v>22.68</v>
      </c>
      <c r="F195" s="2166">
        <f t="shared" si="74"/>
        <v>22680</v>
      </c>
      <c r="G195" s="1574">
        <f t="shared" si="72"/>
        <v>0</v>
      </c>
      <c r="H195" s="1576"/>
      <c r="I195" s="2168">
        <f t="shared" si="76"/>
        <v>22.68</v>
      </c>
      <c r="J195" s="139"/>
      <c r="K195" s="1226">
        <v>691</v>
      </c>
      <c r="L195" s="1226">
        <v>69127</v>
      </c>
      <c r="M195" s="1642">
        <f t="shared" si="75"/>
        <v>22680</v>
      </c>
      <c r="N195" s="1639">
        <v>-22680</v>
      </c>
      <c r="O195" s="139"/>
      <c r="P195" s="1639">
        <f t="shared" si="66"/>
        <v>0</v>
      </c>
      <c r="Q195" s="139"/>
      <c r="R195" s="139"/>
      <c r="S195" s="139"/>
      <c r="T195" s="139"/>
      <c r="U195" s="139"/>
    </row>
    <row r="196" spans="1:21" x14ac:dyDescent="0.25">
      <c r="A196" s="1567">
        <f t="shared" si="73"/>
        <v>77</v>
      </c>
      <c r="B196" s="1572">
        <v>691</v>
      </c>
      <c r="C196" s="1573">
        <v>69128</v>
      </c>
      <c r="D196" s="1573" t="s">
        <v>1693</v>
      </c>
      <c r="E196" s="1574">
        <f t="shared" si="71"/>
        <v>2634.922</v>
      </c>
      <c r="F196" s="2166">
        <f t="shared" si="74"/>
        <v>2634922</v>
      </c>
      <c r="G196" s="1574">
        <f t="shared" si="72"/>
        <v>0</v>
      </c>
      <c r="H196" s="1576"/>
      <c r="I196" s="2168">
        <f t="shared" si="76"/>
        <v>2634.922</v>
      </c>
      <c r="J196" s="139"/>
      <c r="K196" s="1226">
        <v>691</v>
      </c>
      <c r="L196" s="1226">
        <v>69128</v>
      </c>
      <c r="M196" s="1642">
        <f t="shared" si="75"/>
        <v>2634922</v>
      </c>
      <c r="N196" s="1639">
        <v>-2634922</v>
      </c>
      <c r="O196" s="139"/>
      <c r="P196" s="1639">
        <f t="shared" si="66"/>
        <v>0</v>
      </c>
      <c r="Q196" s="139"/>
      <c r="R196" s="139"/>
      <c r="S196" s="139"/>
      <c r="T196" s="139"/>
      <c r="U196" s="139"/>
    </row>
    <row r="197" spans="1:21" x14ac:dyDescent="0.25">
      <c r="A197" s="1567">
        <f t="shared" si="73"/>
        <v>78</v>
      </c>
      <c r="B197" s="1572">
        <v>691</v>
      </c>
      <c r="C197" s="1573">
        <v>69155</v>
      </c>
      <c r="D197" s="1573" t="s">
        <v>1694</v>
      </c>
      <c r="E197" s="1574">
        <f t="shared" si="71"/>
        <v>5621.9129999999996</v>
      </c>
      <c r="F197" s="2166">
        <f t="shared" si="74"/>
        <v>5621913</v>
      </c>
      <c r="G197" s="1574">
        <f t="shared" si="72"/>
        <v>0</v>
      </c>
      <c r="H197" s="1576"/>
      <c r="I197" s="2168">
        <f t="shared" si="76"/>
        <v>5621.9129999999996</v>
      </c>
      <c r="J197" s="139"/>
      <c r="K197" s="1226">
        <v>691</v>
      </c>
      <c r="L197" s="1226">
        <v>69155</v>
      </c>
      <c r="M197" s="1642">
        <f t="shared" si="75"/>
        <v>5621913</v>
      </c>
      <c r="N197" s="1639">
        <v>-5621913</v>
      </c>
      <c r="O197" s="139"/>
      <c r="P197" s="1639">
        <f t="shared" si="66"/>
        <v>0</v>
      </c>
      <c r="Q197" s="139"/>
      <c r="R197" s="139"/>
      <c r="S197" s="139"/>
      <c r="T197" s="139"/>
      <c r="U197" s="139"/>
    </row>
    <row r="198" spans="1:21" x14ac:dyDescent="0.25">
      <c r="A198" s="1567">
        <f t="shared" si="73"/>
        <v>79</v>
      </c>
      <c r="B198" s="1572">
        <v>691</v>
      </c>
      <c r="C198" s="1573">
        <v>69156</v>
      </c>
      <c r="D198" s="1573" t="s">
        <v>1695</v>
      </c>
      <c r="E198" s="1574">
        <f t="shared" si="71"/>
        <v>16495.228500000001</v>
      </c>
      <c r="F198" s="2166">
        <f t="shared" si="74"/>
        <v>16495228.5</v>
      </c>
      <c r="G198" s="1574">
        <f t="shared" si="72"/>
        <v>0</v>
      </c>
      <c r="H198" s="1576"/>
      <c r="I198" s="2168">
        <f t="shared" si="76"/>
        <v>16495.228500000001</v>
      </c>
      <c r="J198" s="139"/>
      <c r="K198" s="1226">
        <v>691</v>
      </c>
      <c r="L198" s="1226">
        <v>69156</v>
      </c>
      <c r="M198" s="1642">
        <f t="shared" si="75"/>
        <v>16495228.5</v>
      </c>
      <c r="N198" s="1639">
        <v>-16495228.5</v>
      </c>
      <c r="O198" s="139"/>
      <c r="P198" s="1639">
        <f t="shared" si="66"/>
        <v>0</v>
      </c>
      <c r="Q198" s="139"/>
      <c r="R198" s="139"/>
      <c r="S198" s="139"/>
      <c r="T198" s="139"/>
      <c r="U198" s="139"/>
    </row>
    <row r="199" spans="1:21" x14ac:dyDescent="0.25">
      <c r="A199" s="1567">
        <f t="shared" si="73"/>
        <v>80</v>
      </c>
      <c r="B199" s="1572">
        <v>691</v>
      </c>
      <c r="C199" s="1573">
        <v>69166</v>
      </c>
      <c r="D199" s="1573" t="s">
        <v>1696</v>
      </c>
      <c r="E199" s="1574">
        <f t="shared" si="71"/>
        <v>505</v>
      </c>
      <c r="F199" s="2166">
        <f t="shared" si="74"/>
        <v>505000</v>
      </c>
      <c r="G199" s="1574">
        <f t="shared" si="72"/>
        <v>0</v>
      </c>
      <c r="H199" s="1576"/>
      <c r="I199" s="2168">
        <f t="shared" si="76"/>
        <v>505</v>
      </c>
      <c r="J199" s="139"/>
      <c r="K199" s="1226">
        <v>691</v>
      </c>
      <c r="L199" s="1226">
        <v>69166</v>
      </c>
      <c r="M199" s="1642">
        <f t="shared" si="75"/>
        <v>505000</v>
      </c>
      <c r="N199" s="1639">
        <v>-505000</v>
      </c>
      <c r="O199" s="139"/>
      <c r="P199" s="1639">
        <f t="shared" si="66"/>
        <v>0</v>
      </c>
      <c r="Q199" s="139"/>
      <c r="R199" s="139"/>
      <c r="S199" s="139"/>
      <c r="T199" s="139"/>
      <c r="U199" s="139"/>
    </row>
    <row r="200" spans="1:21" x14ac:dyDescent="0.25">
      <c r="A200" s="1567">
        <f t="shared" si="73"/>
        <v>81</v>
      </c>
      <c r="B200" s="1572">
        <v>691</v>
      </c>
      <c r="C200" s="1573">
        <v>69167</v>
      </c>
      <c r="D200" s="1573" t="s">
        <v>1697</v>
      </c>
      <c r="E200" s="1574">
        <f t="shared" si="71"/>
        <v>4179.75378</v>
      </c>
      <c r="F200" s="2166">
        <f t="shared" si="74"/>
        <v>4179753.78</v>
      </c>
      <c r="G200" s="1574">
        <f t="shared" si="72"/>
        <v>0</v>
      </c>
      <c r="H200" s="1576"/>
      <c r="I200" s="2168">
        <f t="shared" si="76"/>
        <v>4179.75378</v>
      </c>
      <c r="J200" s="139"/>
      <c r="K200" s="1226">
        <v>691</v>
      </c>
      <c r="L200" s="1226">
        <v>69167</v>
      </c>
      <c r="M200" s="1642">
        <f t="shared" si="75"/>
        <v>4179753.78</v>
      </c>
      <c r="N200" s="1639">
        <v>-4179753.78</v>
      </c>
      <c r="O200" s="139"/>
      <c r="P200" s="1639">
        <f t="shared" si="66"/>
        <v>0</v>
      </c>
      <c r="Q200" s="139"/>
      <c r="R200" s="139"/>
      <c r="S200" s="139"/>
      <c r="T200" s="139"/>
      <c r="U200" s="139"/>
    </row>
    <row r="201" spans="1:21" x14ac:dyDescent="0.25">
      <c r="A201" s="1567">
        <f t="shared" si="73"/>
        <v>82</v>
      </c>
      <c r="B201" s="1572">
        <v>691</v>
      </c>
      <c r="C201" s="1573">
        <v>69168</v>
      </c>
      <c r="D201" s="1573" t="s">
        <v>1698</v>
      </c>
      <c r="E201" s="1574">
        <f t="shared" si="71"/>
        <v>755.15724999999998</v>
      </c>
      <c r="F201" s="2166">
        <f t="shared" si="74"/>
        <v>755157.25</v>
      </c>
      <c r="G201" s="1574">
        <f t="shared" si="72"/>
        <v>0</v>
      </c>
      <c r="H201" s="1576"/>
      <c r="I201" s="2168">
        <f t="shared" si="76"/>
        <v>755.15724999999998</v>
      </c>
      <c r="J201" s="139"/>
      <c r="K201" s="1226">
        <v>691</v>
      </c>
      <c r="L201" s="1226">
        <v>69168</v>
      </c>
      <c r="M201" s="1642">
        <f t="shared" si="75"/>
        <v>755157.25</v>
      </c>
      <c r="N201" s="1639">
        <v>-755157.25</v>
      </c>
      <c r="O201" s="139"/>
      <c r="P201" s="1639">
        <f t="shared" si="66"/>
        <v>0</v>
      </c>
      <c r="Q201" s="139"/>
      <c r="R201" s="139"/>
      <c r="S201" s="139"/>
      <c r="T201" s="139"/>
      <c r="U201" s="139"/>
    </row>
    <row r="202" spans="1:21" x14ac:dyDescent="0.25">
      <c r="A202" s="1567">
        <f t="shared" si="73"/>
        <v>83</v>
      </c>
      <c r="B202" s="1572">
        <v>691</v>
      </c>
      <c r="C202" s="1573">
        <v>69169</v>
      </c>
      <c r="D202" s="1573" t="s">
        <v>1699</v>
      </c>
      <c r="E202" s="1574">
        <f t="shared" si="71"/>
        <v>52.46</v>
      </c>
      <c r="F202" s="2166">
        <f t="shared" si="74"/>
        <v>52460</v>
      </c>
      <c r="G202" s="1574">
        <f t="shared" si="72"/>
        <v>0</v>
      </c>
      <c r="H202" s="1576"/>
      <c r="I202" s="2168">
        <f t="shared" si="76"/>
        <v>52.46</v>
      </c>
      <c r="J202" s="139"/>
      <c r="K202" s="1226">
        <v>691</v>
      </c>
      <c r="L202" s="1226">
        <v>69169</v>
      </c>
      <c r="M202" s="1642">
        <f t="shared" si="75"/>
        <v>52460</v>
      </c>
      <c r="N202" s="1639">
        <v>-52460</v>
      </c>
      <c r="O202" s="139"/>
      <c r="P202" s="1639">
        <f t="shared" si="66"/>
        <v>0</v>
      </c>
      <c r="Q202" s="139"/>
      <c r="R202" s="139"/>
      <c r="S202" s="139"/>
      <c r="T202" s="139"/>
      <c r="U202" s="139"/>
    </row>
    <row r="203" spans="1:21" x14ac:dyDescent="0.25">
      <c r="A203" s="1567">
        <f t="shared" si="73"/>
        <v>84</v>
      </c>
      <c r="B203" s="1572">
        <v>691</v>
      </c>
      <c r="C203" s="1573">
        <v>69199</v>
      </c>
      <c r="D203" s="1573" t="s">
        <v>1700</v>
      </c>
      <c r="E203" s="1574">
        <f t="shared" si="71"/>
        <v>1307</v>
      </c>
      <c r="F203" s="2166">
        <f t="shared" si="74"/>
        <v>1307000</v>
      </c>
      <c r="G203" s="1574">
        <f t="shared" si="72"/>
        <v>0</v>
      </c>
      <c r="H203" s="1576"/>
      <c r="I203" s="2168">
        <f t="shared" si="76"/>
        <v>1307</v>
      </c>
      <c r="J203" s="139"/>
      <c r="K203" s="1226">
        <v>691</v>
      </c>
      <c r="L203" s="1226">
        <v>69199</v>
      </c>
      <c r="M203" s="1642">
        <f t="shared" si="75"/>
        <v>1307000</v>
      </c>
      <c r="N203" s="1639">
        <v>-1307000</v>
      </c>
      <c r="O203" s="139"/>
      <c r="P203" s="1639">
        <f t="shared" si="66"/>
        <v>0</v>
      </c>
      <c r="Q203" s="139"/>
      <c r="R203" s="139"/>
      <c r="S203" s="139"/>
      <c r="T203" s="139"/>
      <c r="U203" s="139"/>
    </row>
    <row r="204" spans="1:21" ht="15.75" thickBot="1" x14ac:dyDescent="0.3">
      <c r="A204" s="2187">
        <f t="shared" si="73"/>
        <v>85</v>
      </c>
      <c r="B204" s="1580">
        <v>691</v>
      </c>
      <c r="C204" s="1581"/>
      <c r="D204" s="1581"/>
      <c r="E204" s="1582">
        <f>SUM(E184:E203)</f>
        <v>337234.76188000006</v>
      </c>
      <c r="F204" s="2180">
        <f>SUM(F184:F203)</f>
        <v>337234761.87999994</v>
      </c>
      <c r="G204" s="1582">
        <f>SUM(G184:G203)</f>
        <v>0</v>
      </c>
      <c r="H204" s="2180">
        <f>SUM(H184:H203)</f>
        <v>0</v>
      </c>
      <c r="I204" s="2188">
        <f t="shared" si="76"/>
        <v>337234.76188000006</v>
      </c>
      <c r="J204" s="139"/>
      <c r="K204" s="1226"/>
      <c r="L204" s="1226"/>
      <c r="M204" s="1648">
        <f>SUM(M184:M203)</f>
        <v>337234761.87999994</v>
      </c>
      <c r="N204" s="1639"/>
      <c r="O204" s="139"/>
      <c r="Q204" s="139"/>
      <c r="R204" s="139"/>
      <c r="S204" s="139"/>
      <c r="T204" s="139"/>
      <c r="U204" s="139"/>
    </row>
    <row r="205" spans="1:21" ht="16.5" thickTop="1" thickBot="1" x14ac:dyDescent="0.3">
      <c r="A205" s="2213">
        <f t="shared" si="73"/>
        <v>86</v>
      </c>
      <c r="B205" s="1634"/>
      <c r="C205" s="1583"/>
      <c r="D205" s="1584" t="s">
        <v>471</v>
      </c>
      <c r="E205" s="1635">
        <f>SUM(E120:E204)-E143-E151-E160-E179-E183-E204-E122</f>
        <v>403378.87576999993</v>
      </c>
      <c r="F205" s="1635">
        <f>SUM(F120:F204)-F143-F151-F160-F179-F183-F204-F122</f>
        <v>403378875.7700001</v>
      </c>
      <c r="G205" s="1635">
        <f>SUM(G120:G204)-G143-G151-G160-G179-G183-G204-G122</f>
        <v>64020.90821999999</v>
      </c>
      <c r="H205" s="1635">
        <f>SUM(H120:H204)-H143-H151-H160-H179-H183-H204-H122</f>
        <v>64020908.220000014</v>
      </c>
      <c r="I205" s="1660">
        <f>SUM(I120:I204)-I143-I151-I160-I179-I183-I204-I122</f>
        <v>467399.78399000003</v>
      </c>
      <c r="J205" s="139"/>
      <c r="K205" s="1226"/>
      <c r="L205" s="1226"/>
      <c r="M205" s="1655">
        <f>SUM(M120:M204)-M143-M151-M160-M179-M183-M204-M122</f>
        <v>403378875.7700001</v>
      </c>
      <c r="N205" s="1639"/>
      <c r="O205" s="139"/>
      <c r="P205" s="829">
        <f>SUM(P120:P204)</f>
        <v>64020908.220000006</v>
      </c>
      <c r="Q205" s="139"/>
      <c r="R205" s="139"/>
      <c r="S205" s="139"/>
      <c r="T205" s="139"/>
      <c r="U205" s="139"/>
    </row>
    <row r="206" spans="1:21" ht="15.75" thickTop="1" x14ac:dyDescent="0.25">
      <c r="A206" s="1226"/>
      <c r="B206" s="1529"/>
      <c r="C206" s="1529"/>
      <c r="D206" s="1529"/>
      <c r="E206" s="1636"/>
      <c r="F206" s="173"/>
      <c r="G206" s="1221"/>
      <c r="H206" s="173"/>
      <c r="I206" s="173"/>
      <c r="J206" s="139"/>
      <c r="K206" s="1226"/>
      <c r="L206" s="1226"/>
      <c r="M206" s="1640"/>
      <c r="N206" s="1641"/>
      <c r="O206" s="139"/>
      <c r="Q206" s="139"/>
      <c r="R206" s="139"/>
      <c r="S206" s="139"/>
      <c r="T206" s="139"/>
      <c r="U206" s="139"/>
    </row>
    <row r="207" spans="1:21" x14ac:dyDescent="0.25">
      <c r="A207" s="1226"/>
      <c r="B207" s="1529"/>
      <c r="C207" s="1529"/>
      <c r="D207" s="1529"/>
      <c r="E207" s="1637">
        <f>E205/I205</f>
        <v>0.86302751859771976</v>
      </c>
      <c r="F207" s="1638"/>
      <c r="G207" s="1638">
        <f>G205/I205</f>
        <v>0.13697248140228005</v>
      </c>
      <c r="H207" s="1638"/>
      <c r="I207" s="1638">
        <f>I205/I205</f>
        <v>1</v>
      </c>
      <c r="J207" s="139"/>
      <c r="K207" s="139"/>
      <c r="L207" s="139"/>
      <c r="M207" s="139"/>
      <c r="N207" s="139"/>
      <c r="O207" s="139"/>
      <c r="Q207" s="139"/>
      <c r="R207" s="139"/>
      <c r="S207" s="139"/>
      <c r="T207" s="139"/>
      <c r="U207" s="139"/>
    </row>
    <row r="208" spans="1:21" x14ac:dyDescent="0.25">
      <c r="A208" s="1226"/>
      <c r="B208" s="1529"/>
      <c r="C208" s="1529"/>
      <c r="D208" s="1529"/>
      <c r="E208" s="1650">
        <f>403378.88</f>
        <v>403378.88</v>
      </c>
      <c r="F208" s="1651"/>
      <c r="G208" s="1652">
        <f>64020.91</f>
        <v>64020.91</v>
      </c>
      <c r="H208" s="1221"/>
      <c r="I208" s="1221"/>
      <c r="J208" s="139"/>
      <c r="K208" s="139"/>
      <c r="L208" s="139"/>
      <c r="M208" s="139"/>
      <c r="N208" s="139"/>
      <c r="O208" s="139"/>
      <c r="Q208" s="139"/>
      <c r="R208" s="139"/>
      <c r="S208" s="139"/>
      <c r="T208" s="139"/>
      <c r="U208" s="139"/>
    </row>
    <row r="209" spans="1:21" x14ac:dyDescent="0.25">
      <c r="A209" s="1226"/>
      <c r="B209" s="1529"/>
      <c r="C209" s="1529"/>
      <c r="D209" s="1654"/>
      <c r="E209" s="1653">
        <f>E208-E205</f>
        <v>4.2300000786781311E-3</v>
      </c>
      <c r="F209" s="1221"/>
      <c r="G209" s="1653">
        <f>G208-G205</f>
        <v>1.7800000132410787E-3</v>
      </c>
      <c r="H209" s="1221"/>
      <c r="I209" s="1221"/>
      <c r="J209" s="139"/>
      <c r="K209" s="139"/>
      <c r="L209" s="139"/>
      <c r="M209" s="139"/>
      <c r="N209" s="139"/>
      <c r="O209" s="139"/>
      <c r="Q209" s="139"/>
      <c r="R209" s="139"/>
      <c r="S209" s="139"/>
      <c r="T209" s="139"/>
      <c r="U209" s="139"/>
    </row>
    <row r="210" spans="1:21" x14ac:dyDescent="0.25">
      <c r="A210" s="1226"/>
      <c r="B210" s="1529"/>
      <c r="C210" s="1529"/>
      <c r="D210" s="1654"/>
      <c r="E210" s="1649"/>
      <c r="F210" s="1221"/>
      <c r="G210" s="1221"/>
      <c r="H210" s="1221"/>
      <c r="I210" s="1221"/>
      <c r="J210" s="139"/>
      <c r="K210" s="139"/>
      <c r="L210" s="139"/>
      <c r="M210" s="139"/>
      <c r="N210" s="139"/>
      <c r="O210" s="139"/>
      <c r="Q210" s="139"/>
      <c r="R210" s="139"/>
      <c r="S210" s="139"/>
      <c r="T210" s="139"/>
      <c r="U210" s="139"/>
    </row>
  </sheetData>
  <mergeCells count="2">
    <mergeCell ref="A7:I7"/>
    <mergeCell ref="A116:I116"/>
  </mergeCells>
  <printOptions horizontalCentered="1" verticalCentered="1"/>
  <pageMargins left="0" right="0" top="0" bottom="0" header="0" footer="0"/>
  <pageSetup paperSize="9" scale="2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6"/>
  <sheetViews>
    <sheetView topLeftCell="A368" workbookViewId="0">
      <selection activeCell="A180" sqref="A180:F242"/>
    </sheetView>
  </sheetViews>
  <sheetFormatPr defaultRowHeight="15" x14ac:dyDescent="0.25"/>
  <cols>
    <col min="1" max="1" width="46.5703125" style="173" customWidth="1"/>
    <col min="2" max="2" width="4.42578125" style="173" customWidth="1"/>
    <col min="3" max="3" width="14.140625" style="173" customWidth="1"/>
    <col min="4" max="4" width="13.42578125" style="173" customWidth="1"/>
    <col min="5" max="5" width="12.85546875" style="173" customWidth="1"/>
    <col min="6" max="6" width="13.5703125" style="173" customWidth="1"/>
    <col min="7" max="16384" width="9.140625" style="173"/>
  </cols>
  <sheetData>
    <row r="1" spans="1:6" ht="15.75" x14ac:dyDescent="0.25">
      <c r="A1" s="76" t="s">
        <v>818</v>
      </c>
    </row>
    <row r="2" spans="1:6" ht="15.75" hidden="1" thickBot="1" x14ac:dyDescent="0.3">
      <c r="F2" s="492" t="s">
        <v>499</v>
      </c>
    </row>
    <row r="3" spans="1:6" s="493" customFormat="1" ht="24" hidden="1" customHeight="1" thickBot="1" x14ac:dyDescent="0.3">
      <c r="A3" s="695" t="s">
        <v>926</v>
      </c>
      <c r="B3" s="696" t="s">
        <v>479</v>
      </c>
      <c r="C3" s="697" t="s">
        <v>927</v>
      </c>
      <c r="D3" s="697" t="s">
        <v>928</v>
      </c>
      <c r="E3" s="697" t="s">
        <v>929</v>
      </c>
      <c r="F3" s="697" t="s">
        <v>930</v>
      </c>
    </row>
    <row r="4" spans="1:6" ht="12.75" hidden="1" customHeight="1" thickBot="1" x14ac:dyDescent="0.3">
      <c r="A4" s="698" t="s">
        <v>931</v>
      </c>
      <c r="B4" s="699" t="s">
        <v>932</v>
      </c>
      <c r="C4" s="700"/>
      <c r="D4" s="700"/>
      <c r="E4" s="700">
        <f>SUM(D4-C4)</f>
        <v>0</v>
      </c>
      <c r="F4" s="700"/>
    </row>
    <row r="5" spans="1:6" ht="12.75" hidden="1" customHeight="1" x14ac:dyDescent="0.25">
      <c r="A5" s="701" t="s">
        <v>933</v>
      </c>
      <c r="B5" s="702" t="s">
        <v>934</v>
      </c>
      <c r="C5" s="703"/>
      <c r="D5" s="703"/>
      <c r="E5" s="703">
        <f t="shared" ref="E5:E69" si="0">SUM(D5-C5)</f>
        <v>0</v>
      </c>
      <c r="F5" s="703"/>
    </row>
    <row r="6" spans="1:6" ht="12.75" hidden="1" customHeight="1" x14ac:dyDescent="0.25">
      <c r="A6" s="704" t="s">
        <v>935</v>
      </c>
      <c r="B6" s="705" t="s">
        <v>936</v>
      </c>
      <c r="C6" s="706"/>
      <c r="D6" s="706"/>
      <c r="E6" s="706">
        <f t="shared" si="0"/>
        <v>0</v>
      </c>
      <c r="F6" s="706"/>
    </row>
    <row r="7" spans="1:6" ht="12.75" hidden="1" customHeight="1" x14ac:dyDescent="0.25">
      <c r="A7" s="704" t="s">
        <v>937</v>
      </c>
      <c r="B7" s="705" t="s">
        <v>938</v>
      </c>
      <c r="C7" s="706"/>
      <c r="D7" s="706"/>
      <c r="E7" s="706">
        <f t="shared" si="0"/>
        <v>0</v>
      </c>
      <c r="F7" s="706"/>
    </row>
    <row r="8" spans="1:6" ht="12.75" hidden="1" customHeight="1" x14ac:dyDescent="0.25">
      <c r="A8" s="704" t="s">
        <v>939</v>
      </c>
      <c r="B8" s="705" t="s">
        <v>940</v>
      </c>
      <c r="C8" s="706"/>
      <c r="D8" s="706"/>
      <c r="E8" s="706">
        <f t="shared" si="0"/>
        <v>0</v>
      </c>
      <c r="F8" s="706"/>
    </row>
    <row r="9" spans="1:6" ht="12.75" hidden="1" customHeight="1" x14ac:dyDescent="0.25">
      <c r="A9" s="704" t="s">
        <v>941</v>
      </c>
      <c r="B9" s="705" t="s">
        <v>942</v>
      </c>
      <c r="C9" s="706"/>
      <c r="D9" s="706"/>
      <c r="E9" s="706">
        <f t="shared" si="0"/>
        <v>0</v>
      </c>
      <c r="F9" s="706"/>
    </row>
    <row r="10" spans="1:6" ht="12.75" hidden="1" customHeight="1" x14ac:dyDescent="0.25">
      <c r="A10" s="704" t="s">
        <v>943</v>
      </c>
      <c r="B10" s="705" t="s">
        <v>944</v>
      </c>
      <c r="C10" s="706"/>
      <c r="D10" s="706"/>
      <c r="E10" s="706">
        <f t="shared" si="0"/>
        <v>0</v>
      </c>
      <c r="F10" s="706"/>
    </row>
    <row r="11" spans="1:6" ht="12.75" hidden="1" customHeight="1" x14ac:dyDescent="0.25">
      <c r="A11" s="704" t="s">
        <v>945</v>
      </c>
      <c r="B11" s="705" t="s">
        <v>946</v>
      </c>
      <c r="C11" s="706"/>
      <c r="D11" s="706"/>
      <c r="E11" s="706">
        <f t="shared" si="0"/>
        <v>0</v>
      </c>
      <c r="F11" s="706"/>
    </row>
    <row r="12" spans="1:6" ht="12.75" hidden="1" customHeight="1" x14ac:dyDescent="0.25">
      <c r="A12" s="704" t="s">
        <v>947</v>
      </c>
      <c r="B12" s="705" t="s">
        <v>948</v>
      </c>
      <c r="C12" s="706"/>
      <c r="D12" s="706"/>
      <c r="E12" s="706">
        <f t="shared" si="0"/>
        <v>0</v>
      </c>
      <c r="F12" s="706"/>
    </row>
    <row r="13" spans="1:6" ht="12.75" hidden="1" customHeight="1" x14ac:dyDescent="0.25">
      <c r="A13" s="704" t="s">
        <v>949</v>
      </c>
      <c r="B13" s="705" t="s">
        <v>950</v>
      </c>
      <c r="C13" s="706"/>
      <c r="D13" s="706"/>
      <c r="E13" s="706">
        <f t="shared" si="0"/>
        <v>0</v>
      </c>
      <c r="F13" s="706"/>
    </row>
    <row r="14" spans="1:6" ht="12.75" hidden="1" customHeight="1" x14ac:dyDescent="0.25">
      <c r="A14" s="704" t="s">
        <v>951</v>
      </c>
      <c r="B14" s="705" t="s">
        <v>952</v>
      </c>
      <c r="C14" s="706"/>
      <c r="D14" s="706"/>
      <c r="E14" s="706">
        <f t="shared" si="0"/>
        <v>0</v>
      </c>
      <c r="F14" s="706"/>
    </row>
    <row r="15" spans="1:6" ht="12.75" hidden="1" customHeight="1" x14ac:dyDescent="0.25">
      <c r="A15" s="704" t="s">
        <v>953</v>
      </c>
      <c r="B15" s="705" t="s">
        <v>8</v>
      </c>
      <c r="C15" s="706"/>
      <c r="D15" s="706"/>
      <c r="E15" s="706">
        <f t="shared" si="0"/>
        <v>0</v>
      </c>
      <c r="F15" s="706"/>
    </row>
    <row r="16" spans="1:6" ht="12.75" hidden="1" customHeight="1" x14ac:dyDescent="0.25">
      <c r="A16" s="704" t="s">
        <v>954</v>
      </c>
      <c r="B16" s="705" t="s">
        <v>11</v>
      </c>
      <c r="C16" s="706"/>
      <c r="D16" s="706"/>
      <c r="E16" s="706">
        <f t="shared" si="0"/>
        <v>0</v>
      </c>
      <c r="F16" s="706"/>
    </row>
    <row r="17" spans="1:6" ht="12.75" hidden="1" customHeight="1" x14ac:dyDescent="0.25">
      <c r="A17" s="704" t="s">
        <v>955</v>
      </c>
      <c r="B17" s="705" t="s">
        <v>14</v>
      </c>
      <c r="C17" s="706"/>
      <c r="D17" s="706"/>
      <c r="E17" s="706">
        <f t="shared" si="0"/>
        <v>0</v>
      </c>
      <c r="F17" s="706"/>
    </row>
    <row r="18" spans="1:6" ht="12.75" hidden="1" customHeight="1" x14ac:dyDescent="0.25">
      <c r="A18" s="704" t="s">
        <v>956</v>
      </c>
      <c r="B18" s="705" t="s">
        <v>957</v>
      </c>
      <c r="C18" s="706"/>
      <c r="D18" s="706"/>
      <c r="E18" s="706">
        <f t="shared" si="0"/>
        <v>0</v>
      </c>
      <c r="F18" s="706"/>
    </row>
    <row r="19" spans="1:6" ht="12.75" hidden="1" customHeight="1" x14ac:dyDescent="0.25">
      <c r="A19" s="704" t="s">
        <v>958</v>
      </c>
      <c r="B19" s="705" t="s">
        <v>959</v>
      </c>
      <c r="C19" s="706"/>
      <c r="D19" s="706"/>
      <c r="E19" s="706">
        <f t="shared" si="0"/>
        <v>0</v>
      </c>
      <c r="F19" s="706"/>
    </row>
    <row r="20" spans="1:6" ht="12.75" hidden="1" customHeight="1" x14ac:dyDescent="0.25">
      <c r="A20" s="704" t="s">
        <v>960</v>
      </c>
      <c r="B20" s="705" t="s">
        <v>961</v>
      </c>
      <c r="C20" s="706"/>
      <c r="D20" s="706"/>
      <c r="E20" s="706">
        <f t="shared" si="0"/>
        <v>0</v>
      </c>
      <c r="F20" s="706"/>
    </row>
    <row r="21" spans="1:6" ht="12.75" hidden="1" customHeight="1" x14ac:dyDescent="0.25">
      <c r="A21" s="704" t="s">
        <v>962</v>
      </c>
      <c r="B21" s="705" t="s">
        <v>17</v>
      </c>
      <c r="C21" s="706"/>
      <c r="D21" s="706"/>
      <c r="E21" s="706">
        <f t="shared" si="0"/>
        <v>0</v>
      </c>
      <c r="F21" s="706"/>
    </row>
    <row r="22" spans="1:6" ht="12.75" hidden="1" customHeight="1" x14ac:dyDescent="0.25">
      <c r="A22" s="704" t="s">
        <v>963</v>
      </c>
      <c r="B22" s="705" t="s">
        <v>20</v>
      </c>
      <c r="C22" s="706"/>
      <c r="D22" s="706"/>
      <c r="E22" s="706">
        <f t="shared" si="0"/>
        <v>0</v>
      </c>
      <c r="F22" s="706"/>
    </row>
    <row r="23" spans="1:6" ht="12.75" hidden="1" customHeight="1" x14ac:dyDescent="0.25">
      <c r="A23" s="704" t="s">
        <v>964</v>
      </c>
      <c r="B23" s="705" t="s">
        <v>965</v>
      </c>
      <c r="C23" s="706"/>
      <c r="D23" s="706"/>
      <c r="E23" s="706">
        <f t="shared" si="0"/>
        <v>0</v>
      </c>
      <c r="F23" s="706"/>
    </row>
    <row r="24" spans="1:6" ht="12.75" hidden="1" customHeight="1" x14ac:dyDescent="0.25">
      <c r="A24" s="704" t="s">
        <v>966</v>
      </c>
      <c r="B24" s="705" t="s">
        <v>38</v>
      </c>
      <c r="C24" s="706"/>
      <c r="D24" s="706"/>
      <c r="E24" s="706">
        <f t="shared" si="0"/>
        <v>0</v>
      </c>
      <c r="F24" s="706"/>
    </row>
    <row r="25" spans="1:6" ht="12.75" hidden="1" customHeight="1" x14ac:dyDescent="0.25">
      <c r="A25" s="704" t="s">
        <v>967</v>
      </c>
      <c r="B25" s="705" t="s">
        <v>41</v>
      </c>
      <c r="C25" s="706"/>
      <c r="D25" s="706"/>
      <c r="E25" s="706">
        <f t="shared" si="0"/>
        <v>0</v>
      </c>
      <c r="F25" s="706"/>
    </row>
    <row r="26" spans="1:6" ht="12.75" hidden="1" customHeight="1" x14ac:dyDescent="0.25">
      <c r="A26" s="704" t="s">
        <v>968</v>
      </c>
      <c r="B26" s="705" t="s">
        <v>969</v>
      </c>
      <c r="C26" s="706"/>
      <c r="D26" s="706"/>
      <c r="E26" s="706">
        <f t="shared" si="0"/>
        <v>0</v>
      </c>
      <c r="F26" s="706"/>
    </row>
    <row r="27" spans="1:6" ht="12.75" hidden="1" customHeight="1" x14ac:dyDescent="0.25">
      <c r="A27" s="704" t="s">
        <v>970</v>
      </c>
      <c r="B27" s="705" t="s">
        <v>971</v>
      </c>
      <c r="C27" s="706"/>
      <c r="D27" s="706"/>
      <c r="E27" s="706">
        <f t="shared" si="0"/>
        <v>0</v>
      </c>
      <c r="F27" s="706"/>
    </row>
    <row r="28" spans="1:6" ht="12.75" hidden="1" customHeight="1" x14ac:dyDescent="0.25">
      <c r="A28" s="704" t="s">
        <v>972</v>
      </c>
      <c r="B28" s="705" t="s">
        <v>44</v>
      </c>
      <c r="C28" s="706"/>
      <c r="D28" s="706"/>
      <c r="E28" s="706">
        <f t="shared" si="0"/>
        <v>0</v>
      </c>
      <c r="F28" s="706"/>
    </row>
    <row r="29" spans="1:6" ht="12.75" hidden="1" customHeight="1" x14ac:dyDescent="0.25">
      <c r="A29" s="704" t="s">
        <v>973</v>
      </c>
      <c r="B29" s="705" t="s">
        <v>47</v>
      </c>
      <c r="C29" s="706"/>
      <c r="D29" s="706"/>
      <c r="E29" s="706">
        <f t="shared" si="0"/>
        <v>0</v>
      </c>
      <c r="F29" s="706"/>
    </row>
    <row r="30" spans="1:6" ht="12.75" hidden="1" customHeight="1" x14ac:dyDescent="0.25">
      <c r="A30" s="704" t="s">
        <v>974</v>
      </c>
      <c r="B30" s="705" t="s">
        <v>975</v>
      </c>
      <c r="C30" s="706"/>
      <c r="D30" s="706"/>
      <c r="E30" s="706">
        <f t="shared" si="0"/>
        <v>0</v>
      </c>
      <c r="F30" s="706"/>
    </row>
    <row r="31" spans="1:6" ht="12.75" hidden="1" customHeight="1" x14ac:dyDescent="0.25">
      <c r="A31" s="704" t="s">
        <v>976</v>
      </c>
      <c r="B31" s="705" t="s">
        <v>50</v>
      </c>
      <c r="C31" s="706"/>
      <c r="D31" s="706"/>
      <c r="E31" s="706">
        <f t="shared" si="0"/>
        <v>0</v>
      </c>
      <c r="F31" s="706"/>
    </row>
    <row r="32" spans="1:6" ht="12.75" hidden="1" customHeight="1" x14ac:dyDescent="0.25">
      <c r="A32" s="704" t="s">
        <v>977</v>
      </c>
      <c r="B32" s="705" t="s">
        <v>53</v>
      </c>
      <c r="C32" s="706"/>
      <c r="D32" s="706"/>
      <c r="E32" s="706">
        <f t="shared" si="0"/>
        <v>0</v>
      </c>
      <c r="F32" s="706"/>
    </row>
    <row r="33" spans="1:6" ht="12.75" hidden="1" customHeight="1" x14ac:dyDescent="0.25">
      <c r="A33" s="704" t="s">
        <v>978</v>
      </c>
      <c r="B33" s="705" t="s">
        <v>979</v>
      </c>
      <c r="C33" s="706"/>
      <c r="D33" s="706"/>
      <c r="E33" s="706">
        <f t="shared" si="0"/>
        <v>0</v>
      </c>
      <c r="F33" s="706"/>
    </row>
    <row r="34" spans="1:6" ht="12.75" hidden="1" customHeight="1" x14ac:dyDescent="0.25">
      <c r="A34" s="704" t="s">
        <v>980</v>
      </c>
      <c r="B34" s="705" t="s">
        <v>32</v>
      </c>
      <c r="C34" s="706"/>
      <c r="D34" s="706"/>
      <c r="E34" s="706">
        <f t="shared" si="0"/>
        <v>0</v>
      </c>
      <c r="F34" s="706"/>
    </row>
    <row r="35" spans="1:6" ht="12.75" hidden="1" customHeight="1" x14ac:dyDescent="0.25">
      <c r="A35" s="704" t="s">
        <v>981</v>
      </c>
      <c r="B35" s="705" t="s">
        <v>35</v>
      </c>
      <c r="C35" s="706"/>
      <c r="D35" s="706"/>
      <c r="E35" s="706">
        <f t="shared" si="0"/>
        <v>0</v>
      </c>
      <c r="F35" s="706"/>
    </row>
    <row r="36" spans="1:6" ht="12.75" hidden="1" customHeight="1" x14ac:dyDescent="0.25">
      <c r="A36" s="704" t="s">
        <v>982</v>
      </c>
      <c r="B36" s="705" t="s">
        <v>983</v>
      </c>
      <c r="C36" s="706"/>
      <c r="D36" s="706"/>
      <c r="E36" s="706">
        <f t="shared" si="0"/>
        <v>0</v>
      </c>
      <c r="F36" s="706"/>
    </row>
    <row r="37" spans="1:6" ht="12.75" hidden="1" customHeight="1" x14ac:dyDescent="0.25">
      <c r="A37" s="704" t="s">
        <v>984</v>
      </c>
      <c r="B37" s="705" t="s">
        <v>985</v>
      </c>
      <c r="C37" s="706"/>
      <c r="D37" s="706"/>
      <c r="E37" s="706">
        <f t="shared" si="0"/>
        <v>0</v>
      </c>
      <c r="F37" s="706"/>
    </row>
    <row r="38" spans="1:6" ht="12.75" hidden="1" customHeight="1" x14ac:dyDescent="0.25">
      <c r="A38" s="704" t="s">
        <v>986</v>
      </c>
      <c r="B38" s="705" t="s">
        <v>987</v>
      </c>
      <c r="C38" s="706"/>
      <c r="D38" s="706"/>
      <c r="E38" s="706">
        <f t="shared" si="0"/>
        <v>0</v>
      </c>
      <c r="F38" s="706"/>
    </row>
    <row r="39" spans="1:6" ht="12.75" hidden="1" customHeight="1" x14ac:dyDescent="0.25">
      <c r="A39" s="704" t="s">
        <v>988</v>
      </c>
      <c r="B39" s="705" t="s">
        <v>989</v>
      </c>
      <c r="C39" s="706"/>
      <c r="D39" s="706"/>
      <c r="E39" s="706">
        <f t="shared" si="0"/>
        <v>0</v>
      </c>
      <c r="F39" s="706"/>
    </row>
    <row r="40" spans="1:6" ht="12.75" hidden="1" customHeight="1" x14ac:dyDescent="0.25">
      <c r="A40" s="704" t="s">
        <v>990</v>
      </c>
      <c r="B40" s="705" t="s">
        <v>991</v>
      </c>
      <c r="C40" s="706"/>
      <c r="D40" s="706"/>
      <c r="E40" s="706">
        <f t="shared" si="0"/>
        <v>0</v>
      </c>
      <c r="F40" s="706"/>
    </row>
    <row r="41" spans="1:6" ht="12.75" hidden="1" customHeight="1" x14ac:dyDescent="0.25">
      <c r="A41" s="704" t="s">
        <v>992</v>
      </c>
      <c r="B41" s="705" t="s">
        <v>993</v>
      </c>
      <c r="C41" s="706"/>
      <c r="D41" s="706"/>
      <c r="E41" s="706">
        <f t="shared" si="0"/>
        <v>0</v>
      </c>
      <c r="F41" s="706"/>
    </row>
    <row r="42" spans="1:6" ht="12.75" hidden="1" customHeight="1" x14ac:dyDescent="0.25">
      <c r="A42" s="704" t="s">
        <v>994</v>
      </c>
      <c r="B42" s="705" t="s">
        <v>995</v>
      </c>
      <c r="C42" s="706"/>
      <c r="D42" s="706"/>
      <c r="E42" s="706">
        <f t="shared" si="0"/>
        <v>0</v>
      </c>
      <c r="F42" s="706"/>
    </row>
    <row r="43" spans="1:6" ht="12.75" hidden="1" customHeight="1" x14ac:dyDescent="0.25">
      <c r="A43" s="704" t="s">
        <v>996</v>
      </c>
      <c r="B43" s="705" t="s">
        <v>997</v>
      </c>
      <c r="C43" s="706"/>
      <c r="D43" s="706"/>
      <c r="E43" s="706">
        <f t="shared" si="0"/>
        <v>0</v>
      </c>
      <c r="F43" s="706"/>
    </row>
    <row r="44" spans="1:6" ht="12.75" hidden="1" customHeight="1" x14ac:dyDescent="0.25">
      <c r="A44" s="704" t="s">
        <v>998</v>
      </c>
      <c r="B44" s="705" t="s">
        <v>23</v>
      </c>
      <c r="C44" s="706"/>
      <c r="D44" s="706"/>
      <c r="E44" s="706">
        <f t="shared" si="0"/>
        <v>0</v>
      </c>
      <c r="F44" s="706"/>
    </row>
    <row r="45" spans="1:6" ht="12.75" hidden="1" customHeight="1" x14ac:dyDescent="0.25">
      <c r="A45" s="704" t="s">
        <v>999</v>
      </c>
      <c r="B45" s="705" t="s">
        <v>56</v>
      </c>
      <c r="C45" s="706"/>
      <c r="D45" s="706"/>
      <c r="E45" s="706">
        <f t="shared" si="0"/>
        <v>0</v>
      </c>
      <c r="F45" s="706"/>
    </row>
    <row r="46" spans="1:6" ht="12.75" hidden="1" customHeight="1" x14ac:dyDescent="0.25">
      <c r="A46" s="704" t="s">
        <v>1000</v>
      </c>
      <c r="B46" s="705" t="s">
        <v>82</v>
      </c>
      <c r="C46" s="706"/>
      <c r="D46" s="706"/>
      <c r="E46" s="706">
        <f t="shared" si="0"/>
        <v>0</v>
      </c>
      <c r="F46" s="706"/>
    </row>
    <row r="47" spans="1:6" ht="12.75" hidden="1" customHeight="1" x14ac:dyDescent="0.25">
      <c r="A47" s="704" t="s">
        <v>1001</v>
      </c>
      <c r="B47" s="705" t="s">
        <v>1002</v>
      </c>
      <c r="C47" s="706"/>
      <c r="D47" s="706"/>
      <c r="E47" s="706">
        <f t="shared" si="0"/>
        <v>0</v>
      </c>
      <c r="F47" s="706"/>
    </row>
    <row r="48" spans="1:6" ht="12.75" hidden="1" customHeight="1" x14ac:dyDescent="0.25">
      <c r="A48" s="704" t="s">
        <v>1003</v>
      </c>
      <c r="B48" s="705" t="s">
        <v>1004</v>
      </c>
      <c r="C48" s="706"/>
      <c r="D48" s="706"/>
      <c r="E48" s="706">
        <f t="shared" si="0"/>
        <v>0</v>
      </c>
      <c r="F48" s="706"/>
    </row>
    <row r="49" spans="1:6" ht="12.75" hidden="1" customHeight="1" x14ac:dyDescent="0.25">
      <c r="A49" s="704" t="s">
        <v>962</v>
      </c>
      <c r="B49" s="705" t="s">
        <v>1005</v>
      </c>
      <c r="C49" s="706"/>
      <c r="D49" s="706"/>
      <c r="E49" s="706">
        <f t="shared" si="0"/>
        <v>0</v>
      </c>
      <c r="F49" s="706"/>
    </row>
    <row r="50" spans="1:6" ht="12.75" hidden="1" customHeight="1" x14ac:dyDescent="0.25">
      <c r="A50" s="704" t="s">
        <v>1006</v>
      </c>
      <c r="B50" s="705" t="s">
        <v>1007</v>
      </c>
      <c r="C50" s="706"/>
      <c r="D50" s="706"/>
      <c r="E50" s="706">
        <f t="shared" si="0"/>
        <v>0</v>
      </c>
      <c r="F50" s="706"/>
    </row>
    <row r="51" spans="1:6" ht="12.75" hidden="1" customHeight="1" x14ac:dyDescent="0.25">
      <c r="A51" s="704" t="s">
        <v>964</v>
      </c>
      <c r="B51" s="705" t="s">
        <v>1008</v>
      </c>
      <c r="C51" s="706"/>
      <c r="D51" s="706"/>
      <c r="E51" s="706">
        <f t="shared" si="0"/>
        <v>0</v>
      </c>
      <c r="F51" s="706"/>
    </row>
    <row r="52" spans="1:6" ht="12.75" hidden="1" customHeight="1" x14ac:dyDescent="0.25">
      <c r="A52" s="704" t="s">
        <v>966</v>
      </c>
      <c r="B52" s="705" t="s">
        <v>1009</v>
      </c>
      <c r="C52" s="706"/>
      <c r="D52" s="706"/>
      <c r="E52" s="706">
        <f t="shared" si="0"/>
        <v>0</v>
      </c>
      <c r="F52" s="706"/>
    </row>
    <row r="53" spans="1:6" ht="12.75" hidden="1" customHeight="1" x14ac:dyDescent="0.25">
      <c r="A53" s="704" t="s">
        <v>1010</v>
      </c>
      <c r="B53" s="705" t="s">
        <v>1011</v>
      </c>
      <c r="C53" s="706"/>
      <c r="D53" s="706"/>
      <c r="E53" s="706">
        <f t="shared" si="0"/>
        <v>0</v>
      </c>
      <c r="F53" s="706"/>
    </row>
    <row r="54" spans="1:6" ht="12.75" hidden="1" customHeight="1" x14ac:dyDescent="0.25">
      <c r="A54" s="704" t="s">
        <v>1012</v>
      </c>
      <c r="B54" s="705" t="s">
        <v>26</v>
      </c>
      <c r="C54" s="706"/>
      <c r="D54" s="706"/>
      <c r="E54" s="706">
        <f t="shared" si="0"/>
        <v>0</v>
      </c>
      <c r="F54" s="706"/>
    </row>
    <row r="55" spans="1:6" ht="12.75" hidden="1" customHeight="1" x14ac:dyDescent="0.25">
      <c r="A55" s="704" t="s">
        <v>958</v>
      </c>
      <c r="B55" s="705" t="s">
        <v>59</v>
      </c>
      <c r="C55" s="706"/>
      <c r="D55" s="706"/>
      <c r="E55" s="706">
        <f t="shared" si="0"/>
        <v>0</v>
      </c>
      <c r="F55" s="706"/>
    </row>
    <row r="56" spans="1:6" ht="12.75" hidden="1" customHeight="1" x14ac:dyDescent="0.25">
      <c r="A56" s="704" t="s">
        <v>1013</v>
      </c>
      <c r="B56" s="705" t="s">
        <v>1014</v>
      </c>
      <c r="C56" s="706"/>
      <c r="D56" s="706"/>
      <c r="E56" s="706">
        <f t="shared" si="0"/>
        <v>0</v>
      </c>
      <c r="F56" s="706"/>
    </row>
    <row r="57" spans="1:6" ht="12.75" hidden="1" customHeight="1" x14ac:dyDescent="0.25">
      <c r="A57" s="704" t="s">
        <v>1015</v>
      </c>
      <c r="B57" s="705" t="s">
        <v>1016</v>
      </c>
      <c r="C57" s="706"/>
      <c r="D57" s="706"/>
      <c r="E57" s="706">
        <f t="shared" si="0"/>
        <v>0</v>
      </c>
      <c r="F57" s="706"/>
    </row>
    <row r="58" spans="1:6" ht="12.75" hidden="1" customHeight="1" thickBot="1" x14ac:dyDescent="0.3">
      <c r="A58" s="707" t="s">
        <v>1017</v>
      </c>
      <c r="B58" s="708" t="s">
        <v>1018</v>
      </c>
      <c r="C58" s="709"/>
      <c r="D58" s="709"/>
      <c r="E58" s="709">
        <f t="shared" si="0"/>
        <v>0</v>
      </c>
      <c r="F58" s="709"/>
    </row>
    <row r="59" spans="1:6" ht="12.75" hidden="1" customHeight="1" thickBot="1" x14ac:dyDescent="0.3">
      <c r="A59" s="698" t="s">
        <v>1019</v>
      </c>
      <c r="B59" s="699" t="s">
        <v>1020</v>
      </c>
      <c r="C59" s="700"/>
      <c r="D59" s="700"/>
      <c r="E59" s="700">
        <f t="shared" si="0"/>
        <v>0</v>
      </c>
      <c r="F59" s="700"/>
    </row>
    <row r="60" spans="1:6" ht="12.75" hidden="1" customHeight="1" x14ac:dyDescent="0.25">
      <c r="A60" s="2508"/>
      <c r="B60" s="2509"/>
      <c r="C60" s="2509"/>
      <c r="D60" s="2509"/>
      <c r="E60" s="2509"/>
      <c r="F60" s="2510"/>
    </row>
    <row r="61" spans="1:6" ht="12.75" hidden="1" customHeight="1" x14ac:dyDescent="0.25">
      <c r="A61" s="701" t="s">
        <v>1021</v>
      </c>
      <c r="B61" s="702" t="s">
        <v>1022</v>
      </c>
      <c r="C61" s="703"/>
      <c r="D61" s="703"/>
      <c r="E61" s="703">
        <f t="shared" si="0"/>
        <v>0</v>
      </c>
      <c r="F61" s="703"/>
    </row>
    <row r="62" spans="1:6" ht="12.75" hidden="1" customHeight="1" x14ac:dyDescent="0.25">
      <c r="A62" s="704" t="s">
        <v>1023</v>
      </c>
      <c r="B62" s="705" t="s">
        <v>1024</v>
      </c>
      <c r="C62" s="706"/>
      <c r="D62" s="706"/>
      <c r="E62" s="706">
        <f t="shared" si="0"/>
        <v>0</v>
      </c>
      <c r="F62" s="706"/>
    </row>
    <row r="63" spans="1:6" ht="12.75" hidden="1" customHeight="1" x14ac:dyDescent="0.25">
      <c r="A63" s="704" t="s">
        <v>1025</v>
      </c>
      <c r="B63" s="705" t="s">
        <v>1026</v>
      </c>
      <c r="C63" s="706"/>
      <c r="D63" s="706"/>
      <c r="E63" s="706">
        <f t="shared" si="0"/>
        <v>0</v>
      </c>
      <c r="F63" s="706"/>
    </row>
    <row r="64" spans="1:6" ht="12.75" hidden="1" customHeight="1" x14ac:dyDescent="0.25">
      <c r="A64" s="704" t="s">
        <v>1027</v>
      </c>
      <c r="B64" s="705" t="s">
        <v>1028</v>
      </c>
      <c r="C64" s="706"/>
      <c r="D64" s="706"/>
      <c r="E64" s="706">
        <f t="shared" si="0"/>
        <v>0</v>
      </c>
      <c r="F64" s="706"/>
    </row>
    <row r="65" spans="1:6" ht="12.75" hidden="1" customHeight="1" x14ac:dyDescent="0.25">
      <c r="A65" s="704" t="s">
        <v>1029</v>
      </c>
      <c r="B65" s="705" t="s">
        <v>65</v>
      </c>
      <c r="C65" s="706"/>
      <c r="D65" s="706"/>
      <c r="E65" s="706">
        <f t="shared" si="0"/>
        <v>0</v>
      </c>
      <c r="F65" s="706"/>
    </row>
    <row r="66" spans="1:6" ht="12.75" hidden="1" customHeight="1" x14ac:dyDescent="0.25">
      <c r="A66" s="704" t="s">
        <v>1030</v>
      </c>
      <c r="B66" s="705" t="s">
        <v>68</v>
      </c>
      <c r="C66" s="706"/>
      <c r="D66" s="706"/>
      <c r="E66" s="706">
        <f t="shared" si="0"/>
        <v>0</v>
      </c>
      <c r="F66" s="706"/>
    </row>
    <row r="67" spans="1:6" ht="12.75" hidden="1" customHeight="1" x14ac:dyDescent="0.25">
      <c r="A67" s="704" t="s">
        <v>1031</v>
      </c>
      <c r="B67" s="705" t="s">
        <v>71</v>
      </c>
      <c r="C67" s="706"/>
      <c r="D67" s="706"/>
      <c r="E67" s="706">
        <f t="shared" si="0"/>
        <v>0</v>
      </c>
      <c r="F67" s="706"/>
    </row>
    <row r="68" spans="1:6" ht="12.75" hidden="1" customHeight="1" x14ac:dyDescent="0.25">
      <c r="A68" s="704" t="s">
        <v>1032</v>
      </c>
      <c r="B68" s="705" t="s">
        <v>1033</v>
      </c>
      <c r="C68" s="706"/>
      <c r="D68" s="706"/>
      <c r="E68" s="706">
        <f t="shared" si="0"/>
        <v>0</v>
      </c>
      <c r="F68" s="706"/>
    </row>
    <row r="69" spans="1:6" ht="12.75" hidden="1" customHeight="1" x14ac:dyDescent="0.25">
      <c r="A69" s="704" t="s">
        <v>1034</v>
      </c>
      <c r="B69" s="705" t="s">
        <v>1035</v>
      </c>
      <c r="C69" s="706"/>
      <c r="D69" s="706"/>
      <c r="E69" s="706">
        <f t="shared" si="0"/>
        <v>0</v>
      </c>
      <c r="F69" s="706"/>
    </row>
    <row r="70" spans="1:6" ht="12.75" hidden="1" customHeight="1" x14ac:dyDescent="0.25">
      <c r="A70" s="704" t="s">
        <v>1036</v>
      </c>
      <c r="B70" s="705" t="s">
        <v>74</v>
      </c>
      <c r="C70" s="706"/>
      <c r="D70" s="706"/>
      <c r="E70" s="706">
        <f t="shared" ref="E70:E118" si="1">SUM(D70-C70)</f>
        <v>0</v>
      </c>
      <c r="F70" s="706"/>
    </row>
    <row r="71" spans="1:6" ht="12.75" hidden="1" customHeight="1" x14ac:dyDescent="0.25">
      <c r="A71" s="704" t="s">
        <v>1037</v>
      </c>
      <c r="B71" s="705" t="s">
        <v>77</v>
      </c>
      <c r="C71" s="706"/>
      <c r="D71" s="706"/>
      <c r="E71" s="706">
        <f t="shared" si="1"/>
        <v>0</v>
      </c>
      <c r="F71" s="706"/>
    </row>
    <row r="72" spans="1:6" ht="12.75" hidden="1" customHeight="1" x14ac:dyDescent="0.25">
      <c r="A72" s="704" t="s">
        <v>1038</v>
      </c>
      <c r="B72" s="705" t="s">
        <v>1039</v>
      </c>
      <c r="C72" s="706"/>
      <c r="D72" s="706"/>
      <c r="E72" s="706">
        <f t="shared" si="1"/>
        <v>0</v>
      </c>
      <c r="F72" s="706"/>
    </row>
    <row r="73" spans="1:6" ht="12.75" hidden="1" customHeight="1" x14ac:dyDescent="0.25">
      <c r="A73" s="704" t="s">
        <v>1040</v>
      </c>
      <c r="B73" s="705" t="s">
        <v>80</v>
      </c>
      <c r="C73" s="706"/>
      <c r="D73" s="706"/>
      <c r="E73" s="706">
        <f t="shared" si="1"/>
        <v>0</v>
      </c>
      <c r="F73" s="706"/>
    </row>
    <row r="74" spans="1:6" ht="12.75" hidden="1" customHeight="1" x14ac:dyDescent="0.25">
      <c r="A74" s="704" t="s">
        <v>1041</v>
      </c>
      <c r="B74" s="705" t="s">
        <v>1042</v>
      </c>
      <c r="C74" s="706"/>
      <c r="D74" s="706"/>
      <c r="E74" s="706">
        <f t="shared" si="1"/>
        <v>0</v>
      </c>
      <c r="F74" s="706"/>
    </row>
    <row r="75" spans="1:6" ht="12.75" hidden="1" customHeight="1" x14ac:dyDescent="0.25">
      <c r="A75" s="704" t="s">
        <v>1043</v>
      </c>
      <c r="B75" s="705" t="s">
        <v>1044</v>
      </c>
      <c r="C75" s="706"/>
      <c r="D75" s="706"/>
      <c r="E75" s="706">
        <f t="shared" si="1"/>
        <v>0</v>
      </c>
      <c r="F75" s="706"/>
    </row>
    <row r="76" spans="1:6" ht="12.75" hidden="1" customHeight="1" x14ac:dyDescent="0.25">
      <c r="A76" s="704" t="s">
        <v>1045</v>
      </c>
      <c r="B76" s="705" t="s">
        <v>88</v>
      </c>
      <c r="C76" s="706"/>
      <c r="D76" s="706"/>
      <c r="E76" s="706">
        <f t="shared" si="1"/>
        <v>0</v>
      </c>
      <c r="F76" s="706"/>
    </row>
    <row r="77" spans="1:6" ht="12.75" hidden="1" customHeight="1" x14ac:dyDescent="0.25">
      <c r="A77" s="704" t="s">
        <v>1046</v>
      </c>
      <c r="B77" s="705" t="s">
        <v>91</v>
      </c>
      <c r="C77" s="706"/>
      <c r="D77" s="706"/>
      <c r="E77" s="706">
        <f t="shared" si="1"/>
        <v>0</v>
      </c>
      <c r="F77" s="706"/>
    </row>
    <row r="78" spans="1:6" ht="12.75" hidden="1" customHeight="1" x14ac:dyDescent="0.25">
      <c r="A78" s="704" t="s">
        <v>1047</v>
      </c>
      <c r="B78" s="705" t="s">
        <v>94</v>
      </c>
      <c r="C78" s="706"/>
      <c r="D78" s="706"/>
      <c r="E78" s="706">
        <f t="shared" si="1"/>
        <v>0</v>
      </c>
      <c r="F78" s="706"/>
    </row>
    <row r="79" spans="1:6" ht="12.75" hidden="1" customHeight="1" x14ac:dyDescent="0.25">
      <c r="A79" s="704" t="s">
        <v>1048</v>
      </c>
      <c r="B79" s="705" t="s">
        <v>1049</v>
      </c>
      <c r="C79" s="706"/>
      <c r="D79" s="706"/>
      <c r="E79" s="706">
        <f t="shared" si="1"/>
        <v>0</v>
      </c>
      <c r="F79" s="706"/>
    </row>
    <row r="80" spans="1:6" ht="12.75" hidden="1" customHeight="1" x14ac:dyDescent="0.25">
      <c r="A80" s="704" t="s">
        <v>1050</v>
      </c>
      <c r="B80" s="705" t="s">
        <v>1051</v>
      </c>
      <c r="C80" s="706"/>
      <c r="D80" s="706"/>
      <c r="E80" s="706">
        <f t="shared" si="1"/>
        <v>0</v>
      </c>
      <c r="F80" s="706"/>
    </row>
    <row r="81" spans="1:6" ht="12.75" hidden="1" customHeight="1" x14ac:dyDescent="0.25">
      <c r="A81" s="704" t="s">
        <v>1052</v>
      </c>
      <c r="B81" s="705" t="s">
        <v>1053</v>
      </c>
      <c r="C81" s="706"/>
      <c r="D81" s="706"/>
      <c r="E81" s="706">
        <f t="shared" si="1"/>
        <v>0</v>
      </c>
      <c r="F81" s="706"/>
    </row>
    <row r="82" spans="1:6" ht="12.75" hidden="1" customHeight="1" x14ac:dyDescent="0.25">
      <c r="A82" s="704" t="s">
        <v>1054</v>
      </c>
      <c r="B82" s="705" t="s">
        <v>97</v>
      </c>
      <c r="C82" s="706"/>
      <c r="D82" s="706"/>
      <c r="E82" s="706">
        <f t="shared" si="1"/>
        <v>0</v>
      </c>
      <c r="F82" s="706"/>
    </row>
    <row r="83" spans="1:6" ht="12.75" hidden="1" customHeight="1" x14ac:dyDescent="0.25">
      <c r="A83" s="704" t="s">
        <v>1055</v>
      </c>
      <c r="B83" s="705" t="s">
        <v>100</v>
      </c>
      <c r="C83" s="706"/>
      <c r="D83" s="706"/>
      <c r="E83" s="706">
        <f t="shared" si="1"/>
        <v>0</v>
      </c>
      <c r="F83" s="706"/>
    </row>
    <row r="84" spans="1:6" ht="12.75" hidden="1" customHeight="1" x14ac:dyDescent="0.25">
      <c r="A84" s="704" t="s">
        <v>1056</v>
      </c>
      <c r="B84" s="705" t="s">
        <v>1057</v>
      </c>
      <c r="C84" s="706"/>
      <c r="D84" s="706"/>
      <c r="E84" s="706">
        <f t="shared" si="1"/>
        <v>0</v>
      </c>
      <c r="F84" s="706"/>
    </row>
    <row r="85" spans="1:6" ht="12.75" hidden="1" customHeight="1" x14ac:dyDescent="0.25">
      <c r="A85" s="704" t="s">
        <v>1058</v>
      </c>
      <c r="B85" s="705" t="s">
        <v>103</v>
      </c>
      <c r="C85" s="706"/>
      <c r="D85" s="706"/>
      <c r="E85" s="706">
        <f t="shared" si="1"/>
        <v>0</v>
      </c>
      <c r="F85" s="706"/>
    </row>
    <row r="86" spans="1:6" ht="12.75" hidden="1" customHeight="1" x14ac:dyDescent="0.25">
      <c r="A86" s="704" t="s">
        <v>1034</v>
      </c>
      <c r="B86" s="705" t="s">
        <v>106</v>
      </c>
      <c r="C86" s="706"/>
      <c r="D86" s="706"/>
      <c r="E86" s="706">
        <f t="shared" si="1"/>
        <v>0</v>
      </c>
      <c r="F86" s="706"/>
    </row>
    <row r="87" spans="1:6" ht="12.75" hidden="1" customHeight="1" x14ac:dyDescent="0.25">
      <c r="A87" s="704" t="s">
        <v>1059</v>
      </c>
      <c r="B87" s="705" t="s">
        <v>1060</v>
      </c>
      <c r="C87" s="706"/>
      <c r="D87" s="706"/>
      <c r="E87" s="706">
        <f t="shared" si="1"/>
        <v>0</v>
      </c>
      <c r="F87" s="706"/>
    </row>
    <row r="88" spans="1:6" ht="12.75" hidden="1" customHeight="1" x14ac:dyDescent="0.25">
      <c r="A88" s="704" t="s">
        <v>1061</v>
      </c>
      <c r="B88" s="705" t="s">
        <v>1062</v>
      </c>
      <c r="C88" s="706"/>
      <c r="D88" s="706"/>
      <c r="E88" s="706">
        <f t="shared" si="1"/>
        <v>0</v>
      </c>
      <c r="F88" s="706"/>
    </row>
    <row r="89" spans="1:6" ht="12.75" hidden="1" customHeight="1" x14ac:dyDescent="0.25">
      <c r="A89" s="704" t="s">
        <v>1063</v>
      </c>
      <c r="B89" s="705" t="s">
        <v>109</v>
      </c>
      <c r="C89" s="706"/>
      <c r="D89" s="706"/>
      <c r="E89" s="706">
        <f t="shared" si="1"/>
        <v>0</v>
      </c>
      <c r="F89" s="706"/>
    </row>
    <row r="90" spans="1:6" ht="12.75" hidden="1" customHeight="1" x14ac:dyDescent="0.25">
      <c r="A90" s="704" t="s">
        <v>1064</v>
      </c>
      <c r="B90" s="705" t="s">
        <v>112</v>
      </c>
      <c r="C90" s="706"/>
      <c r="D90" s="706"/>
      <c r="E90" s="706">
        <f t="shared" si="1"/>
        <v>0</v>
      </c>
      <c r="F90" s="706"/>
    </row>
    <row r="91" spans="1:6" ht="12.75" hidden="1" customHeight="1" x14ac:dyDescent="0.25">
      <c r="A91" s="704" t="s">
        <v>1065</v>
      </c>
      <c r="B91" s="705" t="s">
        <v>1066</v>
      </c>
      <c r="C91" s="706"/>
      <c r="D91" s="706"/>
      <c r="E91" s="706">
        <f t="shared" si="1"/>
        <v>0</v>
      </c>
      <c r="F91" s="706"/>
    </row>
    <row r="92" spans="1:6" ht="12.75" hidden="1" customHeight="1" x14ac:dyDescent="0.25">
      <c r="A92" s="704" t="s">
        <v>1067</v>
      </c>
      <c r="B92" s="705" t="s">
        <v>114</v>
      </c>
      <c r="C92" s="706"/>
      <c r="D92" s="706"/>
      <c r="E92" s="706">
        <f t="shared" si="1"/>
        <v>0</v>
      </c>
      <c r="F92" s="706"/>
    </row>
    <row r="93" spans="1:6" ht="12.75" hidden="1" customHeight="1" x14ac:dyDescent="0.25">
      <c r="A93" s="704" t="s">
        <v>1068</v>
      </c>
      <c r="B93" s="705" t="s">
        <v>116</v>
      </c>
      <c r="C93" s="706"/>
      <c r="D93" s="706"/>
      <c r="E93" s="706">
        <f t="shared" si="1"/>
        <v>0</v>
      </c>
      <c r="F93" s="706"/>
    </row>
    <row r="94" spans="1:6" ht="12.75" hidden="1" customHeight="1" x14ac:dyDescent="0.25">
      <c r="A94" s="704" t="s">
        <v>1069</v>
      </c>
      <c r="B94" s="705" t="s">
        <v>1070</v>
      </c>
      <c r="C94" s="706"/>
      <c r="D94" s="706"/>
      <c r="E94" s="706">
        <f t="shared" si="1"/>
        <v>0</v>
      </c>
      <c r="F94" s="706"/>
    </row>
    <row r="95" spans="1:6" ht="12.75" hidden="1" customHeight="1" x14ac:dyDescent="0.25">
      <c r="A95" s="704" t="s">
        <v>1071</v>
      </c>
      <c r="B95" s="705" t="s">
        <v>1072</v>
      </c>
      <c r="C95" s="706"/>
      <c r="D95" s="706"/>
      <c r="E95" s="706">
        <f t="shared" si="1"/>
        <v>0</v>
      </c>
      <c r="F95" s="706"/>
    </row>
    <row r="96" spans="1:6" ht="12.75" hidden="1" customHeight="1" x14ac:dyDescent="0.25">
      <c r="A96" s="704" t="s">
        <v>1073</v>
      </c>
      <c r="B96" s="705" t="s">
        <v>1074</v>
      </c>
      <c r="C96" s="706"/>
      <c r="D96" s="706"/>
      <c r="E96" s="706">
        <f t="shared" si="1"/>
        <v>0</v>
      </c>
      <c r="F96" s="706"/>
    </row>
    <row r="97" spans="1:6" ht="12.75" hidden="1" customHeight="1" x14ac:dyDescent="0.25">
      <c r="A97" s="704" t="s">
        <v>1075</v>
      </c>
      <c r="B97" s="705" t="s">
        <v>1076</v>
      </c>
      <c r="C97" s="706"/>
      <c r="D97" s="706"/>
      <c r="E97" s="706">
        <f t="shared" si="1"/>
        <v>0</v>
      </c>
      <c r="F97" s="706"/>
    </row>
    <row r="98" spans="1:6" ht="12.75" hidden="1" customHeight="1" x14ac:dyDescent="0.25">
      <c r="A98" s="704" t="s">
        <v>1077</v>
      </c>
      <c r="B98" s="705" t="s">
        <v>1078</v>
      </c>
      <c r="C98" s="706"/>
      <c r="D98" s="706"/>
      <c r="E98" s="706">
        <f t="shared" si="1"/>
        <v>0</v>
      </c>
      <c r="F98" s="706"/>
    </row>
    <row r="99" spans="1:6" ht="12.75" hidden="1" customHeight="1" thickBot="1" x14ac:dyDescent="0.3">
      <c r="A99" s="710" t="s">
        <v>1079</v>
      </c>
      <c r="B99" s="711" t="s">
        <v>1080</v>
      </c>
      <c r="C99" s="712"/>
      <c r="D99" s="712"/>
      <c r="E99" s="712">
        <f t="shared" si="1"/>
        <v>0</v>
      </c>
      <c r="F99" s="712"/>
    </row>
    <row r="100" spans="1:6" ht="12.75" hidden="1" customHeight="1" thickBot="1" x14ac:dyDescent="0.3">
      <c r="A100" s="698" t="s">
        <v>1081</v>
      </c>
      <c r="B100" s="713" t="s">
        <v>1082</v>
      </c>
      <c r="C100" s="714"/>
      <c r="D100" s="714"/>
      <c r="E100" s="714">
        <f t="shared" si="1"/>
        <v>0</v>
      </c>
      <c r="F100" s="714"/>
    </row>
    <row r="101" spans="1:6" ht="12.75" hidden="1" customHeight="1" x14ac:dyDescent="0.25">
      <c r="A101" s="2511"/>
      <c r="B101" s="2512"/>
      <c r="C101" s="2512"/>
      <c r="D101" s="2512"/>
      <c r="E101" s="2512"/>
      <c r="F101" s="2513"/>
    </row>
    <row r="102" spans="1:6" ht="12.75" hidden="1" customHeight="1" x14ac:dyDescent="0.25">
      <c r="A102" s="701" t="s">
        <v>1083</v>
      </c>
      <c r="B102" s="702" t="s">
        <v>1084</v>
      </c>
      <c r="C102" s="703"/>
      <c r="D102" s="703"/>
      <c r="E102" s="703">
        <f t="shared" si="1"/>
        <v>0</v>
      </c>
      <c r="F102" s="703"/>
    </row>
    <row r="103" spans="1:6" ht="12.75" hidden="1" customHeight="1" x14ac:dyDescent="0.25">
      <c r="A103" s="704" t="s">
        <v>1085</v>
      </c>
      <c r="B103" s="705" t="s">
        <v>1086</v>
      </c>
      <c r="C103" s="706"/>
      <c r="D103" s="706"/>
      <c r="E103" s="706">
        <f t="shared" si="1"/>
        <v>0</v>
      </c>
      <c r="F103" s="706"/>
    </row>
    <row r="104" spans="1:6" ht="12.75" hidden="1" customHeight="1" x14ac:dyDescent="0.25">
      <c r="A104" s="704" t="s">
        <v>1087</v>
      </c>
      <c r="B104" s="705" t="s">
        <v>1088</v>
      </c>
      <c r="C104" s="706"/>
      <c r="D104" s="706"/>
      <c r="E104" s="706">
        <f t="shared" si="1"/>
        <v>0</v>
      </c>
      <c r="F104" s="706"/>
    </row>
    <row r="105" spans="1:6" ht="12.75" hidden="1" customHeight="1" x14ac:dyDescent="0.25">
      <c r="A105" s="704" t="s">
        <v>1089</v>
      </c>
      <c r="B105" s="705">
        <v>100</v>
      </c>
      <c r="C105" s="706"/>
      <c r="D105" s="706"/>
      <c r="E105" s="706">
        <f t="shared" si="1"/>
        <v>0</v>
      </c>
      <c r="F105" s="706"/>
    </row>
    <row r="106" spans="1:6" ht="12.75" hidden="1" customHeight="1" x14ac:dyDescent="0.25">
      <c r="A106" s="704" t="s">
        <v>1090</v>
      </c>
      <c r="B106" s="705">
        <v>101</v>
      </c>
      <c r="C106" s="706"/>
      <c r="D106" s="706"/>
      <c r="E106" s="706">
        <f t="shared" si="1"/>
        <v>0</v>
      </c>
      <c r="F106" s="706"/>
    </row>
    <row r="107" spans="1:6" ht="12.75" hidden="1" customHeight="1" x14ac:dyDescent="0.25">
      <c r="A107" s="704" t="s">
        <v>1091</v>
      </c>
      <c r="B107" s="705">
        <v>102</v>
      </c>
      <c r="C107" s="706"/>
      <c r="D107" s="706"/>
      <c r="E107" s="706">
        <f t="shared" si="1"/>
        <v>0</v>
      </c>
      <c r="F107" s="706"/>
    </row>
    <row r="108" spans="1:6" ht="12.75" hidden="1" customHeight="1" x14ac:dyDescent="0.25">
      <c r="A108" s="704" t="s">
        <v>1092</v>
      </c>
      <c r="B108" s="705">
        <v>103</v>
      </c>
      <c r="C108" s="706"/>
      <c r="D108" s="706"/>
      <c r="E108" s="706">
        <f t="shared" si="1"/>
        <v>0</v>
      </c>
      <c r="F108" s="706"/>
    </row>
    <row r="109" spans="1:6" ht="12.75" hidden="1" customHeight="1" x14ac:dyDescent="0.25">
      <c r="A109" s="704" t="s">
        <v>1093</v>
      </c>
      <c r="B109" s="705">
        <v>104</v>
      </c>
      <c r="C109" s="706"/>
      <c r="D109" s="706"/>
      <c r="E109" s="706">
        <f t="shared" si="1"/>
        <v>0</v>
      </c>
      <c r="F109" s="706"/>
    </row>
    <row r="110" spans="1:6" ht="12.75" hidden="1" customHeight="1" x14ac:dyDescent="0.25">
      <c r="A110" s="704" t="s">
        <v>1094</v>
      </c>
      <c r="B110" s="705">
        <v>105</v>
      </c>
      <c r="C110" s="706"/>
      <c r="D110" s="706"/>
      <c r="E110" s="706">
        <f t="shared" si="1"/>
        <v>0</v>
      </c>
      <c r="F110" s="706"/>
    </row>
    <row r="111" spans="1:6" ht="12.75" hidden="1" customHeight="1" x14ac:dyDescent="0.25">
      <c r="A111" s="704" t="s">
        <v>1095</v>
      </c>
      <c r="B111" s="705">
        <v>106</v>
      </c>
      <c r="C111" s="706"/>
      <c r="D111" s="706"/>
      <c r="E111" s="706">
        <f t="shared" si="1"/>
        <v>0</v>
      </c>
      <c r="F111" s="706"/>
    </row>
    <row r="112" spans="1:6" ht="12.75" hidden="1" customHeight="1" x14ac:dyDescent="0.25">
      <c r="A112" s="704" t="s">
        <v>1096</v>
      </c>
      <c r="B112" s="705">
        <v>107</v>
      </c>
      <c r="C112" s="706"/>
      <c r="D112" s="706"/>
      <c r="E112" s="706">
        <f t="shared" si="1"/>
        <v>0</v>
      </c>
      <c r="F112" s="706"/>
    </row>
    <row r="113" spans="1:8" ht="12.75" hidden="1" customHeight="1" x14ac:dyDescent="0.25">
      <c r="A113" s="704" t="s">
        <v>1097</v>
      </c>
      <c r="B113" s="705">
        <v>108</v>
      </c>
      <c r="C113" s="706"/>
      <c r="D113" s="706"/>
      <c r="E113" s="706">
        <f t="shared" si="1"/>
        <v>0</v>
      </c>
      <c r="F113" s="706"/>
    </row>
    <row r="114" spans="1:8" ht="12.75" hidden="1" customHeight="1" thickBot="1" x14ac:dyDescent="0.3">
      <c r="A114" s="710" t="s">
        <v>1098</v>
      </c>
      <c r="B114" s="711">
        <v>109</v>
      </c>
      <c r="C114" s="712"/>
      <c r="D114" s="712"/>
      <c r="E114" s="712">
        <f t="shared" si="1"/>
        <v>0</v>
      </c>
      <c r="F114" s="712"/>
    </row>
    <row r="115" spans="1:8" ht="12.75" hidden="1" customHeight="1" thickBot="1" x14ac:dyDescent="0.3">
      <c r="A115" s="698" t="s">
        <v>1099</v>
      </c>
      <c r="B115" s="713">
        <v>110</v>
      </c>
      <c r="C115" s="714"/>
      <c r="D115" s="714"/>
      <c r="E115" s="714">
        <f t="shared" si="1"/>
        <v>0</v>
      </c>
      <c r="F115" s="714"/>
    </row>
    <row r="116" spans="1:8" ht="12.75" hidden="1" customHeight="1" x14ac:dyDescent="0.25">
      <c r="A116" s="2511"/>
      <c r="B116" s="2512"/>
      <c r="C116" s="2512"/>
      <c r="D116" s="2512"/>
      <c r="E116" s="2512"/>
      <c r="F116" s="2513"/>
    </row>
    <row r="117" spans="1:8" ht="12.75" hidden="1" customHeight="1" x14ac:dyDescent="0.25">
      <c r="A117" s="715" t="s">
        <v>1100</v>
      </c>
      <c r="B117" s="702">
        <v>111</v>
      </c>
      <c r="C117" s="703"/>
      <c r="D117" s="703"/>
      <c r="E117" s="703">
        <f t="shared" si="1"/>
        <v>0</v>
      </c>
      <c r="F117" s="703"/>
    </row>
    <row r="118" spans="1:8" ht="12.75" hidden="1" customHeight="1" thickBot="1" x14ac:dyDescent="0.3">
      <c r="A118" s="716" t="s">
        <v>1101</v>
      </c>
      <c r="B118" s="717">
        <v>112</v>
      </c>
      <c r="C118" s="718"/>
      <c r="D118" s="718"/>
      <c r="E118" s="718">
        <f t="shared" si="1"/>
        <v>0</v>
      </c>
      <c r="F118" s="718"/>
    </row>
    <row r="120" spans="1:8" ht="18.75" x14ac:dyDescent="0.25">
      <c r="A120" s="910" t="s">
        <v>1278</v>
      </c>
    </row>
    <row r="121" spans="1:8" ht="15.75" x14ac:dyDescent="0.25">
      <c r="A121" s="1264" t="s">
        <v>818</v>
      </c>
    </row>
    <row r="122" spans="1:8" ht="15.75" thickBot="1" x14ac:dyDescent="0.3">
      <c r="F122" s="492" t="s">
        <v>1718</v>
      </c>
    </row>
    <row r="123" spans="1:8" ht="15.75" thickBot="1" x14ac:dyDescent="0.3">
      <c r="A123" s="1787" t="s">
        <v>1719</v>
      </c>
      <c r="B123" s="1787" t="s">
        <v>479</v>
      </c>
      <c r="C123" s="1787" t="s">
        <v>927</v>
      </c>
      <c r="D123" s="1787" t="s">
        <v>928</v>
      </c>
      <c r="E123" s="1787" t="s">
        <v>929</v>
      </c>
      <c r="F123" s="1788" t="s">
        <v>930</v>
      </c>
      <c r="G123" s="493"/>
      <c r="H123" s="493"/>
    </row>
    <row r="124" spans="1:8" x14ac:dyDescent="0.25">
      <c r="A124" s="1789" t="s">
        <v>1720</v>
      </c>
      <c r="B124" s="1790">
        <v>1</v>
      </c>
      <c r="C124" s="1791">
        <v>0</v>
      </c>
      <c r="D124" s="1791">
        <v>22782.12</v>
      </c>
      <c r="E124" s="1792">
        <f>D124-C124</f>
        <v>22782.12</v>
      </c>
      <c r="F124" s="1792">
        <f>E124</f>
        <v>22782.12</v>
      </c>
    </row>
    <row r="125" spans="1:8" x14ac:dyDescent="0.25">
      <c r="A125" s="1793" t="s">
        <v>1721</v>
      </c>
      <c r="B125" s="1794">
        <v>2</v>
      </c>
      <c r="C125" s="1795">
        <v>0</v>
      </c>
      <c r="D125" s="1795">
        <v>0</v>
      </c>
      <c r="E125" s="1796">
        <f t="shared" ref="E125:E178" si="2">D125-C125</f>
        <v>0</v>
      </c>
      <c r="F125" s="1796">
        <v>21692.1</v>
      </c>
    </row>
    <row r="126" spans="1:8" x14ac:dyDescent="0.25">
      <c r="A126" s="1793" t="s">
        <v>1722</v>
      </c>
      <c r="B126" s="1794">
        <v>3</v>
      </c>
      <c r="C126" s="1795">
        <v>0</v>
      </c>
      <c r="D126" s="1795">
        <v>0</v>
      </c>
      <c r="E126" s="1796">
        <f t="shared" si="2"/>
        <v>0</v>
      </c>
      <c r="F126" s="1796">
        <f>C126-D126</f>
        <v>0</v>
      </c>
    </row>
    <row r="127" spans="1:8" x14ac:dyDescent="0.25">
      <c r="A127" s="1789" t="s">
        <v>1723</v>
      </c>
      <c r="B127" s="1790">
        <v>4</v>
      </c>
      <c r="C127" s="1791">
        <f>SUM(C128:C131)</f>
        <v>23444.19</v>
      </c>
      <c r="D127" s="1791">
        <f>SUM(D128:D131)</f>
        <v>19602.490000000002</v>
      </c>
      <c r="E127" s="1792">
        <f t="shared" si="2"/>
        <v>-3841.6999999999971</v>
      </c>
      <c r="F127" s="1792">
        <f>E127</f>
        <v>-3841.6999999999971</v>
      </c>
    </row>
    <row r="128" spans="1:8" x14ac:dyDescent="0.25">
      <c r="A128" s="1797" t="s">
        <v>1724</v>
      </c>
      <c r="B128" s="1794">
        <v>5</v>
      </c>
      <c r="C128" s="1795">
        <v>718.01</v>
      </c>
      <c r="D128" s="1795">
        <v>143.31</v>
      </c>
      <c r="E128" s="1796">
        <f t="shared" si="2"/>
        <v>-574.70000000000005</v>
      </c>
      <c r="F128" s="1796">
        <f>E128</f>
        <v>-574.70000000000005</v>
      </c>
    </row>
    <row r="129" spans="1:6" x14ac:dyDescent="0.25">
      <c r="A129" s="1797" t="s">
        <v>1725</v>
      </c>
      <c r="B129" s="1794">
        <v>6</v>
      </c>
      <c r="C129" s="1795">
        <v>21456.59</v>
      </c>
      <c r="D129" s="1795">
        <v>17975.07</v>
      </c>
      <c r="E129" s="1796">
        <f t="shared" si="2"/>
        <v>-3481.5200000000004</v>
      </c>
      <c r="F129" s="1796">
        <f>E129</f>
        <v>-3481.5200000000004</v>
      </c>
    </row>
    <row r="130" spans="1:6" x14ac:dyDescent="0.25">
      <c r="A130" s="1797" t="s">
        <v>1726</v>
      </c>
      <c r="B130" s="1794">
        <v>7</v>
      </c>
      <c r="C130" s="1795">
        <v>0</v>
      </c>
      <c r="D130" s="1795">
        <v>0</v>
      </c>
      <c r="E130" s="1796">
        <f t="shared" si="2"/>
        <v>0</v>
      </c>
      <c r="F130" s="1796">
        <f>E130</f>
        <v>0</v>
      </c>
    </row>
    <row r="131" spans="1:6" x14ac:dyDescent="0.25">
      <c r="A131" s="1797" t="s">
        <v>1727</v>
      </c>
      <c r="B131" s="1794">
        <v>8</v>
      </c>
      <c r="C131" s="1795">
        <v>1269.5899999999999</v>
      </c>
      <c r="D131" s="1795">
        <v>1484.11</v>
      </c>
      <c r="E131" s="1796">
        <f t="shared" si="2"/>
        <v>214.51999999999998</v>
      </c>
      <c r="F131" s="1796">
        <f>E131</f>
        <v>214.51999999999998</v>
      </c>
    </row>
    <row r="132" spans="1:6" x14ac:dyDescent="0.25">
      <c r="A132" s="1789" t="s">
        <v>1728</v>
      </c>
      <c r="B132" s="1790">
        <v>9</v>
      </c>
      <c r="C132" s="1791">
        <f>SUM(C133:C136)</f>
        <v>1673.68</v>
      </c>
      <c r="D132" s="1791">
        <f>SUM(D133:D136)</f>
        <v>1179.6399999999999</v>
      </c>
      <c r="E132" s="1792">
        <f t="shared" si="2"/>
        <v>-494.04000000000019</v>
      </c>
      <c r="F132" s="1792">
        <f t="shared" ref="F132:F160" si="3">C132-D132</f>
        <v>494.04000000000019</v>
      </c>
    </row>
    <row r="133" spans="1:6" x14ac:dyDescent="0.25">
      <c r="A133" s="1797" t="s">
        <v>1729</v>
      </c>
      <c r="B133" s="1794">
        <v>10</v>
      </c>
      <c r="C133" s="1795">
        <v>693.03</v>
      </c>
      <c r="D133" s="1795">
        <v>765.15</v>
      </c>
      <c r="E133" s="1796">
        <f t="shared" si="2"/>
        <v>72.12</v>
      </c>
      <c r="F133" s="1796">
        <f t="shared" si="3"/>
        <v>-72.12</v>
      </c>
    </row>
    <row r="134" spans="1:6" x14ac:dyDescent="0.25">
      <c r="A134" s="1797" t="s">
        <v>1730</v>
      </c>
      <c r="B134" s="1794">
        <v>11</v>
      </c>
      <c r="C134" s="1795">
        <v>907.45</v>
      </c>
      <c r="D134" s="1795">
        <v>258.42</v>
      </c>
      <c r="E134" s="1796">
        <f t="shared" si="2"/>
        <v>-649.03</v>
      </c>
      <c r="F134" s="1796">
        <f t="shared" si="3"/>
        <v>649.03</v>
      </c>
    </row>
    <row r="135" spans="1:6" x14ac:dyDescent="0.25">
      <c r="A135" s="1797" t="s">
        <v>1731</v>
      </c>
      <c r="B135" s="1794">
        <v>12</v>
      </c>
      <c r="C135" s="1795">
        <v>0</v>
      </c>
      <c r="D135" s="1795">
        <v>0</v>
      </c>
      <c r="E135" s="1796">
        <f t="shared" si="2"/>
        <v>0</v>
      </c>
      <c r="F135" s="1796">
        <f t="shared" si="3"/>
        <v>0</v>
      </c>
    </row>
    <row r="136" spans="1:6" x14ac:dyDescent="0.25">
      <c r="A136" s="1797" t="s">
        <v>1732</v>
      </c>
      <c r="B136" s="1794">
        <v>13</v>
      </c>
      <c r="C136" s="1795">
        <v>73.2</v>
      </c>
      <c r="D136" s="1795">
        <v>156.07</v>
      </c>
      <c r="E136" s="1796">
        <f t="shared" si="2"/>
        <v>82.86999999999999</v>
      </c>
      <c r="F136" s="1796">
        <f t="shared" si="3"/>
        <v>-82.86999999999999</v>
      </c>
    </row>
    <row r="137" spans="1:6" x14ac:dyDescent="0.25">
      <c r="A137" s="1789" t="s">
        <v>1733</v>
      </c>
      <c r="B137" s="1790">
        <v>14</v>
      </c>
      <c r="C137" s="1791">
        <f>SUM(C138:C149)</f>
        <v>4998.01</v>
      </c>
      <c r="D137" s="1791">
        <f>SUM(D138:D149)</f>
        <v>6973.4</v>
      </c>
      <c r="E137" s="1792">
        <f t="shared" si="2"/>
        <v>1975.3899999999994</v>
      </c>
      <c r="F137" s="1792">
        <f t="shared" si="3"/>
        <v>-1975.3899999999994</v>
      </c>
    </row>
    <row r="138" spans="1:6" x14ac:dyDescent="0.25">
      <c r="A138" s="1797" t="s">
        <v>1734</v>
      </c>
      <c r="B138" s="1794">
        <v>15</v>
      </c>
      <c r="C138" s="1795">
        <v>4099.29</v>
      </c>
      <c r="D138" s="1795">
        <v>5213.74</v>
      </c>
      <c r="E138" s="1796">
        <f t="shared" si="2"/>
        <v>1114.4499999999998</v>
      </c>
      <c r="F138" s="1796">
        <f t="shared" si="3"/>
        <v>-1114.4499999999998</v>
      </c>
    </row>
    <row r="139" spans="1:6" x14ac:dyDescent="0.25">
      <c r="A139" s="1797" t="s">
        <v>1735</v>
      </c>
      <c r="B139" s="1794">
        <v>16</v>
      </c>
      <c r="C139" s="1795">
        <v>0</v>
      </c>
      <c r="D139" s="1795">
        <v>0</v>
      </c>
      <c r="E139" s="1796">
        <f t="shared" si="2"/>
        <v>0</v>
      </c>
      <c r="F139" s="1796">
        <f t="shared" si="3"/>
        <v>0</v>
      </c>
    </row>
    <row r="140" spans="1:6" x14ac:dyDescent="0.25">
      <c r="A140" s="1797" t="s">
        <v>1736</v>
      </c>
      <c r="B140" s="1794">
        <v>17</v>
      </c>
      <c r="C140" s="1795">
        <v>0</v>
      </c>
      <c r="D140" s="1795">
        <v>0</v>
      </c>
      <c r="E140" s="1796">
        <f t="shared" si="2"/>
        <v>0</v>
      </c>
      <c r="F140" s="1796">
        <f t="shared" si="3"/>
        <v>0</v>
      </c>
    </row>
    <row r="141" spans="1:6" x14ac:dyDescent="0.25">
      <c r="A141" s="1797" t="s">
        <v>1737</v>
      </c>
      <c r="B141" s="1794">
        <v>18</v>
      </c>
      <c r="C141" s="1795">
        <v>0</v>
      </c>
      <c r="D141" s="1795">
        <v>493.95</v>
      </c>
      <c r="E141" s="1796">
        <f t="shared" si="2"/>
        <v>493.95</v>
      </c>
      <c r="F141" s="1796">
        <f t="shared" si="3"/>
        <v>-493.95</v>
      </c>
    </row>
    <row r="142" spans="1:6" x14ac:dyDescent="0.25">
      <c r="A142" s="1797" t="s">
        <v>1738</v>
      </c>
      <c r="B142" s="1794">
        <v>19</v>
      </c>
      <c r="C142" s="1795">
        <v>0</v>
      </c>
      <c r="D142" s="1795">
        <v>0</v>
      </c>
      <c r="E142" s="1796">
        <f t="shared" si="2"/>
        <v>0</v>
      </c>
      <c r="F142" s="1796">
        <f t="shared" si="3"/>
        <v>0</v>
      </c>
    </row>
    <row r="143" spans="1:6" x14ac:dyDescent="0.25">
      <c r="A143" s="1797" t="s">
        <v>1739</v>
      </c>
      <c r="B143" s="1794">
        <v>20</v>
      </c>
      <c r="C143" s="1795">
        <v>0</v>
      </c>
      <c r="D143" s="1795">
        <v>0</v>
      </c>
      <c r="E143" s="1796">
        <f t="shared" si="2"/>
        <v>0</v>
      </c>
      <c r="F143" s="1796">
        <f t="shared" si="3"/>
        <v>0</v>
      </c>
    </row>
    <row r="144" spans="1:6" x14ac:dyDescent="0.25">
      <c r="A144" s="1797" t="s">
        <v>1740</v>
      </c>
      <c r="B144" s="1794">
        <v>21</v>
      </c>
      <c r="C144" s="1795">
        <v>0</v>
      </c>
      <c r="D144" s="1795">
        <v>9.49</v>
      </c>
      <c r="E144" s="1796">
        <f t="shared" si="2"/>
        <v>9.49</v>
      </c>
      <c r="F144" s="1796">
        <f t="shared" si="3"/>
        <v>-9.49</v>
      </c>
    </row>
    <row r="145" spans="1:6" x14ac:dyDescent="0.25">
      <c r="A145" s="1797" t="s">
        <v>1741</v>
      </c>
      <c r="B145" s="1794">
        <v>22</v>
      </c>
      <c r="C145" s="1795">
        <v>0</v>
      </c>
      <c r="D145" s="1795">
        <v>0</v>
      </c>
      <c r="E145" s="1796">
        <f t="shared" si="2"/>
        <v>0</v>
      </c>
      <c r="F145" s="1796">
        <f t="shared" si="3"/>
        <v>0</v>
      </c>
    </row>
    <row r="146" spans="1:6" x14ac:dyDescent="0.25">
      <c r="A146" s="1797" t="s">
        <v>1742</v>
      </c>
      <c r="B146" s="1794">
        <v>23</v>
      </c>
      <c r="C146" s="1795">
        <v>0</v>
      </c>
      <c r="D146" s="1795">
        <v>0</v>
      </c>
      <c r="E146" s="1796">
        <f t="shared" si="2"/>
        <v>0</v>
      </c>
      <c r="F146" s="1796">
        <f t="shared" si="3"/>
        <v>0</v>
      </c>
    </row>
    <row r="147" spans="1:6" x14ac:dyDescent="0.25">
      <c r="A147" s="1797" t="s">
        <v>1743</v>
      </c>
      <c r="B147" s="1794">
        <v>24</v>
      </c>
      <c r="C147" s="1795">
        <v>101.71</v>
      </c>
      <c r="D147" s="1795">
        <v>38.18</v>
      </c>
      <c r="E147" s="1796">
        <f t="shared" si="2"/>
        <v>-63.529999999999994</v>
      </c>
      <c r="F147" s="1796">
        <f t="shared" si="3"/>
        <v>63.529999999999994</v>
      </c>
    </row>
    <row r="148" spans="1:6" x14ac:dyDescent="0.25">
      <c r="A148" s="1797" t="s">
        <v>1744</v>
      </c>
      <c r="B148" s="1794">
        <v>25</v>
      </c>
      <c r="C148" s="1795">
        <v>797.01</v>
      </c>
      <c r="D148" s="1795">
        <v>1218.04</v>
      </c>
      <c r="E148" s="1796">
        <f t="shared" si="2"/>
        <v>421.03</v>
      </c>
      <c r="F148" s="1796">
        <f t="shared" si="3"/>
        <v>-421.03</v>
      </c>
    </row>
    <row r="149" spans="1:6" x14ac:dyDescent="0.25">
      <c r="A149" s="1797" t="s">
        <v>1745</v>
      </c>
      <c r="B149" s="1794">
        <v>26</v>
      </c>
      <c r="C149" s="1795">
        <v>0</v>
      </c>
      <c r="D149" s="1795">
        <v>0</v>
      </c>
      <c r="E149" s="1796">
        <f t="shared" si="2"/>
        <v>0</v>
      </c>
      <c r="F149" s="1796">
        <f t="shared" si="3"/>
        <v>0</v>
      </c>
    </row>
    <row r="150" spans="1:6" x14ac:dyDescent="0.25">
      <c r="A150" s="1789" t="s">
        <v>1746</v>
      </c>
      <c r="B150" s="1790">
        <v>27</v>
      </c>
      <c r="C150" s="1791">
        <f>SUM(C151:C153)</f>
        <v>0</v>
      </c>
      <c r="D150" s="1791">
        <f>SUM(D151:D153)</f>
        <v>0</v>
      </c>
      <c r="E150" s="1792">
        <f t="shared" si="2"/>
        <v>0</v>
      </c>
      <c r="F150" s="1792">
        <f t="shared" si="3"/>
        <v>0</v>
      </c>
    </row>
    <row r="151" spans="1:6" x14ac:dyDescent="0.25">
      <c r="A151" s="1798" t="s">
        <v>1747</v>
      </c>
      <c r="B151" s="1790">
        <v>28</v>
      </c>
      <c r="C151" s="1791">
        <v>0</v>
      </c>
      <c r="D151" s="1791">
        <v>0</v>
      </c>
      <c r="E151" s="1792">
        <f t="shared" si="2"/>
        <v>0</v>
      </c>
      <c r="F151" s="1792">
        <f t="shared" si="3"/>
        <v>0</v>
      </c>
    </row>
    <row r="152" spans="1:6" x14ac:dyDescent="0.25">
      <c r="A152" s="1798" t="s">
        <v>1748</v>
      </c>
      <c r="B152" s="1790">
        <v>29</v>
      </c>
      <c r="C152" s="1791">
        <v>0</v>
      </c>
      <c r="D152" s="1791">
        <v>0</v>
      </c>
      <c r="E152" s="1792">
        <f t="shared" si="2"/>
        <v>0</v>
      </c>
      <c r="F152" s="1792">
        <f t="shared" si="3"/>
        <v>0</v>
      </c>
    </row>
    <row r="153" spans="1:6" x14ac:dyDescent="0.25">
      <c r="A153" s="1798" t="s">
        <v>1749</v>
      </c>
      <c r="B153" s="1790">
        <v>30</v>
      </c>
      <c r="C153" s="1791">
        <v>0</v>
      </c>
      <c r="D153" s="1791">
        <v>0</v>
      </c>
      <c r="E153" s="1792">
        <f t="shared" si="2"/>
        <v>0</v>
      </c>
      <c r="F153" s="1792">
        <f t="shared" si="3"/>
        <v>0</v>
      </c>
    </row>
    <row r="154" spans="1:6" x14ac:dyDescent="0.25">
      <c r="A154" s="1798" t="s">
        <v>1750</v>
      </c>
      <c r="B154" s="1790">
        <v>31</v>
      </c>
      <c r="C154" s="1791">
        <f>SUM(C155:C160)</f>
        <v>7214.97</v>
      </c>
      <c r="D154" s="1791">
        <f>SUM(D155:D160)</f>
        <v>6346.28</v>
      </c>
      <c r="E154" s="1792">
        <f t="shared" si="2"/>
        <v>-868.69000000000051</v>
      </c>
      <c r="F154" s="1792">
        <f t="shared" si="3"/>
        <v>868.69000000000051</v>
      </c>
    </row>
    <row r="155" spans="1:6" x14ac:dyDescent="0.25">
      <c r="A155" s="1797" t="s">
        <v>1751</v>
      </c>
      <c r="B155" s="1794">
        <v>32</v>
      </c>
      <c r="C155" s="1795">
        <v>35.51</v>
      </c>
      <c r="D155" s="1795">
        <v>33.450000000000003</v>
      </c>
      <c r="E155" s="1796">
        <f t="shared" si="2"/>
        <v>-2.0599999999999952</v>
      </c>
      <c r="F155" s="1796">
        <f t="shared" si="3"/>
        <v>2.0599999999999952</v>
      </c>
    </row>
    <row r="156" spans="1:6" x14ac:dyDescent="0.25">
      <c r="A156" s="1797" t="s">
        <v>1752</v>
      </c>
      <c r="B156" s="1794">
        <v>33</v>
      </c>
      <c r="C156" s="1795">
        <v>934.32</v>
      </c>
      <c r="D156" s="1795">
        <v>657.88</v>
      </c>
      <c r="E156" s="1796">
        <f t="shared" si="2"/>
        <v>-276.44000000000005</v>
      </c>
      <c r="F156" s="1796">
        <f t="shared" si="3"/>
        <v>276.44000000000005</v>
      </c>
    </row>
    <row r="157" spans="1:6" x14ac:dyDescent="0.25">
      <c r="A157" s="1797" t="s">
        <v>1753</v>
      </c>
      <c r="B157" s="1794">
        <v>34</v>
      </c>
      <c r="C157" s="1795">
        <v>6245.14</v>
      </c>
      <c r="D157" s="1795">
        <v>5654.95</v>
      </c>
      <c r="E157" s="1796">
        <f t="shared" si="2"/>
        <v>-590.19000000000051</v>
      </c>
      <c r="F157" s="1796">
        <f t="shared" si="3"/>
        <v>590.19000000000051</v>
      </c>
    </row>
    <row r="158" spans="1:6" x14ac:dyDescent="0.25">
      <c r="A158" s="1797" t="s">
        <v>1754</v>
      </c>
      <c r="B158" s="1794">
        <v>35</v>
      </c>
      <c r="C158" s="1795">
        <v>0</v>
      </c>
      <c r="D158" s="1795">
        <v>0</v>
      </c>
      <c r="E158" s="1796">
        <f t="shared" si="2"/>
        <v>0</v>
      </c>
      <c r="F158" s="1796">
        <f t="shared" si="3"/>
        <v>0</v>
      </c>
    </row>
    <row r="159" spans="1:6" x14ac:dyDescent="0.25">
      <c r="A159" s="1797" t="s">
        <v>1755</v>
      </c>
      <c r="B159" s="1794">
        <v>36</v>
      </c>
      <c r="C159" s="1795">
        <v>0</v>
      </c>
      <c r="D159" s="1795">
        <v>0</v>
      </c>
      <c r="E159" s="1796">
        <f t="shared" si="2"/>
        <v>0</v>
      </c>
      <c r="F159" s="1796">
        <f t="shared" si="3"/>
        <v>0</v>
      </c>
    </row>
    <row r="160" spans="1:6" x14ac:dyDescent="0.25">
      <c r="A160" s="1797" t="s">
        <v>1756</v>
      </c>
      <c r="B160" s="1794">
        <v>37</v>
      </c>
      <c r="C160" s="1795">
        <v>0</v>
      </c>
      <c r="D160" s="1795">
        <v>0</v>
      </c>
      <c r="E160" s="1796">
        <f t="shared" si="2"/>
        <v>0</v>
      </c>
      <c r="F160" s="1796">
        <f t="shared" si="3"/>
        <v>0</v>
      </c>
    </row>
    <row r="161" spans="1:6" x14ac:dyDescent="0.25">
      <c r="A161" s="1789" t="s">
        <v>1757</v>
      </c>
      <c r="B161" s="1790">
        <v>38</v>
      </c>
      <c r="C161" s="1791">
        <f>SUM(C162:C176)</f>
        <v>31534.18</v>
      </c>
      <c r="D161" s="1791">
        <f>SUM(D162:D176)</f>
        <v>35713.000000000007</v>
      </c>
      <c r="E161" s="1792">
        <f t="shared" si="2"/>
        <v>4178.820000000007</v>
      </c>
      <c r="F161" s="1792">
        <f>E161</f>
        <v>4178.820000000007</v>
      </c>
    </row>
    <row r="162" spans="1:6" x14ac:dyDescent="0.25">
      <c r="A162" s="1797" t="s">
        <v>1758</v>
      </c>
      <c r="B162" s="1794">
        <v>39</v>
      </c>
      <c r="C162" s="1795">
        <v>2781.45</v>
      </c>
      <c r="D162" s="1795">
        <v>3336.27</v>
      </c>
      <c r="E162" s="1796">
        <f t="shared" si="2"/>
        <v>554.82000000000016</v>
      </c>
      <c r="F162" s="1796">
        <f>E162</f>
        <v>554.82000000000016</v>
      </c>
    </row>
    <row r="163" spans="1:6" x14ac:dyDescent="0.25">
      <c r="A163" s="1797" t="s">
        <v>1759</v>
      </c>
      <c r="B163" s="1794">
        <v>40</v>
      </c>
      <c r="C163" s="1795">
        <v>0</v>
      </c>
      <c r="D163" s="1795">
        <v>0</v>
      </c>
      <c r="E163" s="1796">
        <f t="shared" si="2"/>
        <v>0</v>
      </c>
      <c r="F163" s="1796">
        <f t="shared" ref="F163:F176" si="4">E163</f>
        <v>0</v>
      </c>
    </row>
    <row r="164" spans="1:6" x14ac:dyDescent="0.25">
      <c r="A164" s="1797" t="s">
        <v>1760</v>
      </c>
      <c r="B164" s="1794">
        <v>41</v>
      </c>
      <c r="C164" s="1795">
        <v>381.81</v>
      </c>
      <c r="D164" s="1795">
        <v>172.12</v>
      </c>
      <c r="E164" s="1796">
        <f t="shared" si="2"/>
        <v>-209.69</v>
      </c>
      <c r="F164" s="1796">
        <f t="shared" si="4"/>
        <v>-209.69</v>
      </c>
    </row>
    <row r="165" spans="1:6" x14ac:dyDescent="0.25">
      <c r="A165" s="1797" t="s">
        <v>1761</v>
      </c>
      <c r="B165" s="1794">
        <v>42</v>
      </c>
      <c r="C165" s="1795">
        <v>225.99</v>
      </c>
      <c r="D165" s="1795">
        <v>231.79</v>
      </c>
      <c r="E165" s="1796">
        <f t="shared" si="2"/>
        <v>5.7999999999999829</v>
      </c>
      <c r="F165" s="1796">
        <f t="shared" si="4"/>
        <v>5.7999999999999829</v>
      </c>
    </row>
    <row r="166" spans="1:6" x14ac:dyDescent="0.25">
      <c r="A166" s="1797" t="s">
        <v>1762</v>
      </c>
      <c r="B166" s="1794">
        <v>43</v>
      </c>
      <c r="C166" s="1795">
        <v>14246.54</v>
      </c>
      <c r="D166" s="1795">
        <v>15791.83</v>
      </c>
      <c r="E166" s="1796">
        <f t="shared" si="2"/>
        <v>1545.2899999999991</v>
      </c>
      <c r="F166" s="1796">
        <f t="shared" si="4"/>
        <v>1545.2899999999991</v>
      </c>
    </row>
    <row r="167" spans="1:6" x14ac:dyDescent="0.25">
      <c r="A167" s="1797" t="s">
        <v>1763</v>
      </c>
      <c r="B167" s="1794">
        <v>44</v>
      </c>
      <c r="C167" s="1795">
        <v>32.78</v>
      </c>
      <c r="D167" s="1795">
        <v>26.62</v>
      </c>
      <c r="E167" s="1796">
        <f t="shared" si="2"/>
        <v>-6.16</v>
      </c>
      <c r="F167" s="1796">
        <f t="shared" si="4"/>
        <v>-6.16</v>
      </c>
    </row>
    <row r="168" spans="1:6" x14ac:dyDescent="0.25">
      <c r="A168" s="1797" t="s">
        <v>1764</v>
      </c>
      <c r="B168" s="1794">
        <v>45</v>
      </c>
      <c r="C168" s="1795">
        <v>7614.34</v>
      </c>
      <c r="D168" s="1795">
        <v>8466.51</v>
      </c>
      <c r="E168" s="1796">
        <f t="shared" si="2"/>
        <v>852.17000000000007</v>
      </c>
      <c r="F168" s="1796">
        <f t="shared" si="4"/>
        <v>852.17000000000007</v>
      </c>
    </row>
    <row r="169" spans="1:6" x14ac:dyDescent="0.25">
      <c r="A169" s="1797" t="s">
        <v>1737</v>
      </c>
      <c r="B169" s="1794">
        <v>46</v>
      </c>
      <c r="C169" s="1795">
        <v>827.46</v>
      </c>
      <c r="D169" s="1795">
        <v>0</v>
      </c>
      <c r="E169" s="1796">
        <f t="shared" si="2"/>
        <v>-827.46</v>
      </c>
      <c r="F169" s="1796">
        <f t="shared" si="4"/>
        <v>-827.46</v>
      </c>
    </row>
    <row r="170" spans="1:6" x14ac:dyDescent="0.25">
      <c r="A170" s="1797" t="s">
        <v>1738</v>
      </c>
      <c r="B170" s="1794">
        <v>47</v>
      </c>
      <c r="C170" s="1795">
        <v>2854.89</v>
      </c>
      <c r="D170" s="1795">
        <v>3212.91</v>
      </c>
      <c r="E170" s="1796">
        <f t="shared" si="2"/>
        <v>358.02</v>
      </c>
      <c r="F170" s="1796">
        <f t="shared" si="4"/>
        <v>358.02</v>
      </c>
    </row>
    <row r="171" spans="1:6" x14ac:dyDescent="0.25">
      <c r="A171" s="1797" t="s">
        <v>1739</v>
      </c>
      <c r="B171" s="1794">
        <v>48</v>
      </c>
      <c r="C171" s="1795">
        <v>1751.7</v>
      </c>
      <c r="D171" s="1795">
        <v>3671.03</v>
      </c>
      <c r="E171" s="1796">
        <f t="shared" si="2"/>
        <v>1919.3300000000002</v>
      </c>
      <c r="F171" s="1796">
        <f t="shared" si="4"/>
        <v>1919.3300000000002</v>
      </c>
    </row>
    <row r="172" spans="1:6" x14ac:dyDescent="0.25">
      <c r="A172" s="1797" t="s">
        <v>1740</v>
      </c>
      <c r="B172" s="1794">
        <v>49</v>
      </c>
      <c r="C172" s="1795">
        <v>0</v>
      </c>
      <c r="D172" s="1795">
        <v>0</v>
      </c>
      <c r="E172" s="1796">
        <f t="shared" si="2"/>
        <v>0</v>
      </c>
      <c r="F172" s="1796">
        <f t="shared" si="4"/>
        <v>0</v>
      </c>
    </row>
    <row r="173" spans="1:6" x14ac:dyDescent="0.25">
      <c r="A173" s="1797" t="s">
        <v>1741</v>
      </c>
      <c r="B173" s="1794">
        <v>50</v>
      </c>
      <c r="C173" s="1795">
        <v>0</v>
      </c>
      <c r="D173" s="1795">
        <v>52.05</v>
      </c>
      <c r="E173" s="1796">
        <f t="shared" si="2"/>
        <v>52.05</v>
      </c>
      <c r="F173" s="1796">
        <f t="shared" si="4"/>
        <v>52.05</v>
      </c>
    </row>
    <row r="174" spans="1:6" x14ac:dyDescent="0.25">
      <c r="A174" s="1797" t="s">
        <v>1765</v>
      </c>
      <c r="B174" s="1794">
        <v>51</v>
      </c>
      <c r="C174" s="1795">
        <v>0</v>
      </c>
      <c r="D174" s="1795">
        <v>0</v>
      </c>
      <c r="E174" s="1796">
        <f t="shared" si="2"/>
        <v>0</v>
      </c>
      <c r="F174" s="1796">
        <f t="shared" si="4"/>
        <v>0</v>
      </c>
    </row>
    <row r="175" spans="1:6" x14ac:dyDescent="0.25">
      <c r="A175" s="1797" t="s">
        <v>1735</v>
      </c>
      <c r="B175" s="1794">
        <v>52</v>
      </c>
      <c r="C175" s="1795">
        <v>0</v>
      </c>
      <c r="D175" s="1795">
        <v>0</v>
      </c>
      <c r="E175" s="1796">
        <f t="shared" si="2"/>
        <v>0</v>
      </c>
      <c r="F175" s="1796">
        <f t="shared" si="4"/>
        <v>0</v>
      </c>
    </row>
    <row r="176" spans="1:6" x14ac:dyDescent="0.25">
      <c r="A176" s="1797" t="s">
        <v>1766</v>
      </c>
      <c r="B176" s="1794">
        <v>53</v>
      </c>
      <c r="C176" s="1795">
        <v>817.22</v>
      </c>
      <c r="D176" s="1795">
        <v>751.87</v>
      </c>
      <c r="E176" s="1796">
        <f t="shared" si="2"/>
        <v>-65.350000000000023</v>
      </c>
      <c r="F176" s="1796">
        <f t="shared" si="4"/>
        <v>-65.350000000000023</v>
      </c>
    </row>
    <row r="177" spans="1:6" x14ac:dyDescent="0.25">
      <c r="A177" s="1789" t="s">
        <v>1767</v>
      </c>
      <c r="B177" s="1790">
        <v>54</v>
      </c>
      <c r="C177" s="1791">
        <v>0</v>
      </c>
      <c r="D177" s="1791">
        <v>0</v>
      </c>
      <c r="E177" s="1792">
        <f t="shared" si="2"/>
        <v>0</v>
      </c>
      <c r="F177" s="1792">
        <f>C177-D177</f>
        <v>0</v>
      </c>
    </row>
    <row r="178" spans="1:6" ht="15.75" thickBot="1" x14ac:dyDescent="0.3">
      <c r="A178" s="1789" t="s">
        <v>1768</v>
      </c>
      <c r="B178" s="1790">
        <v>55</v>
      </c>
      <c r="C178" s="1791">
        <v>0</v>
      </c>
      <c r="D178" s="1791">
        <v>0</v>
      </c>
      <c r="E178" s="1792">
        <f t="shared" si="2"/>
        <v>0</v>
      </c>
      <c r="F178" s="1792">
        <f>C178-D178</f>
        <v>0</v>
      </c>
    </row>
    <row r="179" spans="1:6" ht="15.75" thickBot="1" x14ac:dyDescent="0.3">
      <c r="A179" s="1799" t="s">
        <v>1769</v>
      </c>
      <c r="B179" s="1800">
        <v>56</v>
      </c>
      <c r="C179" s="1801">
        <f>SUM(C124:C127)+C132+C137+C150+C154+C161+C177+C178</f>
        <v>68865.03</v>
      </c>
      <c r="D179" s="1801">
        <f>SUM(D124:D127)+D132+D137+D150+D154+D161+D177+D178</f>
        <v>92596.930000000008</v>
      </c>
      <c r="E179" s="1801">
        <f>SUM(E124:E127)+E132+E137+E150+E154+E161+E177+E178</f>
        <v>23731.900000000009</v>
      </c>
      <c r="F179" s="1801">
        <f>SUM(F124:F127)+F132+F137+F150+F154+F161+F177+F178</f>
        <v>44198.680000000015</v>
      </c>
    </row>
    <row r="180" spans="1:6" x14ac:dyDescent="0.25">
      <c r="A180" s="1789" t="s">
        <v>1770</v>
      </c>
      <c r="B180" s="1789">
        <v>57</v>
      </c>
      <c r="C180" s="1791">
        <f>SUM(C181:C187)</f>
        <v>16593.84</v>
      </c>
      <c r="D180" s="1791">
        <f>SUM(D181:D187)</f>
        <v>18174.840000000004</v>
      </c>
      <c r="E180" s="1792">
        <f t="shared" ref="E180:E218" si="5">D180-C180</f>
        <v>1581.0000000000036</v>
      </c>
      <c r="F180" s="1792">
        <f t="shared" ref="F180:F211" si="6">C180-D180</f>
        <v>-1581.0000000000036</v>
      </c>
    </row>
    <row r="181" spans="1:6" x14ac:dyDescent="0.25">
      <c r="A181" s="1797" t="s">
        <v>1771</v>
      </c>
      <c r="B181" s="1793">
        <v>58</v>
      </c>
      <c r="C181" s="1795">
        <v>0</v>
      </c>
      <c r="D181" s="1795">
        <v>0</v>
      </c>
      <c r="E181" s="1796">
        <f t="shared" si="5"/>
        <v>0</v>
      </c>
      <c r="F181" s="1796">
        <f t="shared" si="6"/>
        <v>0</v>
      </c>
    </row>
    <row r="182" spans="1:6" x14ac:dyDescent="0.25">
      <c r="A182" s="1797" t="s">
        <v>1772</v>
      </c>
      <c r="B182" s="1793">
        <v>59</v>
      </c>
      <c r="C182" s="1795">
        <v>15055.1</v>
      </c>
      <c r="D182" s="1795">
        <v>16830.79</v>
      </c>
      <c r="E182" s="1796">
        <f t="shared" si="5"/>
        <v>1775.6900000000005</v>
      </c>
      <c r="F182" s="1796">
        <f t="shared" si="6"/>
        <v>-1775.6900000000005</v>
      </c>
    </row>
    <row r="183" spans="1:6" x14ac:dyDescent="0.25">
      <c r="A183" s="1797" t="s">
        <v>1773</v>
      </c>
      <c r="B183" s="1793">
        <v>60</v>
      </c>
      <c r="C183" s="1795">
        <v>1223.1500000000001</v>
      </c>
      <c r="D183" s="1795">
        <v>1223.1500000000001</v>
      </c>
      <c r="E183" s="1796">
        <f t="shared" si="5"/>
        <v>0</v>
      </c>
      <c r="F183" s="1796">
        <f t="shared" si="6"/>
        <v>0</v>
      </c>
    </row>
    <row r="184" spans="1:6" x14ac:dyDescent="0.25">
      <c r="A184" s="1797" t="s">
        <v>1774</v>
      </c>
      <c r="B184" s="1793">
        <v>61</v>
      </c>
      <c r="C184" s="1795">
        <v>315.58999999999997</v>
      </c>
      <c r="D184" s="1795">
        <v>120.9</v>
      </c>
      <c r="E184" s="1796">
        <f t="shared" si="5"/>
        <v>-194.68999999999997</v>
      </c>
      <c r="F184" s="1796">
        <f t="shared" si="6"/>
        <v>194.68999999999997</v>
      </c>
    </row>
    <row r="185" spans="1:6" x14ac:dyDescent="0.25">
      <c r="A185" s="1797" t="s">
        <v>1775</v>
      </c>
      <c r="B185" s="1793">
        <v>62</v>
      </c>
      <c r="C185" s="1795">
        <v>0</v>
      </c>
      <c r="D185" s="1795">
        <v>0</v>
      </c>
      <c r="E185" s="1796">
        <f t="shared" si="5"/>
        <v>0</v>
      </c>
      <c r="F185" s="1796">
        <f t="shared" si="6"/>
        <v>0</v>
      </c>
    </row>
    <row r="186" spans="1:6" x14ac:dyDescent="0.25">
      <c r="A186" s="1797" t="s">
        <v>1776</v>
      </c>
      <c r="B186" s="1793">
        <v>63</v>
      </c>
      <c r="C186" s="1795">
        <v>0</v>
      </c>
      <c r="D186" s="1795">
        <v>0</v>
      </c>
      <c r="E186" s="1796">
        <f t="shared" si="5"/>
        <v>0</v>
      </c>
      <c r="F186" s="1796">
        <f t="shared" si="6"/>
        <v>0</v>
      </c>
    </row>
    <row r="187" spans="1:6" x14ac:dyDescent="0.25">
      <c r="A187" s="1797" t="s">
        <v>1777</v>
      </c>
      <c r="B187" s="1793">
        <v>64</v>
      </c>
      <c r="C187" s="1795">
        <v>0</v>
      </c>
      <c r="D187" s="1795">
        <v>0</v>
      </c>
      <c r="E187" s="1796">
        <f t="shared" si="5"/>
        <v>0</v>
      </c>
      <c r="F187" s="1796">
        <f t="shared" si="6"/>
        <v>0</v>
      </c>
    </row>
    <row r="188" spans="1:6" x14ac:dyDescent="0.25">
      <c r="A188" s="1789" t="s">
        <v>1778</v>
      </c>
      <c r="B188" s="1789">
        <v>65</v>
      </c>
      <c r="C188" s="1791">
        <f>SUM(C189:C193)</f>
        <v>-12853.69</v>
      </c>
      <c r="D188" s="1791">
        <f>SUM(D189:D193)</f>
        <v>-14323.49</v>
      </c>
      <c r="E188" s="1792">
        <f t="shared" si="5"/>
        <v>-1469.7999999999993</v>
      </c>
      <c r="F188" s="1792">
        <f t="shared" si="6"/>
        <v>1469.7999999999993</v>
      </c>
    </row>
    <row r="189" spans="1:6" x14ac:dyDescent="0.25">
      <c r="A189" s="1797" t="s">
        <v>1779</v>
      </c>
      <c r="B189" s="1793">
        <v>66</v>
      </c>
      <c r="C189" s="1795">
        <v>0</v>
      </c>
      <c r="D189" s="1795">
        <v>0</v>
      </c>
      <c r="E189" s="1796">
        <f t="shared" si="5"/>
        <v>0</v>
      </c>
      <c r="F189" s="1796">
        <f t="shared" si="6"/>
        <v>0</v>
      </c>
    </row>
    <row r="190" spans="1:6" x14ac:dyDescent="0.25">
      <c r="A190" s="1797" t="s">
        <v>1780</v>
      </c>
      <c r="B190" s="1793">
        <v>67</v>
      </c>
      <c r="C190" s="1795">
        <v>-11314.95</v>
      </c>
      <c r="D190" s="1795">
        <v>-12979.44</v>
      </c>
      <c r="E190" s="1796">
        <f t="shared" si="5"/>
        <v>-1664.4899999999998</v>
      </c>
      <c r="F190" s="1796">
        <f t="shared" si="6"/>
        <v>1664.4899999999998</v>
      </c>
    </row>
    <row r="191" spans="1:6" x14ac:dyDescent="0.25">
      <c r="A191" s="1797" t="s">
        <v>1781</v>
      </c>
      <c r="B191" s="1793">
        <v>68</v>
      </c>
      <c r="C191" s="1795">
        <v>-1223.1500000000001</v>
      </c>
      <c r="D191" s="1795">
        <v>-1223.1500000000001</v>
      </c>
      <c r="E191" s="1796">
        <f t="shared" si="5"/>
        <v>0</v>
      </c>
      <c r="F191" s="1796">
        <f t="shared" si="6"/>
        <v>0</v>
      </c>
    </row>
    <row r="192" spans="1:6" x14ac:dyDescent="0.25">
      <c r="A192" s="1797" t="s">
        <v>1782</v>
      </c>
      <c r="B192" s="1793">
        <v>69</v>
      </c>
      <c r="C192" s="1795">
        <v>-315.58999999999997</v>
      </c>
      <c r="D192" s="1795">
        <v>-120.9</v>
      </c>
      <c r="E192" s="1796">
        <f t="shared" si="5"/>
        <v>194.68999999999997</v>
      </c>
      <c r="F192" s="1796">
        <f t="shared" si="6"/>
        <v>-194.68999999999997</v>
      </c>
    </row>
    <row r="193" spans="1:6" x14ac:dyDescent="0.25">
      <c r="A193" s="1797" t="s">
        <v>1783</v>
      </c>
      <c r="B193" s="1793">
        <v>70</v>
      </c>
      <c r="C193" s="1795">
        <v>0</v>
      </c>
      <c r="D193" s="1795">
        <v>0</v>
      </c>
      <c r="E193" s="1796">
        <f t="shared" si="5"/>
        <v>0</v>
      </c>
      <c r="F193" s="1796">
        <f t="shared" si="6"/>
        <v>0</v>
      </c>
    </row>
    <row r="194" spans="1:6" x14ac:dyDescent="0.25">
      <c r="A194" s="1789" t="s">
        <v>1784</v>
      </c>
      <c r="B194" s="1789">
        <v>71</v>
      </c>
      <c r="C194" s="1791">
        <f>SUM(C195:C204)</f>
        <v>1980006.1299999997</v>
      </c>
      <c r="D194" s="1791">
        <f>SUM(D195:D204)</f>
        <v>2030679.95</v>
      </c>
      <c r="E194" s="1792">
        <f t="shared" si="5"/>
        <v>50673.820000000298</v>
      </c>
      <c r="F194" s="1792">
        <f t="shared" si="6"/>
        <v>-50673.820000000298</v>
      </c>
    </row>
    <row r="195" spans="1:6" x14ac:dyDescent="0.25">
      <c r="A195" s="1797" t="s">
        <v>1785</v>
      </c>
      <c r="B195" s="1793">
        <v>72</v>
      </c>
      <c r="C195" s="1795">
        <v>23301.63</v>
      </c>
      <c r="D195" s="1795">
        <v>24552.83</v>
      </c>
      <c r="E195" s="1796">
        <f t="shared" si="5"/>
        <v>1251.2000000000007</v>
      </c>
      <c r="F195" s="1796">
        <f t="shared" si="6"/>
        <v>-1251.2000000000007</v>
      </c>
    </row>
    <row r="196" spans="1:6" x14ac:dyDescent="0.25">
      <c r="A196" s="1797" t="s">
        <v>1786</v>
      </c>
      <c r="B196" s="1793">
        <v>73</v>
      </c>
      <c r="C196" s="1795">
        <v>200</v>
      </c>
      <c r="D196" s="1795">
        <v>635</v>
      </c>
      <c r="E196" s="1796">
        <f t="shared" si="5"/>
        <v>435</v>
      </c>
      <c r="F196" s="1796">
        <f t="shared" si="6"/>
        <v>-435</v>
      </c>
    </row>
    <row r="197" spans="1:6" x14ac:dyDescent="0.25">
      <c r="A197" s="1797" t="s">
        <v>1787</v>
      </c>
      <c r="B197" s="1793">
        <v>74</v>
      </c>
      <c r="C197" s="1795">
        <v>1616509.22</v>
      </c>
      <c r="D197" s="1795">
        <v>1657704.38</v>
      </c>
      <c r="E197" s="1796">
        <f t="shared" si="5"/>
        <v>41195.159999999916</v>
      </c>
      <c r="F197" s="1796">
        <f t="shared" si="6"/>
        <v>-41195.159999999916</v>
      </c>
    </row>
    <row r="198" spans="1:6" x14ac:dyDescent="0.25">
      <c r="A198" s="1797" t="s">
        <v>1788</v>
      </c>
      <c r="B198" s="1793">
        <v>75</v>
      </c>
      <c r="C198" s="1795">
        <v>272002.62</v>
      </c>
      <c r="D198" s="1795">
        <v>275356.19</v>
      </c>
      <c r="E198" s="1796">
        <f t="shared" si="5"/>
        <v>3353.570000000007</v>
      </c>
      <c r="F198" s="1796">
        <f t="shared" si="6"/>
        <v>-3353.570000000007</v>
      </c>
    </row>
    <row r="199" spans="1:6" x14ac:dyDescent="0.25">
      <c r="A199" s="1797" t="s">
        <v>1789</v>
      </c>
      <c r="B199" s="1793">
        <v>76</v>
      </c>
      <c r="C199" s="1795">
        <v>0</v>
      </c>
      <c r="D199" s="1795">
        <v>0</v>
      </c>
      <c r="E199" s="1796">
        <f t="shared" si="5"/>
        <v>0</v>
      </c>
      <c r="F199" s="1796">
        <f t="shared" si="6"/>
        <v>0</v>
      </c>
    </row>
    <row r="200" spans="1:6" x14ac:dyDescent="0.25">
      <c r="A200" s="1797" t="s">
        <v>1790</v>
      </c>
      <c r="B200" s="1793">
        <v>77</v>
      </c>
      <c r="C200" s="1795">
        <v>0</v>
      </c>
      <c r="D200" s="1795">
        <v>0</v>
      </c>
      <c r="E200" s="1796">
        <f t="shared" si="5"/>
        <v>0</v>
      </c>
      <c r="F200" s="1796">
        <f t="shared" si="6"/>
        <v>0</v>
      </c>
    </row>
    <row r="201" spans="1:6" x14ac:dyDescent="0.25">
      <c r="A201" s="1797" t="s">
        <v>1791</v>
      </c>
      <c r="B201" s="1793">
        <v>78</v>
      </c>
      <c r="C201" s="1795">
        <v>32292.18</v>
      </c>
      <c r="D201" s="1795">
        <v>30149.03</v>
      </c>
      <c r="E201" s="1796">
        <f t="shared" si="5"/>
        <v>-2143.1500000000015</v>
      </c>
      <c r="F201" s="1796">
        <f t="shared" si="6"/>
        <v>2143.1500000000015</v>
      </c>
    </row>
    <row r="202" spans="1:6" x14ac:dyDescent="0.25">
      <c r="A202" s="1797" t="s">
        <v>1792</v>
      </c>
      <c r="B202" s="1793">
        <v>79</v>
      </c>
      <c r="C202" s="1795">
        <v>0</v>
      </c>
      <c r="D202" s="1795">
        <v>0</v>
      </c>
      <c r="E202" s="1796">
        <f t="shared" si="5"/>
        <v>0</v>
      </c>
      <c r="F202" s="1796">
        <f t="shared" si="6"/>
        <v>0</v>
      </c>
    </row>
    <row r="203" spans="1:6" x14ac:dyDescent="0.25">
      <c r="A203" s="1797" t="s">
        <v>1793</v>
      </c>
      <c r="B203" s="1793">
        <v>80</v>
      </c>
      <c r="C203" s="1795">
        <v>35155.980000000003</v>
      </c>
      <c r="D203" s="1795">
        <v>40322.32</v>
      </c>
      <c r="E203" s="1796">
        <f t="shared" si="5"/>
        <v>5166.3399999999965</v>
      </c>
      <c r="F203" s="1796">
        <f t="shared" si="6"/>
        <v>-5166.3399999999965</v>
      </c>
    </row>
    <row r="204" spans="1:6" x14ac:dyDescent="0.25">
      <c r="A204" s="1797" t="s">
        <v>1794</v>
      </c>
      <c r="B204" s="1793">
        <v>81</v>
      </c>
      <c r="C204" s="1795">
        <v>544.5</v>
      </c>
      <c r="D204" s="1795">
        <v>1960.2</v>
      </c>
      <c r="E204" s="1796">
        <f t="shared" si="5"/>
        <v>1415.7</v>
      </c>
      <c r="F204" s="1796">
        <f t="shared" si="6"/>
        <v>-1415.7</v>
      </c>
    </row>
    <row r="205" spans="1:6" x14ac:dyDescent="0.25">
      <c r="A205" s="1789" t="s">
        <v>1778</v>
      </c>
      <c r="B205" s="1789">
        <v>82</v>
      </c>
      <c r="C205" s="1791">
        <f>SUM(C206:C211)</f>
        <v>-394188.02999999997</v>
      </c>
      <c r="D205" s="1791">
        <f>SUM(D206:D211)</f>
        <v>-394404.21000000008</v>
      </c>
      <c r="E205" s="1792">
        <f t="shared" si="5"/>
        <v>-216.18000000010943</v>
      </c>
      <c r="F205" s="1792">
        <f t="shared" si="6"/>
        <v>216.18000000010943</v>
      </c>
    </row>
    <row r="206" spans="1:6" x14ac:dyDescent="0.25">
      <c r="A206" s="1797" t="s">
        <v>1795</v>
      </c>
      <c r="B206" s="1793">
        <v>83</v>
      </c>
      <c r="C206" s="1795">
        <v>-163168.91</v>
      </c>
      <c r="D206" s="1795">
        <v>-169661.89</v>
      </c>
      <c r="E206" s="1796">
        <f t="shared" si="5"/>
        <v>-6492.9800000000105</v>
      </c>
      <c r="F206" s="1796">
        <f t="shared" si="6"/>
        <v>6492.9800000000105</v>
      </c>
    </row>
    <row r="207" spans="1:6" x14ac:dyDescent="0.25">
      <c r="A207" s="1797" t="s">
        <v>1796</v>
      </c>
      <c r="B207" s="1793">
        <v>84</v>
      </c>
      <c r="C207" s="1795">
        <v>-198726.94</v>
      </c>
      <c r="D207" s="1795">
        <v>-194593.29</v>
      </c>
      <c r="E207" s="1796">
        <f t="shared" si="5"/>
        <v>4133.6499999999942</v>
      </c>
      <c r="F207" s="1796">
        <f t="shared" si="6"/>
        <v>-4133.6499999999942</v>
      </c>
    </row>
    <row r="208" spans="1:6" x14ac:dyDescent="0.25">
      <c r="A208" s="1797" t="s">
        <v>1797</v>
      </c>
      <c r="B208" s="1793">
        <v>85</v>
      </c>
      <c r="C208" s="1795">
        <v>0</v>
      </c>
      <c r="D208" s="1795">
        <v>0</v>
      </c>
      <c r="E208" s="1796">
        <f t="shared" si="5"/>
        <v>0</v>
      </c>
      <c r="F208" s="1796">
        <f t="shared" si="6"/>
        <v>0</v>
      </c>
    </row>
    <row r="209" spans="1:6" x14ac:dyDescent="0.25">
      <c r="A209" s="1797" t="s">
        <v>1798</v>
      </c>
      <c r="B209" s="1793">
        <v>86</v>
      </c>
      <c r="C209" s="1795">
        <v>0</v>
      </c>
      <c r="D209" s="1795">
        <v>0</v>
      </c>
      <c r="E209" s="1796">
        <f t="shared" si="5"/>
        <v>0</v>
      </c>
      <c r="F209" s="1796">
        <f t="shared" si="6"/>
        <v>0</v>
      </c>
    </row>
    <row r="210" spans="1:6" x14ac:dyDescent="0.25">
      <c r="A210" s="1797" t="s">
        <v>1799</v>
      </c>
      <c r="B210" s="1793">
        <v>87</v>
      </c>
      <c r="C210" s="1795">
        <v>-32292.18</v>
      </c>
      <c r="D210" s="1795">
        <v>-30149.03</v>
      </c>
      <c r="E210" s="1796">
        <f t="shared" si="5"/>
        <v>2143.1500000000015</v>
      </c>
      <c r="F210" s="1796">
        <f t="shared" si="6"/>
        <v>-2143.1500000000015</v>
      </c>
    </row>
    <row r="211" spans="1:6" x14ac:dyDescent="0.25">
      <c r="A211" s="1797" t="s">
        <v>1800</v>
      </c>
      <c r="B211" s="1793">
        <v>88</v>
      </c>
      <c r="C211" s="1795">
        <v>0</v>
      </c>
      <c r="D211" s="1795">
        <v>0</v>
      </c>
      <c r="E211" s="1796">
        <f t="shared" si="5"/>
        <v>0</v>
      </c>
      <c r="F211" s="1796">
        <f t="shared" si="6"/>
        <v>0</v>
      </c>
    </row>
    <row r="212" spans="1:6" x14ac:dyDescent="0.25">
      <c r="A212" s="1789" t="s">
        <v>1801</v>
      </c>
      <c r="B212" s="1789">
        <v>89</v>
      </c>
      <c r="C212" s="1791">
        <v>0</v>
      </c>
      <c r="D212" s="1791">
        <v>0</v>
      </c>
      <c r="E212" s="1792">
        <f t="shared" si="5"/>
        <v>0</v>
      </c>
      <c r="F212" s="1792">
        <v>-21692.1</v>
      </c>
    </row>
    <row r="213" spans="1:6" x14ac:dyDescent="0.25">
      <c r="A213" s="1789" t="s">
        <v>1802</v>
      </c>
      <c r="B213" s="1789">
        <v>90</v>
      </c>
      <c r="C213" s="1791">
        <f>SUM(C214:C218)</f>
        <v>0</v>
      </c>
      <c r="D213" s="1791">
        <f>SUM(D214:D218)</f>
        <v>0</v>
      </c>
      <c r="E213" s="1792">
        <f t="shared" si="5"/>
        <v>0</v>
      </c>
      <c r="F213" s="1792">
        <f t="shared" ref="F213:F218" si="7">C213-D213</f>
        <v>0</v>
      </c>
    </row>
    <row r="214" spans="1:6" x14ac:dyDescent="0.25">
      <c r="A214" s="1797" t="s">
        <v>1803</v>
      </c>
      <c r="B214" s="1793">
        <v>91</v>
      </c>
      <c r="C214" s="1795">
        <v>0</v>
      </c>
      <c r="D214" s="1795">
        <v>0</v>
      </c>
      <c r="E214" s="1796">
        <f t="shared" si="5"/>
        <v>0</v>
      </c>
      <c r="F214" s="1796">
        <f t="shared" si="7"/>
        <v>0</v>
      </c>
    </row>
    <row r="215" spans="1:6" x14ac:dyDescent="0.25">
      <c r="A215" s="1797" t="s">
        <v>1804</v>
      </c>
      <c r="B215" s="1793">
        <v>92</v>
      </c>
      <c r="C215" s="1795">
        <v>0</v>
      </c>
      <c r="D215" s="1795">
        <v>0</v>
      </c>
      <c r="E215" s="1796">
        <f t="shared" si="5"/>
        <v>0</v>
      </c>
      <c r="F215" s="1796">
        <f t="shared" si="7"/>
        <v>0</v>
      </c>
    </row>
    <row r="216" spans="1:6" x14ac:dyDescent="0.25">
      <c r="A216" s="1797" t="s">
        <v>1805</v>
      </c>
      <c r="B216" s="1793">
        <v>93</v>
      </c>
      <c r="C216" s="1795">
        <v>0</v>
      </c>
      <c r="D216" s="1795">
        <v>0</v>
      </c>
      <c r="E216" s="1796">
        <f t="shared" si="5"/>
        <v>0</v>
      </c>
      <c r="F216" s="1796">
        <f t="shared" si="7"/>
        <v>0</v>
      </c>
    </row>
    <row r="217" spans="1:6" x14ac:dyDescent="0.25">
      <c r="A217" s="1797" t="s">
        <v>1806</v>
      </c>
      <c r="B217" s="1793">
        <v>94</v>
      </c>
      <c r="C217" s="1795">
        <v>0</v>
      </c>
      <c r="D217" s="1795">
        <v>0</v>
      </c>
      <c r="E217" s="1796">
        <f t="shared" si="5"/>
        <v>0</v>
      </c>
      <c r="F217" s="1796">
        <f t="shared" si="7"/>
        <v>0</v>
      </c>
    </row>
    <row r="218" spans="1:6" x14ac:dyDescent="0.25">
      <c r="A218" s="1797" t="s">
        <v>1807</v>
      </c>
      <c r="B218" s="1793">
        <v>95</v>
      </c>
      <c r="C218" s="1795">
        <v>0</v>
      </c>
      <c r="D218" s="1795">
        <v>0</v>
      </c>
      <c r="E218" s="1796">
        <f t="shared" si="5"/>
        <v>0</v>
      </c>
      <c r="F218" s="1796">
        <f t="shared" si="7"/>
        <v>0</v>
      </c>
    </row>
    <row r="219" spans="1:6" ht="15.75" thickBot="1" x14ac:dyDescent="0.3">
      <c r="A219" s="1802"/>
      <c r="B219" s="1802"/>
      <c r="C219" s="1803"/>
      <c r="D219" s="1803"/>
      <c r="E219" s="1803"/>
      <c r="F219" s="1804"/>
    </row>
    <row r="220" spans="1:6" ht="15.75" thickBot="1" x14ac:dyDescent="0.3">
      <c r="A220" s="1799" t="s">
        <v>1808</v>
      </c>
      <c r="B220" s="1799">
        <v>96</v>
      </c>
      <c r="C220" s="1801">
        <f>C180+C188+C194+C205+C212+C213</f>
        <v>1589558.2499999995</v>
      </c>
      <c r="D220" s="1801">
        <f>D180+D188+D194+D205+D212+D213</f>
        <v>1640127.0899999999</v>
      </c>
      <c r="E220" s="1801">
        <f>E180+E188+E194+E205+E212+E213</f>
        <v>50568.840000000193</v>
      </c>
      <c r="F220" s="1801">
        <f>F180+F188+F194+F205+F212+F213</f>
        <v>-72260.940000000192</v>
      </c>
    </row>
    <row r="221" spans="1:6" x14ac:dyDescent="0.25">
      <c r="A221" s="1789" t="s">
        <v>1809</v>
      </c>
      <c r="B221" s="1789">
        <v>97</v>
      </c>
      <c r="C221" s="1791">
        <f>SUM(C222:C226)</f>
        <v>0</v>
      </c>
      <c r="D221" s="1791">
        <f>SUM(D222:D226)</f>
        <v>0</v>
      </c>
      <c r="E221" s="1792">
        <f t="shared" ref="E221:E233" si="8">D221-C221</f>
        <v>0</v>
      </c>
      <c r="F221" s="1792">
        <f t="shared" ref="F221:F233" si="9">E221</f>
        <v>0</v>
      </c>
    </row>
    <row r="222" spans="1:6" x14ac:dyDescent="0.25">
      <c r="A222" s="1797" t="s">
        <v>1810</v>
      </c>
      <c r="B222" s="1793">
        <v>98</v>
      </c>
      <c r="C222" s="1795">
        <v>0</v>
      </c>
      <c r="D222" s="1795">
        <v>0</v>
      </c>
      <c r="E222" s="1796">
        <f t="shared" si="8"/>
        <v>0</v>
      </c>
      <c r="F222" s="1796">
        <f t="shared" si="9"/>
        <v>0</v>
      </c>
    </row>
    <row r="223" spans="1:6" x14ac:dyDescent="0.25">
      <c r="A223" s="1797" t="s">
        <v>1811</v>
      </c>
      <c r="B223" s="1793">
        <v>99</v>
      </c>
      <c r="C223" s="1795">
        <v>0</v>
      </c>
      <c r="D223" s="1795">
        <v>0</v>
      </c>
      <c r="E223" s="1796">
        <f t="shared" si="8"/>
        <v>0</v>
      </c>
      <c r="F223" s="1796">
        <f t="shared" si="9"/>
        <v>0</v>
      </c>
    </row>
    <row r="224" spans="1:6" x14ac:dyDescent="0.25">
      <c r="A224" s="1797" t="s">
        <v>1812</v>
      </c>
      <c r="B224" s="1793">
        <v>100</v>
      </c>
      <c r="C224" s="1795">
        <v>0</v>
      </c>
      <c r="D224" s="1795">
        <v>0</v>
      </c>
      <c r="E224" s="1796">
        <f t="shared" si="8"/>
        <v>0</v>
      </c>
      <c r="F224" s="1796">
        <f t="shared" si="9"/>
        <v>0</v>
      </c>
    </row>
    <row r="225" spans="1:8" x14ac:dyDescent="0.25">
      <c r="A225" s="1797" t="s">
        <v>1813</v>
      </c>
      <c r="B225" s="1793">
        <v>101</v>
      </c>
      <c r="C225" s="1795">
        <v>0</v>
      </c>
      <c r="D225" s="1795">
        <v>0</v>
      </c>
      <c r="E225" s="1796">
        <f t="shared" si="8"/>
        <v>0</v>
      </c>
      <c r="F225" s="1796">
        <f t="shared" si="9"/>
        <v>0</v>
      </c>
    </row>
    <row r="226" spans="1:8" x14ac:dyDescent="0.25">
      <c r="A226" s="1797" t="s">
        <v>1814</v>
      </c>
      <c r="B226" s="1793">
        <v>102</v>
      </c>
      <c r="C226" s="1795">
        <v>0</v>
      </c>
      <c r="D226" s="1795">
        <v>0</v>
      </c>
      <c r="E226" s="1796">
        <f t="shared" si="8"/>
        <v>0</v>
      </c>
      <c r="F226" s="1796">
        <f t="shared" si="9"/>
        <v>0</v>
      </c>
    </row>
    <row r="227" spans="1:8" x14ac:dyDescent="0.25">
      <c r="A227" s="1789" t="s">
        <v>1815</v>
      </c>
      <c r="B227" s="1789">
        <v>103</v>
      </c>
      <c r="C227" s="1791">
        <v>0</v>
      </c>
      <c r="D227" s="1791">
        <v>0</v>
      </c>
      <c r="E227" s="1792">
        <f t="shared" si="8"/>
        <v>0</v>
      </c>
      <c r="F227" s="1792">
        <f t="shared" si="9"/>
        <v>0</v>
      </c>
    </row>
    <row r="228" spans="1:8" x14ac:dyDescent="0.25">
      <c r="A228" s="1789" t="s">
        <v>1816</v>
      </c>
      <c r="B228" s="1789">
        <v>104</v>
      </c>
      <c r="C228" s="1791">
        <v>1618137.07</v>
      </c>
      <c r="D228" s="1791">
        <v>1667290.21</v>
      </c>
      <c r="E228" s="1792">
        <f t="shared" si="8"/>
        <v>49153.139999999898</v>
      </c>
      <c r="F228" s="1792">
        <f t="shared" si="9"/>
        <v>49153.139999999898</v>
      </c>
    </row>
    <row r="229" spans="1:8" x14ac:dyDescent="0.25">
      <c r="A229" s="1789" t="s">
        <v>618</v>
      </c>
      <c r="B229" s="1789">
        <v>105</v>
      </c>
      <c r="C229" s="1792">
        <v>75340</v>
      </c>
      <c r="D229" s="1792">
        <v>83490.05</v>
      </c>
      <c r="E229" s="1792">
        <f t="shared" si="8"/>
        <v>8150.0500000000029</v>
      </c>
      <c r="F229" s="1792">
        <f t="shared" si="9"/>
        <v>8150.0500000000029</v>
      </c>
    </row>
    <row r="230" spans="1:8" x14ac:dyDescent="0.25">
      <c r="A230" s="1789" t="s">
        <v>1817</v>
      </c>
      <c r="B230" s="1789">
        <v>106</v>
      </c>
      <c r="C230" s="1791">
        <v>0</v>
      </c>
      <c r="D230" s="1791">
        <v>0</v>
      </c>
      <c r="E230" s="1792">
        <f t="shared" si="8"/>
        <v>0</v>
      </c>
      <c r="F230" s="1792">
        <f t="shared" si="9"/>
        <v>0</v>
      </c>
    </row>
    <row r="231" spans="1:8" x14ac:dyDescent="0.25">
      <c r="A231" s="1789" t="s">
        <v>1818</v>
      </c>
      <c r="B231" s="1789">
        <v>107</v>
      </c>
      <c r="C231" s="1791">
        <v>0</v>
      </c>
      <c r="D231" s="1791">
        <v>0</v>
      </c>
      <c r="E231" s="1792">
        <f t="shared" si="8"/>
        <v>0</v>
      </c>
      <c r="F231" s="1792">
        <f t="shared" si="9"/>
        <v>0</v>
      </c>
    </row>
    <row r="232" spans="1:8" x14ac:dyDescent="0.25">
      <c r="A232" s="1789" t="s">
        <v>1819</v>
      </c>
      <c r="B232" s="1789">
        <v>108</v>
      </c>
      <c r="C232" s="1791">
        <v>26693.56</v>
      </c>
      <c r="D232" s="1791">
        <v>22782.12</v>
      </c>
      <c r="E232" s="1792">
        <f t="shared" si="8"/>
        <v>-3911.4400000000023</v>
      </c>
      <c r="F232" s="1792">
        <f t="shared" si="9"/>
        <v>-3911.4400000000023</v>
      </c>
    </row>
    <row r="233" spans="1:8" ht="15.75" thickBot="1" x14ac:dyDescent="0.3">
      <c r="A233" s="1789" t="s">
        <v>1820</v>
      </c>
      <c r="B233" s="1789">
        <v>109</v>
      </c>
      <c r="C233" s="1791">
        <v>0</v>
      </c>
      <c r="D233" s="1791">
        <v>-22782.12</v>
      </c>
      <c r="E233" s="1792">
        <f t="shared" si="8"/>
        <v>-22782.12</v>
      </c>
      <c r="F233" s="1792">
        <f t="shared" si="9"/>
        <v>-22782.12</v>
      </c>
    </row>
    <row r="234" spans="1:8" ht="15.75" thickBot="1" x14ac:dyDescent="0.3">
      <c r="A234" s="1799" t="s">
        <v>1821</v>
      </c>
      <c r="B234" s="1799">
        <v>110</v>
      </c>
      <c r="C234" s="1801">
        <f>C221+SUM(C227:C233)</f>
        <v>1720170.6300000001</v>
      </c>
      <c r="D234" s="1801">
        <f>D221+SUM(D227:D233)</f>
        <v>1750780.26</v>
      </c>
      <c r="E234" s="1801">
        <f>E221+SUM(E227:E233)</f>
        <v>30609.629999999899</v>
      </c>
      <c r="F234" s="1801">
        <f>F221+SUM(F227:F233)</f>
        <v>30609.629999999899</v>
      </c>
    </row>
    <row r="235" spans="1:8" ht="15.75" thickBot="1" x14ac:dyDescent="0.3">
      <c r="A235" s="1805"/>
      <c r="B235" s="1805"/>
      <c r="C235" s="1806"/>
      <c r="D235" s="1806"/>
      <c r="E235" s="1806"/>
      <c r="F235" s="1807"/>
    </row>
    <row r="236" spans="1:8" ht="15.75" thickBot="1" x14ac:dyDescent="0.3">
      <c r="A236" s="1799" t="s">
        <v>1822</v>
      </c>
      <c r="B236" s="1799">
        <v>111</v>
      </c>
      <c r="C236" s="1801">
        <f>C179+C220+C234</f>
        <v>3378593.9099999997</v>
      </c>
      <c r="D236" s="1801">
        <f>D179+D220+D234</f>
        <v>3483504.28</v>
      </c>
      <c r="E236" s="1801">
        <f>D236-C236</f>
        <v>104910.37000000011</v>
      </c>
      <c r="F236" s="1801">
        <f>F179+F220+F234</f>
        <v>2547.3699999997225</v>
      </c>
    </row>
    <row r="237" spans="1:8" ht="15.75" thickBot="1" x14ac:dyDescent="0.3">
      <c r="A237" s="1805"/>
      <c r="B237" s="1805"/>
      <c r="C237" s="1806"/>
      <c r="D237" s="1806"/>
      <c r="E237" s="1806"/>
      <c r="F237" s="1807"/>
    </row>
    <row r="238" spans="1:8" ht="15.75" thickBot="1" x14ac:dyDescent="0.3">
      <c r="A238" s="1799" t="s">
        <v>1823</v>
      </c>
      <c r="B238" s="1799">
        <v>112</v>
      </c>
      <c r="C238" s="1801">
        <v>171704.09</v>
      </c>
      <c r="D238" s="1801">
        <v>174251.46</v>
      </c>
      <c r="E238" s="1801">
        <f>D238-C238</f>
        <v>2547.3699999999953</v>
      </c>
      <c r="F238" s="1801">
        <f>C238-D238</f>
        <v>-2547.3699999999953</v>
      </c>
    </row>
    <row r="240" spans="1:8" x14ac:dyDescent="0.25">
      <c r="A240" s="1684" t="s">
        <v>1711</v>
      </c>
      <c r="B240" s="1685"/>
      <c r="C240" s="1685"/>
      <c r="D240" s="1686"/>
      <c r="E240" s="1686"/>
      <c r="F240" s="31"/>
      <c r="G240" s="31"/>
      <c r="H240" s="31"/>
    </row>
    <row r="241" spans="1:8" ht="35.1" customHeight="1" x14ac:dyDescent="0.25">
      <c r="A241" s="2459" t="s">
        <v>1921</v>
      </c>
      <c r="B241" s="2460"/>
      <c r="C241" s="2460"/>
      <c r="D241" s="2460"/>
      <c r="E241" s="2460"/>
      <c r="F241" s="2460"/>
      <c r="G241" s="31"/>
      <c r="H241" s="31"/>
    </row>
    <row r="242" spans="1:8" ht="35.1" customHeight="1" x14ac:dyDescent="0.25">
      <c r="A242" s="2460"/>
      <c r="B242" s="2460"/>
      <c r="C242" s="2460"/>
      <c r="D242" s="2460"/>
      <c r="E242" s="2460"/>
      <c r="F242" s="2460"/>
      <c r="G242" s="31"/>
      <c r="H242" s="31"/>
    </row>
    <row r="243" spans="1:8" ht="15.75" x14ac:dyDescent="0.25">
      <c r="A243" s="1808" t="s">
        <v>1325</v>
      </c>
      <c r="B243" s="1129"/>
      <c r="C243" s="1130"/>
    </row>
    <row r="244" spans="1:8" x14ac:dyDescent="0.25">
      <c r="A244" s="1809" t="s">
        <v>1492</v>
      </c>
      <c r="B244" s="1131"/>
      <c r="C244" s="1132"/>
    </row>
    <row r="245" spans="1:8" x14ac:dyDescent="0.25">
      <c r="A245" s="1809" t="s">
        <v>1328</v>
      </c>
      <c r="B245" s="1131"/>
      <c r="C245" s="1132"/>
    </row>
    <row r="246" spans="1:8" x14ac:dyDescent="0.25">
      <c r="A246" s="1810" t="s">
        <v>1329</v>
      </c>
      <c r="F246" s="1222"/>
    </row>
  </sheetData>
  <customSheetViews>
    <customSheetView guid="{2AF6EA2A-E5C5-45EB-B6C4-875AD1E4E056}">
      <selection activeCell="A2" sqref="A2"/>
      <pageMargins left="0.70866141732283472" right="0.70866141732283472" top="0.78740157480314965" bottom="0.78740157480314965" header="0.31496062992125984" footer="0.31496062992125984"/>
      <pageSetup paperSize="9" scale="80" orientation="portrait" r:id="rId1"/>
    </customSheetView>
  </customSheetViews>
  <mergeCells count="4">
    <mergeCell ref="A60:F60"/>
    <mergeCell ref="A101:F101"/>
    <mergeCell ref="A116:F116"/>
    <mergeCell ref="A241:F242"/>
  </mergeCells>
  <pageMargins left="0.70866141732283472" right="0.70866141732283472" top="0.78740157480314965" bottom="0.78740157480314965" header="0.31496062992125984" footer="0.31496062992125984"/>
  <pageSetup paperSize="9" scale="37" orientation="portrait" r:id="rId2"/>
  <ignoredErrors>
    <ignoredError sqref="B4:B45 B46:B59 B61:B97 B98:B100 B102:B10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pageSetUpPr fitToPage="1"/>
  </sheetPr>
  <dimension ref="A1:Y77"/>
  <sheetViews>
    <sheetView workbookViewId="0">
      <selection activeCell="A28" sqref="A28"/>
    </sheetView>
  </sheetViews>
  <sheetFormatPr defaultRowHeight="15" x14ac:dyDescent="0.25"/>
  <cols>
    <col min="1" max="1" width="57" bestFit="1" customWidth="1"/>
    <col min="2" max="2" width="3.42578125" customWidth="1"/>
    <col min="3" max="8" width="12.7109375" customWidth="1"/>
    <col min="9" max="9" width="43.85546875" bestFit="1" customWidth="1"/>
    <col min="14" max="14" width="12.42578125" bestFit="1" customWidth="1"/>
    <col min="15" max="15" width="11.42578125" bestFit="1" customWidth="1"/>
    <col min="17" max="17" width="12.42578125" bestFit="1" customWidth="1"/>
    <col min="18" max="18" width="6.42578125" customWidth="1"/>
    <col min="19" max="19" width="22.140625" bestFit="1" customWidth="1"/>
    <col min="20" max="21" width="11.42578125" bestFit="1" customWidth="1"/>
    <col min="23" max="23" width="13.28515625" bestFit="1" customWidth="1"/>
  </cols>
  <sheetData>
    <row r="1" spans="1:15" ht="18.75" x14ac:dyDescent="0.25">
      <c r="A1" s="808" t="s">
        <v>1202</v>
      </c>
      <c r="B1" s="808"/>
      <c r="C1" s="808"/>
      <c r="D1" s="808"/>
      <c r="E1" s="139"/>
      <c r="F1" s="139"/>
      <c r="G1" s="139"/>
      <c r="H1" s="139"/>
      <c r="I1" s="139"/>
      <c r="J1" s="139"/>
      <c r="K1" s="139"/>
      <c r="L1" s="139"/>
      <c r="M1" s="139"/>
      <c r="N1" s="139"/>
      <c r="O1" s="139"/>
    </row>
    <row r="2" spans="1:15" ht="18.75" x14ac:dyDescent="0.25">
      <c r="A2" s="809" t="s">
        <v>1203</v>
      </c>
      <c r="B2" s="139"/>
      <c r="C2" s="139"/>
      <c r="D2" s="139"/>
      <c r="E2" s="139"/>
      <c r="F2" s="139"/>
      <c r="G2" s="139"/>
      <c r="H2" s="139"/>
      <c r="I2" s="139"/>
      <c r="J2" s="139"/>
      <c r="K2" s="139"/>
      <c r="L2" s="139"/>
      <c r="M2" s="139"/>
      <c r="N2" s="139"/>
      <c r="O2" s="139"/>
    </row>
    <row r="3" spans="1:15" ht="15.75" x14ac:dyDescent="0.25">
      <c r="A3" s="899" t="s">
        <v>1274</v>
      </c>
      <c r="B3" s="810"/>
      <c r="C3" s="811"/>
      <c r="D3" s="811"/>
      <c r="E3" s="811"/>
      <c r="F3" s="811"/>
      <c r="G3" s="811"/>
      <c r="H3" s="811"/>
      <c r="I3" s="812"/>
      <c r="J3" s="139"/>
      <c r="K3" s="139"/>
      <c r="L3" s="139"/>
      <c r="M3" s="139"/>
      <c r="N3" s="139"/>
      <c r="O3" s="139"/>
    </row>
    <row r="4" spans="1:15" ht="18.75" x14ac:dyDescent="0.25">
      <c r="A4" s="813" t="s">
        <v>1204</v>
      </c>
      <c r="B4" s="810"/>
      <c r="C4" s="811"/>
      <c r="D4" s="811"/>
      <c r="E4" s="811"/>
      <c r="F4" s="811"/>
      <c r="G4" s="811"/>
      <c r="H4" s="814"/>
      <c r="I4" s="815"/>
      <c r="J4" s="139"/>
      <c r="K4" s="139"/>
      <c r="L4" s="139"/>
      <c r="M4" s="139"/>
      <c r="N4" s="139"/>
      <c r="O4" s="139"/>
    </row>
    <row r="5" spans="1:15" ht="18.75" x14ac:dyDescent="0.25">
      <c r="A5" s="809"/>
      <c r="B5" s="810"/>
      <c r="C5" s="811"/>
      <c r="D5" s="811"/>
      <c r="E5" s="811"/>
      <c r="F5" s="811"/>
      <c r="G5" s="811"/>
      <c r="H5" s="811"/>
      <c r="I5" s="812"/>
      <c r="J5" s="139"/>
      <c r="K5" s="139"/>
      <c r="L5" s="139"/>
      <c r="M5" s="139"/>
      <c r="N5" s="139"/>
      <c r="O5" s="139"/>
    </row>
    <row r="6" spans="1:15" ht="18.75" x14ac:dyDescent="0.25">
      <c r="A6" s="816" t="s">
        <v>1205</v>
      </c>
      <c r="B6" s="817"/>
      <c r="C6" s="18"/>
      <c r="D6" s="18"/>
      <c r="E6" s="18"/>
      <c r="F6" s="18"/>
      <c r="G6" s="18"/>
      <c r="H6" s="18"/>
      <c r="I6" s="812"/>
      <c r="J6" s="139"/>
      <c r="K6" s="139"/>
      <c r="L6" s="139"/>
      <c r="M6" s="139"/>
      <c r="N6" s="139"/>
      <c r="O6" s="139"/>
    </row>
    <row r="7" spans="1:15" x14ac:dyDescent="0.25">
      <c r="A7" s="18"/>
      <c r="B7" s="19"/>
      <c r="C7" s="18"/>
      <c r="D7" s="18"/>
      <c r="E7" s="18"/>
      <c r="F7" s="18"/>
      <c r="G7" s="18"/>
      <c r="H7" s="18"/>
      <c r="I7" s="812"/>
      <c r="J7" s="139"/>
      <c r="K7" s="139"/>
      <c r="L7" s="139"/>
      <c r="M7" s="139"/>
      <c r="N7" s="829"/>
      <c r="O7" s="139"/>
    </row>
    <row r="8" spans="1:15" ht="15.75" x14ac:dyDescent="0.25">
      <c r="A8" s="899" t="s">
        <v>1274</v>
      </c>
      <c r="B8" s="810"/>
      <c r="C8" s="811"/>
      <c r="D8" s="811"/>
      <c r="E8" s="811"/>
      <c r="F8" s="811"/>
      <c r="G8" s="811"/>
      <c r="H8" s="811"/>
      <c r="I8" s="906">
        <f>(337234761.88+157079.2+1527000-105431.02+38951000+11364000-141000+1780000+462000+4228248.6+11876508.48)/1000</f>
        <v>407334.16714000003</v>
      </c>
      <c r="J8" s="818" t="s">
        <v>1206</v>
      </c>
      <c r="K8" s="139"/>
      <c r="L8" s="139"/>
      <c r="M8" s="139"/>
      <c r="N8" s="829"/>
      <c r="O8" s="139"/>
    </row>
    <row r="9" spans="1:15" ht="19.5" thickBot="1" x14ac:dyDescent="0.3">
      <c r="A9" s="813" t="s">
        <v>1207</v>
      </c>
      <c r="B9" s="810"/>
      <c r="C9" s="819"/>
      <c r="D9" s="820"/>
      <c r="E9" s="811"/>
      <c r="F9" s="811"/>
      <c r="G9" s="819"/>
      <c r="H9" s="821"/>
      <c r="I9" s="906">
        <f>G13*-1</f>
        <v>-407334</v>
      </c>
      <c r="J9" s="822"/>
      <c r="K9" s="139"/>
      <c r="L9" s="823"/>
      <c r="M9" s="139"/>
      <c r="N9" s="829"/>
      <c r="O9" s="139"/>
    </row>
    <row r="10" spans="1:15" x14ac:dyDescent="0.25">
      <c r="A10" s="2516" t="s">
        <v>740</v>
      </c>
      <c r="B10" s="2519" t="s">
        <v>479</v>
      </c>
      <c r="C10" s="2522" t="s">
        <v>741</v>
      </c>
      <c r="D10" s="2523"/>
      <c r="E10" s="2522" t="s">
        <v>742</v>
      </c>
      <c r="F10" s="2523"/>
      <c r="G10" s="2522" t="s">
        <v>743</v>
      </c>
      <c r="H10" s="2523"/>
      <c r="I10" s="907">
        <f>SUM(I8:I9)</f>
        <v>0.16714000003412366</v>
      </c>
      <c r="J10" s="909" t="s">
        <v>1330</v>
      </c>
      <c r="K10" s="908"/>
      <c r="L10" s="824"/>
      <c r="M10" s="824"/>
      <c r="N10" s="829">
        <f>141-51</f>
        <v>90</v>
      </c>
      <c r="O10" s="139"/>
    </row>
    <row r="11" spans="1:15" x14ac:dyDescent="0.25">
      <c r="A11" s="2517"/>
      <c r="B11" s="2520"/>
      <c r="C11" s="825" t="s">
        <v>744</v>
      </c>
      <c r="D11" s="825" t="s">
        <v>480</v>
      </c>
      <c r="E11" s="825" t="s">
        <v>641</v>
      </c>
      <c r="F11" s="825" t="s">
        <v>480</v>
      </c>
      <c r="G11" s="825" t="s">
        <v>641</v>
      </c>
      <c r="H11" s="825" t="s">
        <v>480</v>
      </c>
      <c r="I11" s="826" t="s">
        <v>1208</v>
      </c>
      <c r="J11" s="1145" t="s">
        <v>1209</v>
      </c>
      <c r="K11" s="1145"/>
      <c r="L11" s="1145"/>
      <c r="M11" s="139"/>
      <c r="N11" s="829"/>
      <c r="O11" s="139"/>
    </row>
    <row r="12" spans="1:15" ht="15.75" thickBot="1" x14ac:dyDescent="0.3">
      <c r="A12" s="2518"/>
      <c r="B12" s="2521"/>
      <c r="C12" s="827">
        <v>1</v>
      </c>
      <c r="D12" s="827">
        <v>2</v>
      </c>
      <c r="E12" s="827">
        <v>3</v>
      </c>
      <c r="F12" s="827">
        <v>4</v>
      </c>
      <c r="G12" s="827">
        <v>5</v>
      </c>
      <c r="H12" s="827">
        <v>6</v>
      </c>
      <c r="I12" s="828"/>
      <c r="J12" s="829"/>
      <c r="K12" s="829"/>
      <c r="L12" s="139"/>
      <c r="M12" s="139"/>
      <c r="N12" s="829"/>
      <c r="O12" s="139"/>
    </row>
    <row r="13" spans="1:15" x14ac:dyDescent="0.25">
      <c r="A13" s="830" t="s">
        <v>1210</v>
      </c>
      <c r="B13" s="831">
        <v>1</v>
      </c>
      <c r="C13" s="832">
        <f t="shared" ref="C13:H13" si="0">C14+C39</f>
        <v>354777</v>
      </c>
      <c r="D13" s="832">
        <f t="shared" si="0"/>
        <v>354620</v>
      </c>
      <c r="E13" s="832">
        <f t="shared" si="0"/>
        <v>52557</v>
      </c>
      <c r="F13" s="832">
        <f t="shared" si="0"/>
        <v>52557</v>
      </c>
      <c r="G13" s="832">
        <f t="shared" si="0"/>
        <v>407334</v>
      </c>
      <c r="H13" s="832">
        <f t="shared" si="0"/>
        <v>407177</v>
      </c>
      <c r="I13" s="18" t="s">
        <v>1211</v>
      </c>
      <c r="J13" s="1033">
        <f>C13-D13</f>
        <v>157</v>
      </c>
      <c r="K13" s="833">
        <f>E13-F13</f>
        <v>0</v>
      </c>
      <c r="L13" s="834" t="s">
        <v>1212</v>
      </c>
      <c r="M13" s="834"/>
      <c r="N13" s="829"/>
      <c r="O13" s="139"/>
    </row>
    <row r="14" spans="1:15" x14ac:dyDescent="0.25">
      <c r="A14" s="835" t="s">
        <v>1213</v>
      </c>
      <c r="B14" s="836">
        <f t="shared" ref="B14:B41" si="1">B13+1</f>
        <v>2</v>
      </c>
      <c r="C14" s="837">
        <f t="shared" ref="C14:H14" si="2">C15+C25+C32</f>
        <v>346737</v>
      </c>
      <c r="D14" s="837">
        <f t="shared" si="2"/>
        <v>346580</v>
      </c>
      <c r="E14" s="837">
        <f t="shared" si="2"/>
        <v>52557</v>
      </c>
      <c r="F14" s="837">
        <f t="shared" si="2"/>
        <v>52557</v>
      </c>
      <c r="G14" s="837">
        <f t="shared" si="2"/>
        <v>399294</v>
      </c>
      <c r="H14" s="837">
        <f t="shared" si="2"/>
        <v>399137</v>
      </c>
      <c r="I14" s="838" t="s">
        <v>1214</v>
      </c>
      <c r="J14" s="839">
        <f t="shared" ref="J14:J62" si="3">C14-D14</f>
        <v>157</v>
      </c>
      <c r="K14" s="839">
        <f t="shared" ref="K14:K62" si="4">E14-F14</f>
        <v>0</v>
      </c>
      <c r="L14" s="139"/>
      <c r="M14" s="139"/>
      <c r="N14" s="829"/>
      <c r="O14" s="139"/>
    </row>
    <row r="15" spans="1:15" x14ac:dyDescent="0.25">
      <c r="A15" s="840" t="s">
        <v>1215</v>
      </c>
      <c r="B15" s="841">
        <f t="shared" si="1"/>
        <v>3</v>
      </c>
      <c r="C15" s="842">
        <f t="shared" ref="C15:H15" si="5">C16+C19</f>
        <v>319784</v>
      </c>
      <c r="D15" s="842">
        <f t="shared" si="5"/>
        <v>319733</v>
      </c>
      <c r="E15" s="842">
        <f t="shared" si="5"/>
        <v>41193</v>
      </c>
      <c r="F15" s="842">
        <f t="shared" si="5"/>
        <v>41193</v>
      </c>
      <c r="G15" s="842">
        <f t="shared" si="5"/>
        <v>360977</v>
      </c>
      <c r="H15" s="842">
        <f t="shared" si="5"/>
        <v>360926</v>
      </c>
      <c r="I15" s="838" t="s">
        <v>1216</v>
      </c>
      <c r="J15" s="839">
        <f t="shared" si="3"/>
        <v>51</v>
      </c>
      <c r="K15" s="839">
        <f t="shared" si="4"/>
        <v>0</v>
      </c>
      <c r="L15" s="139"/>
      <c r="M15" s="139"/>
      <c r="N15" s="829"/>
      <c r="O15" s="139"/>
    </row>
    <row r="16" spans="1:15" x14ac:dyDescent="0.25">
      <c r="A16" s="843" t="s">
        <v>1217</v>
      </c>
      <c r="B16" s="844">
        <f t="shared" si="1"/>
        <v>4</v>
      </c>
      <c r="C16" s="845">
        <f t="shared" ref="C16:H16" si="6">C17+C18</f>
        <v>0</v>
      </c>
      <c r="D16" s="845">
        <f t="shared" si="6"/>
        <v>0</v>
      </c>
      <c r="E16" s="845">
        <f t="shared" si="6"/>
        <v>0</v>
      </c>
      <c r="F16" s="845">
        <f t="shared" si="6"/>
        <v>0</v>
      </c>
      <c r="G16" s="845">
        <f t="shared" si="6"/>
        <v>0</v>
      </c>
      <c r="H16" s="845">
        <f t="shared" si="6"/>
        <v>0</v>
      </c>
      <c r="I16" s="846" t="s">
        <v>1218</v>
      </c>
      <c r="J16" s="839">
        <f t="shared" si="3"/>
        <v>0</v>
      </c>
      <c r="K16" s="839">
        <f t="shared" si="4"/>
        <v>0</v>
      </c>
      <c r="L16" s="139"/>
      <c r="M16" s="139"/>
      <c r="N16" s="829"/>
      <c r="O16" s="139"/>
    </row>
    <row r="17" spans="1:23" x14ac:dyDescent="0.25">
      <c r="A17" s="847" t="s">
        <v>747</v>
      </c>
      <c r="B17" s="848">
        <f t="shared" si="1"/>
        <v>5</v>
      </c>
      <c r="C17" s="849"/>
      <c r="D17" s="849"/>
      <c r="E17" s="849"/>
      <c r="F17" s="849"/>
      <c r="G17" s="850">
        <f>C17+E17</f>
        <v>0</v>
      </c>
      <c r="H17" s="850">
        <f>D17+F17</f>
        <v>0</v>
      </c>
      <c r="I17" s="838"/>
      <c r="J17" s="839">
        <f t="shared" si="3"/>
        <v>0</v>
      </c>
      <c r="K17" s="839">
        <f t="shared" si="4"/>
        <v>0</v>
      </c>
      <c r="L17" s="139"/>
      <c r="M17" s="139"/>
      <c r="N17" s="829"/>
      <c r="O17" s="139"/>
    </row>
    <row r="18" spans="1:23" x14ac:dyDescent="0.25">
      <c r="A18" s="847" t="s">
        <v>748</v>
      </c>
      <c r="B18" s="848">
        <f t="shared" si="1"/>
        <v>6</v>
      </c>
      <c r="C18" s="849"/>
      <c r="D18" s="849"/>
      <c r="E18" s="849"/>
      <c r="F18" s="849"/>
      <c r="G18" s="850">
        <f>C18+E18</f>
        <v>0</v>
      </c>
      <c r="H18" s="850">
        <f>D18+F18</f>
        <v>0</v>
      </c>
      <c r="I18" s="838"/>
      <c r="J18" s="839">
        <f t="shared" si="3"/>
        <v>0</v>
      </c>
      <c r="K18" s="839">
        <f t="shared" si="4"/>
        <v>0</v>
      </c>
      <c r="L18" s="139"/>
      <c r="M18" s="139"/>
      <c r="N18" s="829"/>
      <c r="O18" s="139"/>
    </row>
    <row r="19" spans="1:23" x14ac:dyDescent="0.25">
      <c r="A19" s="851" t="s">
        <v>1219</v>
      </c>
      <c r="B19" s="844">
        <f t="shared" si="1"/>
        <v>7</v>
      </c>
      <c r="C19" s="845">
        <f t="shared" ref="C19:H19" si="7">C20+C24</f>
        <v>319784</v>
      </c>
      <c r="D19" s="845">
        <f t="shared" si="7"/>
        <v>319733</v>
      </c>
      <c r="E19" s="845">
        <f t="shared" si="7"/>
        <v>41193</v>
      </c>
      <c r="F19" s="845">
        <f t="shared" si="7"/>
        <v>41193</v>
      </c>
      <c r="G19" s="845">
        <f t="shared" si="7"/>
        <v>360977</v>
      </c>
      <c r="H19" s="845">
        <f t="shared" si="7"/>
        <v>360926</v>
      </c>
      <c r="I19" s="838" t="s">
        <v>1220</v>
      </c>
      <c r="J19" s="839">
        <f t="shared" si="3"/>
        <v>51</v>
      </c>
      <c r="K19" s="839">
        <f t="shared" si="4"/>
        <v>0</v>
      </c>
      <c r="L19" s="139"/>
      <c r="M19" s="139"/>
      <c r="N19" s="829"/>
      <c r="O19" s="139"/>
    </row>
    <row r="20" spans="1:23" x14ac:dyDescent="0.25">
      <c r="A20" s="847" t="s">
        <v>747</v>
      </c>
      <c r="B20" s="844">
        <f t="shared" si="1"/>
        <v>8</v>
      </c>
      <c r="C20" s="849">
        <f t="shared" ref="C20:H20" si="8">C21+C22+C23</f>
        <v>302537</v>
      </c>
      <c r="D20" s="849">
        <f t="shared" si="8"/>
        <v>302486</v>
      </c>
      <c r="E20" s="849">
        <f t="shared" si="8"/>
        <v>40893</v>
      </c>
      <c r="F20" s="849">
        <f t="shared" si="8"/>
        <v>40893</v>
      </c>
      <c r="G20" s="849">
        <f t="shared" si="8"/>
        <v>343430</v>
      </c>
      <c r="H20" s="849">
        <f t="shared" si="8"/>
        <v>343379</v>
      </c>
      <c r="I20" s="852" t="s">
        <v>1221</v>
      </c>
      <c r="J20" s="839">
        <f t="shared" si="3"/>
        <v>51</v>
      </c>
      <c r="K20" s="839">
        <f t="shared" si="4"/>
        <v>0</v>
      </c>
      <c r="L20" s="139"/>
      <c r="M20" s="139"/>
      <c r="N20" s="829"/>
      <c r="O20" s="139"/>
    </row>
    <row r="21" spans="1:23" x14ac:dyDescent="0.25">
      <c r="A21" s="1139" t="s">
        <v>1222</v>
      </c>
      <c r="B21" s="1140">
        <f t="shared" si="1"/>
        <v>9</v>
      </c>
      <c r="C21" s="1141">
        <f>291721+633</f>
        <v>292354</v>
      </c>
      <c r="D21" s="1141">
        <f>291721+633</f>
        <v>292354</v>
      </c>
      <c r="E21" s="1141">
        <f>1780</f>
        <v>1780</v>
      </c>
      <c r="F21" s="1141">
        <v>1780</v>
      </c>
      <c r="G21" s="1141">
        <f t="shared" ref="G21:H24" si="9">C21+E21</f>
        <v>294134</v>
      </c>
      <c r="H21" s="1141">
        <f t="shared" si="9"/>
        <v>294134</v>
      </c>
      <c r="I21" s="1034" t="s">
        <v>1305</v>
      </c>
      <c r="J21" s="853">
        <f t="shared" si="3"/>
        <v>0</v>
      </c>
      <c r="K21" s="853">
        <f t="shared" si="4"/>
        <v>0</v>
      </c>
      <c r="L21" s="139"/>
      <c r="M21" s="139"/>
      <c r="N21" s="829"/>
      <c r="O21" s="139"/>
    </row>
    <row r="22" spans="1:23" x14ac:dyDescent="0.25">
      <c r="A22" s="854" t="s">
        <v>1223</v>
      </c>
      <c r="B22" s="855">
        <f t="shared" si="1"/>
        <v>10</v>
      </c>
      <c r="C22" s="856">
        <v>0</v>
      </c>
      <c r="D22" s="856">
        <v>0</v>
      </c>
      <c r="E22" s="856">
        <f>38951</f>
        <v>38951</v>
      </c>
      <c r="F22" s="856">
        <v>38951</v>
      </c>
      <c r="G22" s="856">
        <f t="shared" si="9"/>
        <v>38951</v>
      </c>
      <c r="H22" s="856">
        <f t="shared" si="9"/>
        <v>38951</v>
      </c>
      <c r="I22" s="857" t="s">
        <v>1224</v>
      </c>
      <c r="J22" s="839">
        <f t="shared" si="3"/>
        <v>0</v>
      </c>
      <c r="K22" s="839">
        <f t="shared" si="4"/>
        <v>0</v>
      </c>
      <c r="L22" s="139"/>
      <c r="M22" s="139"/>
      <c r="N22" s="829"/>
      <c r="O22" s="139"/>
    </row>
    <row r="23" spans="1:23" x14ac:dyDescent="0.25">
      <c r="A23" s="1139" t="s">
        <v>1225</v>
      </c>
      <c r="B23" s="1140">
        <f t="shared" si="1"/>
        <v>11</v>
      </c>
      <c r="C23" s="1141">
        <f>9389+794</f>
        <v>10183</v>
      </c>
      <c r="D23" s="1141">
        <f>9338+794</f>
        <v>10132</v>
      </c>
      <c r="E23" s="1141">
        <v>162</v>
      </c>
      <c r="F23" s="1141">
        <v>162</v>
      </c>
      <c r="G23" s="1142">
        <f t="shared" si="9"/>
        <v>10345</v>
      </c>
      <c r="H23" s="1142">
        <f t="shared" si="9"/>
        <v>10294</v>
      </c>
      <c r="I23" s="852" t="s">
        <v>1275</v>
      </c>
      <c r="J23" s="1032">
        <f t="shared" si="3"/>
        <v>51</v>
      </c>
      <c r="K23" s="858">
        <f t="shared" si="4"/>
        <v>0</v>
      </c>
      <c r="L23" s="859" t="s">
        <v>1226</v>
      </c>
      <c r="M23" s="859"/>
      <c r="N23" s="829"/>
      <c r="O23" s="139"/>
    </row>
    <row r="24" spans="1:23" x14ac:dyDescent="0.25">
      <c r="A24" s="1143" t="s">
        <v>748</v>
      </c>
      <c r="B24" s="1140">
        <f t="shared" si="1"/>
        <v>12</v>
      </c>
      <c r="C24" s="1144">
        <v>17247</v>
      </c>
      <c r="D24" s="1144">
        <v>17247</v>
      </c>
      <c r="E24" s="1144">
        <v>300</v>
      </c>
      <c r="F24" s="1144">
        <v>300</v>
      </c>
      <c r="G24" s="1144">
        <f t="shared" si="9"/>
        <v>17547</v>
      </c>
      <c r="H24" s="1144">
        <f t="shared" si="9"/>
        <v>17547</v>
      </c>
      <c r="I24" s="862"/>
      <c r="J24" s="839">
        <f t="shared" si="3"/>
        <v>0</v>
      </c>
      <c r="K24" s="858">
        <f t="shared" si="4"/>
        <v>0</v>
      </c>
      <c r="L24" s="859" t="s">
        <v>1226</v>
      </c>
      <c r="M24" s="139"/>
      <c r="N24" s="829"/>
      <c r="O24" s="139"/>
    </row>
    <row r="25" spans="1:23" x14ac:dyDescent="0.25">
      <c r="A25" s="840" t="s">
        <v>1227</v>
      </c>
      <c r="B25" s="841">
        <f t="shared" si="1"/>
        <v>13</v>
      </c>
      <c r="C25" s="842">
        <f t="shared" ref="C25:H25" si="10">C26+C29</f>
        <v>25116</v>
      </c>
      <c r="D25" s="842">
        <f t="shared" si="10"/>
        <v>25010</v>
      </c>
      <c r="E25" s="842">
        <f t="shared" si="10"/>
        <v>11364</v>
      </c>
      <c r="F25" s="842">
        <f t="shared" si="10"/>
        <v>11364</v>
      </c>
      <c r="G25" s="842">
        <f t="shared" si="10"/>
        <v>36480</v>
      </c>
      <c r="H25" s="842">
        <f t="shared" si="10"/>
        <v>36374</v>
      </c>
      <c r="I25" s="838" t="s">
        <v>1228</v>
      </c>
      <c r="J25" s="839">
        <f t="shared" si="3"/>
        <v>106</v>
      </c>
      <c r="K25" s="839">
        <f t="shared" si="4"/>
        <v>0</v>
      </c>
      <c r="L25" s="139"/>
      <c r="M25" s="139"/>
      <c r="N25" s="829"/>
      <c r="O25" s="139"/>
    </row>
    <row r="26" spans="1:23" x14ac:dyDescent="0.25">
      <c r="A26" s="843" t="s">
        <v>1229</v>
      </c>
      <c r="B26" s="844">
        <f t="shared" si="1"/>
        <v>14</v>
      </c>
      <c r="C26" s="845">
        <f t="shared" ref="C26:H26" si="11">C27+C28</f>
        <v>0</v>
      </c>
      <c r="D26" s="845">
        <f t="shared" si="11"/>
        <v>0</v>
      </c>
      <c r="E26" s="845">
        <f t="shared" si="11"/>
        <v>0</v>
      </c>
      <c r="F26" s="845">
        <f t="shared" si="11"/>
        <v>0</v>
      </c>
      <c r="G26" s="845">
        <f t="shared" si="11"/>
        <v>0</v>
      </c>
      <c r="H26" s="845">
        <f t="shared" si="11"/>
        <v>0</v>
      </c>
      <c r="I26" s="838" t="s">
        <v>1230</v>
      </c>
      <c r="J26" s="839">
        <f t="shared" si="3"/>
        <v>0</v>
      </c>
      <c r="K26" s="839">
        <f t="shared" si="4"/>
        <v>0</v>
      </c>
      <c r="L26" s="139"/>
      <c r="M26" s="139"/>
      <c r="N26" s="829"/>
      <c r="O26" s="139"/>
    </row>
    <row r="27" spans="1:23" x14ac:dyDescent="0.25">
      <c r="A27" s="847" t="s">
        <v>747</v>
      </c>
      <c r="B27" s="844">
        <f t="shared" si="1"/>
        <v>15</v>
      </c>
      <c r="C27" s="849"/>
      <c r="D27" s="849"/>
      <c r="E27" s="849"/>
      <c r="F27" s="849"/>
      <c r="G27" s="850">
        <f>C27+E27</f>
        <v>0</v>
      </c>
      <c r="H27" s="850">
        <f>D27+F27</f>
        <v>0</v>
      </c>
      <c r="I27" s="838"/>
      <c r="J27" s="839">
        <f t="shared" si="3"/>
        <v>0</v>
      </c>
      <c r="K27" s="839">
        <f t="shared" si="4"/>
        <v>0</v>
      </c>
      <c r="L27" s="139"/>
      <c r="M27" s="139"/>
      <c r="N27" s="829"/>
      <c r="O27" s="139"/>
    </row>
    <row r="28" spans="1:23" x14ac:dyDescent="0.25">
      <c r="A28" s="847" t="s">
        <v>748</v>
      </c>
      <c r="B28" s="844">
        <f t="shared" si="1"/>
        <v>16</v>
      </c>
      <c r="C28" s="849"/>
      <c r="D28" s="849"/>
      <c r="E28" s="849"/>
      <c r="F28" s="849"/>
      <c r="G28" s="850">
        <f>C28+E28</f>
        <v>0</v>
      </c>
      <c r="H28" s="850">
        <f>D28+F28</f>
        <v>0</v>
      </c>
      <c r="I28" s="838"/>
      <c r="J28" s="839">
        <f t="shared" si="3"/>
        <v>0</v>
      </c>
      <c r="K28" s="839">
        <f t="shared" si="4"/>
        <v>0</v>
      </c>
      <c r="L28" s="139"/>
      <c r="M28" s="139"/>
      <c r="N28" s="829"/>
      <c r="O28" s="139"/>
    </row>
    <row r="29" spans="1:23" x14ac:dyDescent="0.25">
      <c r="A29" s="851" t="s">
        <v>1219</v>
      </c>
      <c r="B29" s="844">
        <f t="shared" si="1"/>
        <v>17</v>
      </c>
      <c r="C29" s="845">
        <f t="shared" ref="C29:H29" si="12">C30+C31</f>
        <v>25116</v>
      </c>
      <c r="D29" s="845">
        <f t="shared" si="12"/>
        <v>25010</v>
      </c>
      <c r="E29" s="845">
        <f t="shared" si="12"/>
        <v>11364</v>
      </c>
      <c r="F29" s="845">
        <f t="shared" si="12"/>
        <v>11364</v>
      </c>
      <c r="G29" s="845">
        <f t="shared" si="12"/>
        <v>36480</v>
      </c>
      <c r="H29" s="845">
        <f t="shared" si="12"/>
        <v>36374</v>
      </c>
      <c r="I29" s="838" t="s">
        <v>1231</v>
      </c>
      <c r="J29" s="863">
        <f t="shared" si="3"/>
        <v>106</v>
      </c>
      <c r="K29" s="863">
        <f t="shared" si="4"/>
        <v>0</v>
      </c>
      <c r="L29" s="864" t="s">
        <v>1232</v>
      </c>
      <c r="M29" s="864"/>
      <c r="N29" s="829"/>
      <c r="O29" s="139"/>
    </row>
    <row r="30" spans="1:23" x14ac:dyDescent="0.25">
      <c r="A30" s="847" t="s">
        <v>747</v>
      </c>
      <c r="B30" s="844">
        <f t="shared" si="1"/>
        <v>18</v>
      </c>
      <c r="C30" s="849">
        <f>5622</f>
        <v>5622</v>
      </c>
      <c r="D30" s="849">
        <f>5622</f>
        <v>5622</v>
      </c>
      <c r="E30" s="849">
        <v>0</v>
      </c>
      <c r="F30" s="849">
        <v>0</v>
      </c>
      <c r="G30" s="850">
        <f>C30+E30</f>
        <v>5622</v>
      </c>
      <c r="H30" s="850">
        <f>D30+F30</f>
        <v>5622</v>
      </c>
      <c r="I30" s="901" t="s">
        <v>1276</v>
      </c>
      <c r="J30" s="858">
        <f t="shared" si="3"/>
        <v>0</v>
      </c>
      <c r="K30" s="839">
        <f t="shared" si="4"/>
        <v>0</v>
      </c>
      <c r="L30" s="865"/>
      <c r="M30" s="139"/>
      <c r="N30" s="829">
        <f>4938433+683480</f>
        <v>5621913</v>
      </c>
      <c r="O30" s="905">
        <f>N30/1000</f>
        <v>5621.9129999999996</v>
      </c>
    </row>
    <row r="31" spans="1:23" ht="15.75" x14ac:dyDescent="0.25">
      <c r="A31" s="1135" t="s">
        <v>748</v>
      </c>
      <c r="B31" s="1136">
        <f t="shared" si="1"/>
        <v>19</v>
      </c>
      <c r="C31" s="1137">
        <v>19494</v>
      </c>
      <c r="D31" s="1138">
        <f>19494-106</f>
        <v>19388</v>
      </c>
      <c r="E31" s="849">
        <f>11364</f>
        <v>11364</v>
      </c>
      <c r="F31" s="849">
        <v>11364</v>
      </c>
      <c r="G31" s="850">
        <f>C31+E31</f>
        <v>30858</v>
      </c>
      <c r="H31" s="850">
        <f>D31+F31</f>
        <v>30752</v>
      </c>
      <c r="I31" s="866" t="s">
        <v>1233</v>
      </c>
      <c r="J31" s="1036">
        <f t="shared" si="3"/>
        <v>106</v>
      </c>
      <c r="K31" s="867">
        <f t="shared" si="4"/>
        <v>0</v>
      </c>
      <c r="L31" s="868"/>
      <c r="M31" s="868"/>
      <c r="N31" s="1029">
        <f>1307000+20050000-11364000+9501000</f>
        <v>19494000</v>
      </c>
      <c r="O31" s="1030">
        <f t="shared" ref="O31:O42" si="13">N31/1000</f>
        <v>19494</v>
      </c>
      <c r="P31" s="1031"/>
      <c r="S31" s="829">
        <v>20050000</v>
      </c>
      <c r="W31" s="829">
        <v>20050000</v>
      </c>
    </row>
    <row r="32" spans="1:23" x14ac:dyDescent="0.25">
      <c r="A32" s="840" t="s">
        <v>1234</v>
      </c>
      <c r="B32" s="841">
        <f t="shared" si="1"/>
        <v>20</v>
      </c>
      <c r="C32" s="842">
        <f t="shared" ref="C32:H32" si="14">C33+C36</f>
        <v>1837</v>
      </c>
      <c r="D32" s="842">
        <f>D33+D36</f>
        <v>1837</v>
      </c>
      <c r="E32" s="842">
        <f t="shared" si="14"/>
        <v>0</v>
      </c>
      <c r="F32" s="842">
        <f t="shared" si="14"/>
        <v>0</v>
      </c>
      <c r="G32" s="842">
        <f t="shared" si="14"/>
        <v>1837</v>
      </c>
      <c r="H32" s="842">
        <f t="shared" si="14"/>
        <v>1837</v>
      </c>
      <c r="I32" s="838" t="s">
        <v>1235</v>
      </c>
      <c r="J32" s="839">
        <f t="shared" si="3"/>
        <v>0</v>
      </c>
      <c r="K32" s="839">
        <f t="shared" si="4"/>
        <v>0</v>
      </c>
      <c r="L32" s="139"/>
      <c r="M32" s="139"/>
      <c r="N32" s="1029">
        <f>1527000-105639.67</f>
        <v>1421360.33</v>
      </c>
      <c r="O32" s="1030">
        <f t="shared" si="13"/>
        <v>1421.36033</v>
      </c>
      <c r="P32" s="1037" t="s">
        <v>1306</v>
      </c>
      <c r="S32" s="829">
        <v>-18187000</v>
      </c>
      <c r="W32" s="829">
        <v>-18187000</v>
      </c>
    </row>
    <row r="33" spans="1:25" x14ac:dyDescent="0.25">
      <c r="A33" s="843" t="s">
        <v>1229</v>
      </c>
      <c r="B33" s="844">
        <f t="shared" si="1"/>
        <v>21</v>
      </c>
      <c r="C33" s="845">
        <f t="shared" ref="C33:H33" si="15">C34+C35</f>
        <v>1332</v>
      </c>
      <c r="D33" s="845">
        <f t="shared" si="15"/>
        <v>1332</v>
      </c>
      <c r="E33" s="845">
        <f t="shared" si="15"/>
        <v>0</v>
      </c>
      <c r="F33" s="845">
        <f t="shared" si="15"/>
        <v>0</v>
      </c>
      <c r="G33" s="845">
        <f t="shared" si="15"/>
        <v>1332</v>
      </c>
      <c r="H33" s="845">
        <f t="shared" si="15"/>
        <v>1332</v>
      </c>
      <c r="I33" s="838" t="s">
        <v>1236</v>
      </c>
      <c r="J33" s="839">
        <f t="shared" si="3"/>
        <v>0</v>
      </c>
      <c r="K33" s="839">
        <f t="shared" si="4"/>
        <v>0</v>
      </c>
      <c r="L33" s="139"/>
      <c r="M33" s="139"/>
      <c r="N33" s="829"/>
      <c r="O33" s="905">
        <f t="shared" si="13"/>
        <v>0</v>
      </c>
      <c r="S33" s="1035">
        <f>SUM(S31:S32)</f>
        <v>1863000</v>
      </c>
      <c r="W33" s="1035">
        <f>SUM(W31:W32)</f>
        <v>1863000</v>
      </c>
    </row>
    <row r="34" spans="1:25" x14ac:dyDescent="0.25">
      <c r="A34" s="847" t="s">
        <v>747</v>
      </c>
      <c r="B34" s="844">
        <f t="shared" si="1"/>
        <v>22</v>
      </c>
      <c r="C34" s="849">
        <v>1332</v>
      </c>
      <c r="D34" s="849">
        <v>1332</v>
      </c>
      <c r="E34" s="849">
        <v>0</v>
      </c>
      <c r="F34" s="849">
        <v>0</v>
      </c>
      <c r="G34" s="850">
        <f>C34+E34</f>
        <v>1332</v>
      </c>
      <c r="H34" s="850">
        <f>D34+F34</f>
        <v>1332</v>
      </c>
      <c r="I34" s="869" t="s">
        <v>1237</v>
      </c>
      <c r="J34" s="858">
        <f t="shared" si="3"/>
        <v>0</v>
      </c>
      <c r="K34" s="839">
        <f t="shared" si="4"/>
        <v>0</v>
      </c>
      <c r="L34" s="904" t="s">
        <v>1277</v>
      </c>
      <c r="M34" s="829"/>
      <c r="N34" s="829">
        <f>1332377.21</f>
        <v>1332377.21</v>
      </c>
      <c r="O34" s="905">
        <f t="shared" si="13"/>
        <v>1332.3772099999999</v>
      </c>
      <c r="W34" s="829">
        <v>-1527000</v>
      </c>
    </row>
    <row r="35" spans="1:25" x14ac:dyDescent="0.25">
      <c r="A35" s="847" t="s">
        <v>748</v>
      </c>
      <c r="B35" s="844">
        <f>B34+1</f>
        <v>23</v>
      </c>
      <c r="C35" s="849"/>
      <c r="D35" s="849"/>
      <c r="E35" s="849"/>
      <c r="F35" s="849"/>
      <c r="G35" s="850">
        <f>C35+E35</f>
        <v>0</v>
      </c>
      <c r="H35" s="850">
        <f>D35+F35</f>
        <v>0</v>
      </c>
      <c r="I35" s="838"/>
      <c r="J35" s="839">
        <f t="shared" si="3"/>
        <v>0</v>
      </c>
      <c r="K35" s="839">
        <f t="shared" si="4"/>
        <v>0</v>
      </c>
      <c r="L35" s="139"/>
      <c r="M35" s="139"/>
      <c r="N35" s="829"/>
      <c r="O35" s="905">
        <f t="shared" si="13"/>
        <v>0</v>
      </c>
      <c r="S35" s="829">
        <v>16495228</v>
      </c>
      <c r="T35" s="829">
        <v>140339</v>
      </c>
      <c r="W35" s="829">
        <f>SUM(W33:W34)</f>
        <v>336000</v>
      </c>
    </row>
    <row r="36" spans="1:25" x14ac:dyDescent="0.25">
      <c r="A36" s="851" t="s">
        <v>1219</v>
      </c>
      <c r="B36" s="844">
        <f t="shared" si="1"/>
        <v>24</v>
      </c>
      <c r="C36" s="845">
        <f t="shared" ref="C36:H36" si="16">C37+C38</f>
        <v>505</v>
      </c>
      <c r="D36" s="845">
        <f t="shared" si="16"/>
        <v>505</v>
      </c>
      <c r="E36" s="845">
        <f t="shared" si="16"/>
        <v>0</v>
      </c>
      <c r="F36" s="845">
        <f t="shared" si="16"/>
        <v>0</v>
      </c>
      <c r="G36" s="845">
        <f t="shared" si="16"/>
        <v>505</v>
      </c>
      <c r="H36" s="845">
        <f t="shared" si="16"/>
        <v>505</v>
      </c>
      <c r="I36" s="838" t="s">
        <v>1238</v>
      </c>
      <c r="J36" s="839">
        <f t="shared" si="3"/>
        <v>0</v>
      </c>
      <c r="K36" s="839">
        <f t="shared" si="4"/>
        <v>0</v>
      </c>
      <c r="L36" s="139"/>
      <c r="M36" s="139"/>
      <c r="N36" s="829"/>
      <c r="O36" s="905">
        <f t="shared" si="13"/>
        <v>0</v>
      </c>
      <c r="S36" s="829">
        <v>164562.85</v>
      </c>
      <c r="T36" s="829">
        <v>164562.85</v>
      </c>
      <c r="U36" s="829">
        <v>164562.85</v>
      </c>
    </row>
    <row r="37" spans="1:25" x14ac:dyDescent="0.25">
      <c r="A37" s="847" t="s">
        <v>747</v>
      </c>
      <c r="B37" s="844">
        <f t="shared" si="1"/>
        <v>25</v>
      </c>
      <c r="C37" s="849">
        <v>505</v>
      </c>
      <c r="D37" s="849">
        <v>505</v>
      </c>
      <c r="E37" s="849">
        <v>0</v>
      </c>
      <c r="F37" s="849">
        <v>0</v>
      </c>
      <c r="G37" s="850">
        <f>C37+E37</f>
        <v>505</v>
      </c>
      <c r="H37" s="850">
        <f>D37+F37</f>
        <v>505</v>
      </c>
      <c r="I37" s="866" t="s">
        <v>1239</v>
      </c>
      <c r="J37" s="839">
        <f t="shared" si="3"/>
        <v>0</v>
      </c>
      <c r="K37" s="839">
        <f t="shared" si="4"/>
        <v>0</v>
      </c>
      <c r="L37" s="139"/>
      <c r="M37" s="139"/>
      <c r="N37" s="829">
        <v>505000</v>
      </c>
      <c r="O37" s="905">
        <f t="shared" si="13"/>
        <v>505</v>
      </c>
      <c r="S37" s="829">
        <v>208.65</v>
      </c>
      <c r="T37" s="829">
        <v>208.65</v>
      </c>
      <c r="U37" s="829">
        <v>208.65</v>
      </c>
    </row>
    <row r="38" spans="1:25" x14ac:dyDescent="0.25">
      <c r="A38" s="847" t="s">
        <v>748</v>
      </c>
      <c r="B38" s="844">
        <f t="shared" si="1"/>
        <v>26</v>
      </c>
      <c r="C38" s="849"/>
      <c r="D38" s="849"/>
      <c r="E38" s="849"/>
      <c r="F38" s="849"/>
      <c r="G38" s="850">
        <f>C38+E38</f>
        <v>0</v>
      </c>
      <c r="H38" s="850">
        <f>D38+F38</f>
        <v>0</v>
      </c>
      <c r="I38" s="838"/>
      <c r="J38" s="839">
        <f t="shared" si="3"/>
        <v>0</v>
      </c>
      <c r="K38" s="839">
        <f t="shared" si="4"/>
        <v>0</v>
      </c>
      <c r="L38" s="139"/>
      <c r="M38" s="139"/>
      <c r="N38" s="829"/>
      <c r="O38" s="905">
        <f t="shared" si="13"/>
        <v>0</v>
      </c>
      <c r="S38" s="829">
        <v>1527000</v>
      </c>
      <c r="T38" s="829">
        <v>1527000</v>
      </c>
      <c r="U38" s="829">
        <v>1527000</v>
      </c>
    </row>
    <row r="39" spans="1:25" x14ac:dyDescent="0.25">
      <c r="A39" s="1146" t="s">
        <v>1240</v>
      </c>
      <c r="B39" s="836">
        <f t="shared" si="1"/>
        <v>27</v>
      </c>
      <c r="C39" s="870">
        <f t="shared" ref="C39:H39" si="17">C40+C41</f>
        <v>8040</v>
      </c>
      <c r="D39" s="870">
        <f>D40+D41</f>
        <v>8040</v>
      </c>
      <c r="E39" s="870">
        <f t="shared" si="17"/>
        <v>0</v>
      </c>
      <c r="F39" s="870">
        <f t="shared" si="17"/>
        <v>0</v>
      </c>
      <c r="G39" s="870">
        <f t="shared" si="17"/>
        <v>8040</v>
      </c>
      <c r="H39" s="870">
        <f t="shared" si="17"/>
        <v>8040</v>
      </c>
      <c r="I39" s="18" t="s">
        <v>1241</v>
      </c>
      <c r="J39" s="839">
        <f t="shared" si="3"/>
        <v>0</v>
      </c>
      <c r="K39" s="839">
        <f t="shared" si="4"/>
        <v>0</v>
      </c>
      <c r="L39" s="139"/>
      <c r="M39" s="139"/>
      <c r="N39" s="829"/>
      <c r="O39" s="905">
        <f t="shared" si="13"/>
        <v>0</v>
      </c>
      <c r="S39" s="1035">
        <f>SUM(S35:S38)</f>
        <v>18186999.5</v>
      </c>
      <c r="T39" s="1035">
        <f>SUM(T35:T38)</f>
        <v>1832110.5</v>
      </c>
      <c r="U39" s="1035">
        <f>SUM(U35:U38)</f>
        <v>1691771.5</v>
      </c>
    </row>
    <row r="40" spans="1:25" x14ac:dyDescent="0.25">
      <c r="A40" s="860" t="s">
        <v>747</v>
      </c>
      <c r="B40" s="844">
        <f t="shared" si="1"/>
        <v>28</v>
      </c>
      <c r="C40" s="861">
        <f>7831+157</f>
        <v>7988</v>
      </c>
      <c r="D40" s="845">
        <f>7831+157</f>
        <v>7988</v>
      </c>
      <c r="E40" s="845">
        <v>0</v>
      </c>
      <c r="F40" s="845">
        <v>0</v>
      </c>
      <c r="G40" s="845">
        <f>C40+E40</f>
        <v>7988</v>
      </c>
      <c r="H40" s="845">
        <f>D40+F40</f>
        <v>7988</v>
      </c>
      <c r="I40" s="1225" t="s">
        <v>1418</v>
      </c>
      <c r="J40" s="871">
        <f t="shared" si="3"/>
        <v>0</v>
      </c>
      <c r="K40" s="839">
        <f t="shared" si="4"/>
        <v>0</v>
      </c>
      <c r="L40" s="872" t="s">
        <v>1242</v>
      </c>
      <c r="M40" s="139"/>
      <c r="N40" s="829">
        <f>4228248.6+755157.25+157079.2+2847376.57</f>
        <v>7987861.6199999992</v>
      </c>
      <c r="O40" s="905">
        <f t="shared" si="13"/>
        <v>7987.8616199999988</v>
      </c>
      <c r="S40" s="829">
        <v>-20050000</v>
      </c>
    </row>
    <row r="41" spans="1:25" ht="15.75" thickBot="1" x14ac:dyDescent="0.3">
      <c r="A41" s="873" t="s">
        <v>748</v>
      </c>
      <c r="B41" s="874">
        <f t="shared" si="1"/>
        <v>29</v>
      </c>
      <c r="C41" s="875">
        <v>52</v>
      </c>
      <c r="D41" s="876">
        <v>52</v>
      </c>
      <c r="E41" s="876">
        <v>0</v>
      </c>
      <c r="F41" s="876">
        <v>0</v>
      </c>
      <c r="G41" s="876">
        <f>C41+E41</f>
        <v>52</v>
      </c>
      <c r="H41" s="876">
        <f>D41+F41</f>
        <v>52</v>
      </c>
      <c r="I41" s="877" t="s">
        <v>1243</v>
      </c>
      <c r="J41" s="878">
        <f t="shared" si="3"/>
        <v>0</v>
      </c>
      <c r="K41" s="839">
        <f t="shared" si="4"/>
        <v>0</v>
      </c>
      <c r="L41" s="879"/>
      <c r="M41" s="139"/>
      <c r="N41" s="829">
        <f>52460</f>
        <v>52460</v>
      </c>
      <c r="O41" s="905">
        <f t="shared" si="13"/>
        <v>52.46</v>
      </c>
      <c r="S41" s="829">
        <f>SUM(S39:S40)</f>
        <v>-1863000.5</v>
      </c>
    </row>
    <row r="42" spans="1:25" ht="15.75" thickBot="1" x14ac:dyDescent="0.3">
      <c r="A42" s="880"/>
      <c r="B42" s="880"/>
      <c r="C42" s="881"/>
      <c r="D42" s="881"/>
      <c r="E42" s="881"/>
      <c r="F42" s="881"/>
      <c r="G42" s="881"/>
      <c r="H42" s="881"/>
      <c r="I42" s="838"/>
      <c r="J42" s="839">
        <f t="shared" si="3"/>
        <v>0</v>
      </c>
      <c r="K42" s="839">
        <f t="shared" si="4"/>
        <v>0</v>
      </c>
      <c r="L42" s="139"/>
      <c r="M42" s="139"/>
      <c r="N42" s="829"/>
      <c r="O42" s="905">
        <f t="shared" si="13"/>
        <v>0</v>
      </c>
    </row>
    <row r="43" spans="1:25" x14ac:dyDescent="0.25">
      <c r="A43" s="830" t="s">
        <v>1244</v>
      </c>
      <c r="B43" s="831">
        <f>B41+1</f>
        <v>30</v>
      </c>
      <c r="C43" s="832">
        <f t="shared" ref="C43:H43" si="18">C44+C49</f>
        <v>354777</v>
      </c>
      <c r="D43" s="832">
        <f t="shared" si="18"/>
        <v>354620</v>
      </c>
      <c r="E43" s="832">
        <f t="shared" si="18"/>
        <v>52557</v>
      </c>
      <c r="F43" s="832">
        <f t="shared" si="18"/>
        <v>52557</v>
      </c>
      <c r="G43" s="832">
        <f t="shared" si="18"/>
        <v>407334</v>
      </c>
      <c r="H43" s="832">
        <f t="shared" si="18"/>
        <v>407177</v>
      </c>
      <c r="I43" s="18" t="s">
        <v>1245</v>
      </c>
      <c r="J43" s="839">
        <f t="shared" si="3"/>
        <v>157</v>
      </c>
      <c r="K43" s="839">
        <f t="shared" si="4"/>
        <v>0</v>
      </c>
      <c r="L43" s="139"/>
      <c r="M43" s="829"/>
      <c r="N43" s="829"/>
      <c r="O43" s="829"/>
      <c r="P43" s="829"/>
      <c r="Q43" s="829"/>
      <c r="R43" s="829"/>
      <c r="S43" s="829">
        <v>20050000</v>
      </c>
      <c r="T43" s="829"/>
      <c r="U43" s="829"/>
      <c r="V43" s="829"/>
      <c r="W43" s="829"/>
      <c r="X43" s="829"/>
      <c r="Y43" s="829"/>
    </row>
    <row r="44" spans="1:25" x14ac:dyDescent="0.25">
      <c r="A44" s="882" t="s">
        <v>1246</v>
      </c>
      <c r="B44" s="883">
        <f t="shared" ref="B44:B62" si="19">B43+1</f>
        <v>31</v>
      </c>
      <c r="C44" s="845">
        <f t="shared" ref="C44:H44" si="20">SUM(C45:C48)</f>
        <v>317984</v>
      </c>
      <c r="D44" s="845">
        <f t="shared" si="20"/>
        <v>317933</v>
      </c>
      <c r="E44" s="845">
        <f t="shared" si="20"/>
        <v>40893</v>
      </c>
      <c r="F44" s="845">
        <f t="shared" si="20"/>
        <v>40893</v>
      </c>
      <c r="G44" s="845">
        <f t="shared" si="20"/>
        <v>358877</v>
      </c>
      <c r="H44" s="845">
        <f t="shared" si="20"/>
        <v>358826</v>
      </c>
      <c r="I44" s="846" t="s">
        <v>1247</v>
      </c>
      <c r="J44" s="839">
        <f t="shared" si="3"/>
        <v>51</v>
      </c>
      <c r="K44" s="839">
        <f t="shared" si="4"/>
        <v>0</v>
      </c>
      <c r="L44" s="139"/>
      <c r="M44" s="829"/>
      <c r="N44" s="829"/>
      <c r="O44" s="829"/>
      <c r="P44" s="829"/>
      <c r="Q44" s="829"/>
      <c r="R44" s="829"/>
      <c r="S44" s="829">
        <v>-1527000</v>
      </c>
      <c r="T44" s="829"/>
      <c r="U44" s="829"/>
      <c r="V44" s="829"/>
      <c r="W44" s="829"/>
      <c r="X44" s="829"/>
      <c r="Y44" s="829"/>
    </row>
    <row r="45" spans="1:25" x14ac:dyDescent="0.25">
      <c r="A45" s="884" t="s">
        <v>1215</v>
      </c>
      <c r="B45" s="848">
        <f t="shared" si="19"/>
        <v>32</v>
      </c>
      <c r="C45" s="850">
        <f t="shared" ref="C45:H45" si="21">C17+C20</f>
        <v>302537</v>
      </c>
      <c r="D45" s="850">
        <f t="shared" si="21"/>
        <v>302486</v>
      </c>
      <c r="E45" s="850">
        <f t="shared" si="21"/>
        <v>40893</v>
      </c>
      <c r="F45" s="850">
        <f t="shared" si="21"/>
        <v>40893</v>
      </c>
      <c r="G45" s="850">
        <f t="shared" si="21"/>
        <v>343430</v>
      </c>
      <c r="H45" s="850">
        <f t="shared" si="21"/>
        <v>343379</v>
      </c>
      <c r="I45" s="846" t="s">
        <v>1248</v>
      </c>
      <c r="J45" s="858">
        <f t="shared" si="3"/>
        <v>51</v>
      </c>
      <c r="K45" s="839">
        <f t="shared" si="4"/>
        <v>0</v>
      </c>
      <c r="L45" s="139"/>
      <c r="M45" s="829"/>
      <c r="N45" s="829"/>
      <c r="O45" s="829"/>
      <c r="P45" s="829"/>
      <c r="Q45" s="829"/>
      <c r="R45" s="829"/>
      <c r="S45" s="829">
        <f>SUM(S43:S44)</f>
        <v>18523000</v>
      </c>
      <c r="T45" s="829"/>
      <c r="U45" s="829"/>
      <c r="V45" s="829"/>
      <c r="W45" s="829"/>
      <c r="X45" s="829"/>
      <c r="Y45" s="829"/>
    </row>
    <row r="46" spans="1:25" x14ac:dyDescent="0.25">
      <c r="A46" s="885" t="s">
        <v>1249</v>
      </c>
      <c r="B46" s="848">
        <f t="shared" si="19"/>
        <v>33</v>
      </c>
      <c r="C46" s="850">
        <f t="shared" ref="C46:H46" si="22">C27+C30</f>
        <v>5622</v>
      </c>
      <c r="D46" s="850">
        <f t="shared" si="22"/>
        <v>5622</v>
      </c>
      <c r="E46" s="850">
        <f t="shared" si="22"/>
        <v>0</v>
      </c>
      <c r="F46" s="850">
        <f t="shared" si="22"/>
        <v>0</v>
      </c>
      <c r="G46" s="850">
        <f t="shared" si="22"/>
        <v>5622</v>
      </c>
      <c r="H46" s="850">
        <f t="shared" si="22"/>
        <v>5622</v>
      </c>
      <c r="I46" s="846" t="s">
        <v>1250</v>
      </c>
      <c r="J46" s="858">
        <f t="shared" si="3"/>
        <v>0</v>
      </c>
      <c r="K46" s="839">
        <f t="shared" si="4"/>
        <v>0</v>
      </c>
      <c r="L46" s="139"/>
      <c r="M46" s="829"/>
      <c r="N46" s="829"/>
      <c r="O46" s="829"/>
      <c r="P46" s="829"/>
      <c r="Q46" s="829"/>
      <c r="R46" s="829"/>
      <c r="S46" s="829">
        <f>-18187000</f>
        <v>-18187000</v>
      </c>
      <c r="T46" s="829"/>
      <c r="U46" s="829"/>
      <c r="V46" s="829"/>
      <c r="W46" s="829"/>
      <c r="X46" s="829"/>
      <c r="Y46" s="829"/>
    </row>
    <row r="47" spans="1:25" x14ac:dyDescent="0.25">
      <c r="A47" s="885" t="s">
        <v>1251</v>
      </c>
      <c r="B47" s="848">
        <f t="shared" si="19"/>
        <v>34</v>
      </c>
      <c r="C47" s="850">
        <f t="shared" ref="C47:H47" si="23">C34+C37</f>
        <v>1837</v>
      </c>
      <c r="D47" s="850">
        <f t="shared" si="23"/>
        <v>1837</v>
      </c>
      <c r="E47" s="850">
        <f t="shared" si="23"/>
        <v>0</v>
      </c>
      <c r="F47" s="850">
        <f t="shared" si="23"/>
        <v>0</v>
      </c>
      <c r="G47" s="850">
        <f t="shared" si="23"/>
        <v>1837</v>
      </c>
      <c r="H47" s="850">
        <f t="shared" si="23"/>
        <v>1837</v>
      </c>
      <c r="I47" s="846" t="s">
        <v>1252</v>
      </c>
      <c r="J47" s="839">
        <f t="shared" si="3"/>
        <v>0</v>
      </c>
      <c r="K47" s="839">
        <f t="shared" si="4"/>
        <v>0</v>
      </c>
      <c r="L47" s="139"/>
      <c r="M47" s="829"/>
      <c r="N47" s="829"/>
      <c r="O47" s="829"/>
      <c r="P47" s="829"/>
      <c r="Q47" s="829"/>
      <c r="R47" s="829"/>
      <c r="S47" s="829">
        <f>SUM(S45:S46)</f>
        <v>336000</v>
      </c>
      <c r="T47" s="829"/>
      <c r="U47" s="829"/>
      <c r="V47" s="829"/>
      <c r="W47" s="829"/>
      <c r="X47" s="829"/>
      <c r="Y47" s="829"/>
    </row>
    <row r="48" spans="1:25" x14ac:dyDescent="0.25">
      <c r="A48" s="886" t="s">
        <v>1253</v>
      </c>
      <c r="B48" s="848">
        <f t="shared" si="19"/>
        <v>35</v>
      </c>
      <c r="C48" s="850">
        <f t="shared" ref="C48:H48" si="24">C40</f>
        <v>7988</v>
      </c>
      <c r="D48" s="850">
        <f t="shared" si="24"/>
        <v>7988</v>
      </c>
      <c r="E48" s="850">
        <f t="shared" si="24"/>
        <v>0</v>
      </c>
      <c r="F48" s="850">
        <f t="shared" si="24"/>
        <v>0</v>
      </c>
      <c r="G48" s="850">
        <f t="shared" si="24"/>
        <v>7988</v>
      </c>
      <c r="H48" s="850">
        <f t="shared" si="24"/>
        <v>7988</v>
      </c>
      <c r="I48" s="846" t="s">
        <v>1254</v>
      </c>
      <c r="J48" s="839">
        <f t="shared" si="3"/>
        <v>0</v>
      </c>
      <c r="K48" s="839">
        <f t="shared" si="4"/>
        <v>0</v>
      </c>
      <c r="L48" s="139"/>
      <c r="M48" s="829"/>
      <c r="N48" s="829"/>
      <c r="O48" s="829"/>
      <c r="P48" s="829"/>
      <c r="Q48" s="829"/>
      <c r="R48" s="829"/>
      <c r="S48" s="829"/>
      <c r="T48" s="829"/>
      <c r="U48" s="829"/>
      <c r="V48" s="829"/>
      <c r="W48" s="829"/>
      <c r="X48" s="829"/>
      <c r="Y48" s="829"/>
    </row>
    <row r="49" spans="1:25" x14ac:dyDescent="0.25">
      <c r="A49" s="882" t="s">
        <v>1255</v>
      </c>
      <c r="B49" s="883">
        <f t="shared" si="19"/>
        <v>36</v>
      </c>
      <c r="C49" s="845">
        <f t="shared" ref="C49:H49" si="25">SUM(C50:C53)</f>
        <v>36793</v>
      </c>
      <c r="D49" s="845">
        <f t="shared" si="25"/>
        <v>36687</v>
      </c>
      <c r="E49" s="845">
        <f t="shared" si="25"/>
        <v>11664</v>
      </c>
      <c r="F49" s="845">
        <f t="shared" si="25"/>
        <v>11664</v>
      </c>
      <c r="G49" s="845">
        <f t="shared" si="25"/>
        <v>48457</v>
      </c>
      <c r="H49" s="845">
        <f t="shared" si="25"/>
        <v>48351</v>
      </c>
      <c r="I49" s="846" t="s">
        <v>1256</v>
      </c>
      <c r="J49" s="839">
        <f t="shared" si="3"/>
        <v>106</v>
      </c>
      <c r="K49" s="858">
        <f t="shared" si="4"/>
        <v>0</v>
      </c>
      <c r="L49" s="887"/>
      <c r="M49" s="887"/>
      <c r="N49" s="829"/>
      <c r="O49" s="829"/>
      <c r="P49" s="829"/>
      <c r="Q49" s="829"/>
      <c r="R49" s="829"/>
      <c r="S49" s="829"/>
      <c r="T49" s="829"/>
      <c r="U49" s="829"/>
      <c r="V49" s="829"/>
      <c r="W49" s="829"/>
      <c r="X49" s="829"/>
      <c r="Y49" s="829"/>
    </row>
    <row r="50" spans="1:25" x14ac:dyDescent="0.25">
      <c r="A50" s="884" t="s">
        <v>1215</v>
      </c>
      <c r="B50" s="848">
        <f t="shared" si="19"/>
        <v>37</v>
      </c>
      <c r="C50" s="850">
        <f t="shared" ref="C50:H50" si="26">C18+C24</f>
        <v>17247</v>
      </c>
      <c r="D50" s="850">
        <f t="shared" si="26"/>
        <v>17247</v>
      </c>
      <c r="E50" s="850">
        <f t="shared" si="26"/>
        <v>300</v>
      </c>
      <c r="F50" s="850">
        <f t="shared" si="26"/>
        <v>300</v>
      </c>
      <c r="G50" s="850">
        <f t="shared" si="26"/>
        <v>17547</v>
      </c>
      <c r="H50" s="850">
        <f t="shared" si="26"/>
        <v>17547</v>
      </c>
      <c r="I50" s="846" t="s">
        <v>1257</v>
      </c>
      <c r="J50" s="839">
        <f t="shared" si="3"/>
        <v>0</v>
      </c>
      <c r="K50" s="839">
        <f t="shared" si="4"/>
        <v>0</v>
      </c>
      <c r="L50" s="139"/>
      <c r="M50" s="829"/>
      <c r="N50" s="829"/>
      <c r="O50" s="829"/>
      <c r="P50" s="829"/>
      <c r="Q50" s="829"/>
      <c r="R50" s="829"/>
      <c r="S50" s="829"/>
      <c r="T50" s="829"/>
      <c r="U50" s="829"/>
      <c r="V50" s="829"/>
      <c r="W50" s="829"/>
      <c r="X50" s="829"/>
      <c r="Y50" s="829"/>
    </row>
    <row r="51" spans="1:25" x14ac:dyDescent="0.25">
      <c r="A51" s="885" t="s">
        <v>1249</v>
      </c>
      <c r="B51" s="848">
        <f t="shared" si="19"/>
        <v>38</v>
      </c>
      <c r="C51" s="850">
        <f t="shared" ref="C51:H51" si="27">C28+C31</f>
        <v>19494</v>
      </c>
      <c r="D51" s="850">
        <f t="shared" si="27"/>
        <v>19388</v>
      </c>
      <c r="E51" s="850">
        <f t="shared" si="27"/>
        <v>11364</v>
      </c>
      <c r="F51" s="850">
        <f t="shared" si="27"/>
        <v>11364</v>
      </c>
      <c r="G51" s="850">
        <f t="shared" si="27"/>
        <v>30858</v>
      </c>
      <c r="H51" s="850">
        <f t="shared" si="27"/>
        <v>30752</v>
      </c>
      <c r="I51" s="846" t="s">
        <v>1258</v>
      </c>
      <c r="J51" s="839">
        <f t="shared" si="3"/>
        <v>106</v>
      </c>
      <c r="K51" s="839">
        <f t="shared" si="4"/>
        <v>0</v>
      </c>
      <c r="L51" s="139"/>
      <c r="M51" s="829"/>
      <c r="N51" s="829"/>
      <c r="O51" s="829"/>
      <c r="P51" s="829"/>
      <c r="Q51" s="829"/>
      <c r="R51" s="829"/>
      <c r="S51" s="829"/>
      <c r="T51" s="829"/>
      <c r="U51" s="829"/>
      <c r="V51" s="829"/>
      <c r="W51" s="829"/>
      <c r="X51" s="829"/>
      <c r="Y51" s="829"/>
    </row>
    <row r="52" spans="1:25" x14ac:dyDescent="0.25">
      <c r="A52" s="885" t="s">
        <v>1251</v>
      </c>
      <c r="B52" s="848">
        <f t="shared" si="19"/>
        <v>39</v>
      </c>
      <c r="C52" s="850">
        <f t="shared" ref="C52:H52" si="28">C35+C38</f>
        <v>0</v>
      </c>
      <c r="D52" s="850">
        <f t="shared" si="28"/>
        <v>0</v>
      </c>
      <c r="E52" s="850">
        <f t="shared" si="28"/>
        <v>0</v>
      </c>
      <c r="F52" s="850">
        <f t="shared" si="28"/>
        <v>0</v>
      </c>
      <c r="G52" s="850">
        <f t="shared" si="28"/>
        <v>0</v>
      </c>
      <c r="H52" s="850">
        <f t="shared" si="28"/>
        <v>0</v>
      </c>
      <c r="I52" s="846" t="s">
        <v>1259</v>
      </c>
      <c r="J52" s="839">
        <f t="shared" si="3"/>
        <v>0</v>
      </c>
      <c r="K52" s="839">
        <f t="shared" si="4"/>
        <v>0</v>
      </c>
      <c r="L52" s="139"/>
      <c r="M52" s="829"/>
      <c r="N52" s="829"/>
      <c r="O52" s="829"/>
      <c r="P52" s="829"/>
      <c r="Q52" s="829"/>
      <c r="R52" s="829"/>
      <c r="S52" s="829"/>
      <c r="T52" s="829"/>
      <c r="U52" s="829"/>
      <c r="V52" s="829"/>
      <c r="W52" s="829"/>
      <c r="X52" s="829"/>
      <c r="Y52" s="829"/>
    </row>
    <row r="53" spans="1:25" x14ac:dyDescent="0.25">
      <c r="A53" s="886" t="s">
        <v>1253</v>
      </c>
      <c r="B53" s="848">
        <f t="shared" si="19"/>
        <v>40</v>
      </c>
      <c r="C53" s="850">
        <f t="shared" ref="C53:H53" si="29">C41</f>
        <v>52</v>
      </c>
      <c r="D53" s="850">
        <f t="shared" si="29"/>
        <v>52</v>
      </c>
      <c r="E53" s="850">
        <f t="shared" si="29"/>
        <v>0</v>
      </c>
      <c r="F53" s="850">
        <f t="shared" si="29"/>
        <v>0</v>
      </c>
      <c r="G53" s="850">
        <f t="shared" si="29"/>
        <v>52</v>
      </c>
      <c r="H53" s="850">
        <f t="shared" si="29"/>
        <v>52</v>
      </c>
      <c r="I53" s="846" t="s">
        <v>1260</v>
      </c>
      <c r="J53" s="839">
        <f t="shared" si="3"/>
        <v>0</v>
      </c>
      <c r="K53" s="839">
        <f t="shared" si="4"/>
        <v>0</v>
      </c>
      <c r="L53" s="139"/>
      <c r="M53" s="829"/>
      <c r="N53" s="829"/>
      <c r="O53" s="829"/>
      <c r="P53" s="829"/>
      <c r="Q53" s="829"/>
      <c r="R53" s="829"/>
      <c r="S53" s="829"/>
      <c r="T53" s="829"/>
      <c r="U53" s="829"/>
      <c r="V53" s="829"/>
      <c r="W53" s="829"/>
      <c r="X53" s="829"/>
      <c r="Y53" s="829"/>
    </row>
    <row r="54" spans="1:25" x14ac:dyDescent="0.25">
      <c r="A54" s="888" t="s">
        <v>1261</v>
      </c>
      <c r="B54" s="889">
        <f t="shared" si="19"/>
        <v>41</v>
      </c>
      <c r="C54" s="890">
        <f t="shared" ref="C54:H54" si="30">C55+C59</f>
        <v>354777</v>
      </c>
      <c r="D54" s="890">
        <f t="shared" si="30"/>
        <v>354620</v>
      </c>
      <c r="E54" s="890">
        <f t="shared" si="30"/>
        <v>52557</v>
      </c>
      <c r="F54" s="890">
        <f t="shared" si="30"/>
        <v>52557</v>
      </c>
      <c r="G54" s="890">
        <f t="shared" si="30"/>
        <v>407334</v>
      </c>
      <c r="H54" s="890">
        <f t="shared" si="30"/>
        <v>407177</v>
      </c>
      <c r="I54" s="846" t="s">
        <v>1262</v>
      </c>
      <c r="J54" s="839">
        <f t="shared" si="3"/>
        <v>157</v>
      </c>
      <c r="K54" s="839">
        <f t="shared" si="4"/>
        <v>0</v>
      </c>
      <c r="L54" s="139"/>
      <c r="M54" s="829"/>
      <c r="N54" s="829"/>
      <c r="O54" s="829"/>
      <c r="P54" s="829"/>
      <c r="Q54" s="829"/>
      <c r="R54" s="829"/>
      <c r="S54" s="829"/>
      <c r="T54" s="829"/>
      <c r="U54" s="829"/>
      <c r="V54" s="829"/>
      <c r="W54" s="829"/>
      <c r="X54" s="829"/>
      <c r="Y54" s="829"/>
    </row>
    <row r="55" spans="1:25" x14ac:dyDescent="0.25">
      <c r="A55" s="891" t="s">
        <v>1246</v>
      </c>
      <c r="B55" s="883">
        <f t="shared" si="19"/>
        <v>42</v>
      </c>
      <c r="C55" s="845">
        <f t="shared" ref="C55:H55" si="31">C56+C57+C58</f>
        <v>317984</v>
      </c>
      <c r="D55" s="845">
        <f t="shared" si="31"/>
        <v>317933</v>
      </c>
      <c r="E55" s="845">
        <f t="shared" si="31"/>
        <v>40893</v>
      </c>
      <c r="F55" s="845">
        <f t="shared" si="31"/>
        <v>40893</v>
      </c>
      <c r="G55" s="845">
        <f t="shared" si="31"/>
        <v>358877</v>
      </c>
      <c r="H55" s="845">
        <f t="shared" si="31"/>
        <v>358826</v>
      </c>
      <c r="I55" s="846" t="s">
        <v>1263</v>
      </c>
      <c r="J55" s="839">
        <f t="shared" si="3"/>
        <v>51</v>
      </c>
      <c r="K55" s="839">
        <f t="shared" si="4"/>
        <v>0</v>
      </c>
      <c r="L55" s="139"/>
      <c r="M55" s="829"/>
      <c r="N55" s="829"/>
      <c r="O55" s="829"/>
      <c r="P55" s="829"/>
      <c r="Q55" s="829"/>
      <c r="R55" s="829"/>
      <c r="S55" s="829"/>
      <c r="T55" s="829"/>
      <c r="U55" s="829"/>
      <c r="V55" s="829"/>
      <c r="W55" s="829"/>
      <c r="X55" s="829"/>
      <c r="Y55" s="829"/>
    </row>
    <row r="56" spans="1:25" x14ac:dyDescent="0.25">
      <c r="A56" s="843" t="s">
        <v>1264</v>
      </c>
      <c r="B56" s="848">
        <f t="shared" si="19"/>
        <v>43</v>
      </c>
      <c r="C56" s="849">
        <f t="shared" ref="C56:H56" si="32">C17+C27+C34</f>
        <v>1332</v>
      </c>
      <c r="D56" s="849">
        <f t="shared" si="32"/>
        <v>1332</v>
      </c>
      <c r="E56" s="849">
        <f t="shared" si="32"/>
        <v>0</v>
      </c>
      <c r="F56" s="849">
        <f t="shared" si="32"/>
        <v>0</v>
      </c>
      <c r="G56" s="849">
        <f t="shared" si="32"/>
        <v>1332</v>
      </c>
      <c r="H56" s="849">
        <f t="shared" si="32"/>
        <v>1332</v>
      </c>
      <c r="I56" s="846" t="s">
        <v>1265</v>
      </c>
      <c r="J56" s="839">
        <f t="shared" si="3"/>
        <v>0</v>
      </c>
      <c r="K56" s="839">
        <f t="shared" si="4"/>
        <v>0</v>
      </c>
      <c r="L56" s="139"/>
      <c r="M56" s="829"/>
      <c r="N56" s="829"/>
      <c r="O56" s="829"/>
      <c r="P56" s="829"/>
      <c r="Q56" s="829"/>
      <c r="R56" s="829"/>
      <c r="S56" s="829"/>
      <c r="T56" s="829"/>
      <c r="U56" s="829"/>
      <c r="V56" s="829"/>
      <c r="W56" s="829"/>
      <c r="X56" s="829"/>
      <c r="Y56" s="829"/>
    </row>
    <row r="57" spans="1:25" x14ac:dyDescent="0.25">
      <c r="A57" s="886" t="s">
        <v>1219</v>
      </c>
      <c r="B57" s="848">
        <f t="shared" si="19"/>
        <v>44</v>
      </c>
      <c r="C57" s="849">
        <f t="shared" ref="C57:H57" si="33">C20+C30+C37</f>
        <v>308664</v>
      </c>
      <c r="D57" s="849">
        <f t="shared" si="33"/>
        <v>308613</v>
      </c>
      <c r="E57" s="849">
        <f t="shared" si="33"/>
        <v>40893</v>
      </c>
      <c r="F57" s="849">
        <f t="shared" si="33"/>
        <v>40893</v>
      </c>
      <c r="G57" s="849">
        <f t="shared" si="33"/>
        <v>349557</v>
      </c>
      <c r="H57" s="849">
        <f t="shared" si="33"/>
        <v>349506</v>
      </c>
      <c r="I57" s="846" t="s">
        <v>1266</v>
      </c>
      <c r="J57" s="839">
        <f t="shared" si="3"/>
        <v>51</v>
      </c>
      <c r="K57" s="839">
        <f t="shared" si="4"/>
        <v>0</v>
      </c>
      <c r="L57" s="139"/>
      <c r="M57" s="829"/>
      <c r="N57" s="829"/>
      <c r="O57" s="829"/>
      <c r="P57" s="829"/>
      <c r="Q57" s="829"/>
      <c r="R57" s="829"/>
      <c r="S57" s="829"/>
      <c r="T57" s="829"/>
      <c r="U57" s="829"/>
      <c r="V57" s="829"/>
      <c r="W57" s="829"/>
      <c r="X57" s="829"/>
      <c r="Y57" s="829"/>
    </row>
    <row r="58" spans="1:25" x14ac:dyDescent="0.25">
      <c r="A58" s="886" t="s">
        <v>1253</v>
      </c>
      <c r="B58" s="848">
        <f t="shared" si="19"/>
        <v>45</v>
      </c>
      <c r="C58" s="850">
        <f t="shared" ref="C58:H58" si="34">C40</f>
        <v>7988</v>
      </c>
      <c r="D58" s="850">
        <f t="shared" si="34"/>
        <v>7988</v>
      </c>
      <c r="E58" s="850">
        <f t="shared" si="34"/>
        <v>0</v>
      </c>
      <c r="F58" s="850">
        <f t="shared" si="34"/>
        <v>0</v>
      </c>
      <c r="G58" s="850">
        <f t="shared" si="34"/>
        <v>7988</v>
      </c>
      <c r="H58" s="850">
        <f t="shared" si="34"/>
        <v>7988</v>
      </c>
      <c r="I58" s="846" t="s">
        <v>1254</v>
      </c>
      <c r="J58" s="839">
        <f t="shared" si="3"/>
        <v>0</v>
      </c>
      <c r="K58" s="839">
        <f t="shared" si="4"/>
        <v>0</v>
      </c>
      <c r="L58" s="139"/>
      <c r="M58" s="829"/>
      <c r="N58" s="829"/>
      <c r="O58" s="829"/>
      <c r="P58" s="829"/>
      <c r="Q58" s="829"/>
      <c r="R58" s="829"/>
      <c r="S58" s="829"/>
      <c r="T58" s="829"/>
      <c r="U58" s="829"/>
      <c r="V58" s="829"/>
      <c r="W58" s="829"/>
      <c r="X58" s="829"/>
      <c r="Y58" s="829"/>
    </row>
    <row r="59" spans="1:25" x14ac:dyDescent="0.25">
      <c r="A59" s="882" t="s">
        <v>748</v>
      </c>
      <c r="B59" s="883">
        <f t="shared" si="19"/>
        <v>46</v>
      </c>
      <c r="C59" s="845">
        <f t="shared" ref="C59:H59" si="35">C60+C61+C62</f>
        <v>36793</v>
      </c>
      <c r="D59" s="845">
        <f t="shared" si="35"/>
        <v>36687</v>
      </c>
      <c r="E59" s="845">
        <f t="shared" si="35"/>
        <v>11664</v>
      </c>
      <c r="F59" s="845">
        <f t="shared" si="35"/>
        <v>11664</v>
      </c>
      <c r="G59" s="845">
        <f t="shared" si="35"/>
        <v>48457</v>
      </c>
      <c r="H59" s="845">
        <f t="shared" si="35"/>
        <v>48351</v>
      </c>
      <c r="I59" s="846" t="s">
        <v>1267</v>
      </c>
      <c r="J59" s="839">
        <f t="shared" si="3"/>
        <v>106</v>
      </c>
      <c r="K59" s="839">
        <f t="shared" si="4"/>
        <v>0</v>
      </c>
      <c r="L59" s="139"/>
      <c r="M59" s="829"/>
      <c r="N59" s="829"/>
      <c r="O59" s="829"/>
      <c r="P59" s="829"/>
      <c r="Q59" s="829"/>
      <c r="R59" s="829"/>
      <c r="S59" s="829"/>
      <c r="T59" s="829"/>
      <c r="U59" s="829"/>
      <c r="V59" s="829"/>
      <c r="W59" s="829"/>
      <c r="X59" s="829"/>
      <c r="Y59" s="829"/>
    </row>
    <row r="60" spans="1:25" x14ac:dyDescent="0.25">
      <c r="A60" s="843" t="s">
        <v>1264</v>
      </c>
      <c r="B60" s="844">
        <f t="shared" si="19"/>
        <v>47</v>
      </c>
      <c r="C60" s="849">
        <f t="shared" ref="C60:H60" si="36">C18+C28+C35</f>
        <v>0</v>
      </c>
      <c r="D60" s="849">
        <f t="shared" si="36"/>
        <v>0</v>
      </c>
      <c r="E60" s="849">
        <f t="shared" si="36"/>
        <v>0</v>
      </c>
      <c r="F60" s="849">
        <f t="shared" si="36"/>
        <v>0</v>
      </c>
      <c r="G60" s="849">
        <f t="shared" si="36"/>
        <v>0</v>
      </c>
      <c r="H60" s="849">
        <f t="shared" si="36"/>
        <v>0</v>
      </c>
      <c r="I60" s="846" t="s">
        <v>1268</v>
      </c>
      <c r="J60" s="839">
        <f t="shared" si="3"/>
        <v>0</v>
      </c>
      <c r="K60" s="839">
        <f t="shared" si="4"/>
        <v>0</v>
      </c>
      <c r="L60" s="139"/>
      <c r="M60" s="829"/>
      <c r="N60" s="829"/>
      <c r="O60" s="829"/>
      <c r="P60" s="829"/>
      <c r="Q60" s="829"/>
      <c r="R60" s="829"/>
      <c r="S60" s="829"/>
      <c r="T60" s="829"/>
      <c r="U60" s="829"/>
      <c r="V60" s="829"/>
      <c r="W60" s="829"/>
      <c r="X60" s="829"/>
      <c r="Y60" s="829"/>
    </row>
    <row r="61" spans="1:25" x14ac:dyDescent="0.25">
      <c r="A61" s="886" t="s">
        <v>1219</v>
      </c>
      <c r="B61" s="844">
        <f t="shared" si="19"/>
        <v>48</v>
      </c>
      <c r="C61" s="850">
        <f t="shared" ref="C61:H61" si="37">C24+C31+C38</f>
        <v>36741</v>
      </c>
      <c r="D61" s="850">
        <f t="shared" si="37"/>
        <v>36635</v>
      </c>
      <c r="E61" s="850">
        <f t="shared" si="37"/>
        <v>11664</v>
      </c>
      <c r="F61" s="850">
        <f t="shared" si="37"/>
        <v>11664</v>
      </c>
      <c r="G61" s="850">
        <f t="shared" si="37"/>
        <v>48405</v>
      </c>
      <c r="H61" s="850">
        <f t="shared" si="37"/>
        <v>48299</v>
      </c>
      <c r="I61" s="846" t="s">
        <v>1269</v>
      </c>
      <c r="J61" s="839">
        <f t="shared" si="3"/>
        <v>106</v>
      </c>
      <c r="K61" s="839">
        <f t="shared" si="4"/>
        <v>0</v>
      </c>
      <c r="L61" s="139"/>
      <c r="M61" s="829"/>
      <c r="N61" s="829"/>
      <c r="O61" s="829"/>
      <c r="P61" s="829"/>
      <c r="Q61" s="829"/>
      <c r="R61" s="829"/>
      <c r="S61" s="829"/>
      <c r="T61" s="829"/>
      <c r="U61" s="829"/>
      <c r="V61" s="829"/>
      <c r="W61" s="829"/>
      <c r="X61" s="829"/>
      <c r="Y61" s="829"/>
    </row>
    <row r="62" spans="1:25" ht="15.75" thickBot="1" x14ac:dyDescent="0.3">
      <c r="A62" s="892" t="s">
        <v>1253</v>
      </c>
      <c r="B62" s="893">
        <f t="shared" si="19"/>
        <v>49</v>
      </c>
      <c r="C62" s="894">
        <f t="shared" ref="C62:H62" si="38">C41</f>
        <v>52</v>
      </c>
      <c r="D62" s="894">
        <f t="shared" si="38"/>
        <v>52</v>
      </c>
      <c r="E62" s="894">
        <f t="shared" si="38"/>
        <v>0</v>
      </c>
      <c r="F62" s="894">
        <f t="shared" si="38"/>
        <v>0</v>
      </c>
      <c r="G62" s="894">
        <f t="shared" si="38"/>
        <v>52</v>
      </c>
      <c r="H62" s="894">
        <f t="shared" si="38"/>
        <v>52</v>
      </c>
      <c r="I62" s="846" t="s">
        <v>1260</v>
      </c>
      <c r="J62" s="839">
        <f t="shared" si="3"/>
        <v>0</v>
      </c>
      <c r="K62" s="839">
        <f t="shared" si="4"/>
        <v>0</v>
      </c>
      <c r="L62" s="139"/>
      <c r="M62" s="829"/>
      <c r="N62" s="829"/>
      <c r="O62" s="829"/>
      <c r="P62" s="829"/>
      <c r="Q62" s="829"/>
      <c r="R62" s="829"/>
      <c r="S62" s="829"/>
      <c r="T62" s="829"/>
      <c r="U62" s="829"/>
      <c r="V62" s="829"/>
      <c r="W62" s="829"/>
      <c r="X62" s="829"/>
      <c r="Y62" s="829"/>
    </row>
    <row r="63" spans="1:25" x14ac:dyDescent="0.25">
      <c r="A63" s="811"/>
      <c r="B63" s="810"/>
      <c r="C63" s="811"/>
      <c r="D63" s="811"/>
      <c r="E63" s="811"/>
      <c r="F63" s="811"/>
      <c r="G63" s="811"/>
      <c r="H63" s="811"/>
      <c r="I63" s="846"/>
      <c r="J63" s="829"/>
      <c r="K63" s="829"/>
      <c r="L63" s="139"/>
      <c r="M63" s="139"/>
      <c r="N63" s="829"/>
      <c r="O63" s="139"/>
    </row>
    <row r="64" spans="1:25" ht="15.75" x14ac:dyDescent="0.25">
      <c r="A64" s="895" t="s">
        <v>638</v>
      </c>
      <c r="B64" s="895"/>
      <c r="C64" s="895"/>
      <c r="D64" s="896"/>
      <c r="E64" s="896"/>
      <c r="F64" s="895"/>
      <c r="G64" s="897"/>
      <c r="H64" s="895"/>
      <c r="I64" s="811"/>
      <c r="J64" s="811"/>
      <c r="K64" s="811"/>
      <c r="L64" s="811"/>
      <c r="M64" s="811"/>
      <c r="N64" s="902"/>
      <c r="O64" s="139"/>
    </row>
    <row r="65" spans="1:15" ht="15.75" x14ac:dyDescent="0.25">
      <c r="A65" s="2514" t="s">
        <v>1270</v>
      </c>
      <c r="B65" s="2514"/>
      <c r="C65" s="2514"/>
      <c r="D65" s="2514"/>
      <c r="E65" s="2514"/>
      <c r="F65" s="2514"/>
      <c r="G65" s="2514"/>
      <c r="H65" s="2514"/>
      <c r="I65" s="898"/>
      <c r="J65" s="898"/>
      <c r="K65" s="898"/>
      <c r="L65" s="898"/>
      <c r="M65" s="898"/>
      <c r="N65" s="903"/>
      <c r="O65" s="139"/>
    </row>
    <row r="66" spans="1:15" ht="15.75" x14ac:dyDescent="0.25">
      <c r="A66" s="2514" t="s">
        <v>1271</v>
      </c>
      <c r="B66" s="2514"/>
      <c r="C66" s="2514"/>
      <c r="D66" s="2514"/>
      <c r="E66" s="2514"/>
      <c r="F66" s="2514"/>
      <c r="G66" s="2514"/>
      <c r="H66" s="2514"/>
      <c r="I66" s="898"/>
      <c r="J66" s="898"/>
      <c r="K66" s="898"/>
      <c r="L66" s="898"/>
      <c r="M66" s="898"/>
      <c r="N66" s="903"/>
      <c r="O66" s="139"/>
    </row>
    <row r="67" spans="1:15" ht="15.75" x14ac:dyDescent="0.25">
      <c r="A67" s="2514" t="s">
        <v>1272</v>
      </c>
      <c r="B67" s="2514"/>
      <c r="C67" s="2514"/>
      <c r="D67" s="2514"/>
      <c r="E67" s="2514"/>
      <c r="F67" s="2514"/>
      <c r="G67" s="2514"/>
      <c r="H67" s="2514"/>
      <c r="I67" s="898"/>
      <c r="J67" s="898"/>
      <c r="K67" s="898"/>
      <c r="L67" s="898"/>
      <c r="M67" s="898"/>
      <c r="N67" s="903"/>
      <c r="O67" s="139"/>
    </row>
    <row r="68" spans="1:15" ht="15.75" x14ac:dyDescent="0.25">
      <c r="A68" s="2515" t="s">
        <v>1273</v>
      </c>
      <c r="B68" s="2515"/>
      <c r="C68" s="2515"/>
      <c r="D68" s="2515"/>
      <c r="E68" s="2515"/>
      <c r="F68" s="2515"/>
      <c r="G68" s="2515"/>
      <c r="H68" s="2515"/>
      <c r="I68" s="811"/>
      <c r="J68" s="811"/>
      <c r="K68" s="811"/>
      <c r="L68" s="811"/>
      <c r="M68" s="811"/>
      <c r="N68" s="902"/>
      <c r="O68" s="139"/>
    </row>
    <row r="69" spans="1:15" x14ac:dyDescent="0.25">
      <c r="A69" s="18"/>
      <c r="B69" s="18"/>
      <c r="C69" s="18"/>
      <c r="D69" s="18"/>
      <c r="E69" s="18"/>
      <c r="F69" s="18"/>
      <c r="G69" s="19"/>
      <c r="H69" s="18"/>
      <c r="I69" s="18"/>
      <c r="J69" s="18"/>
      <c r="K69" s="18"/>
      <c r="L69" s="18"/>
      <c r="M69" s="18"/>
      <c r="N69" s="902"/>
      <c r="O69" s="139"/>
    </row>
    <row r="70" spans="1:15" x14ac:dyDescent="0.25">
      <c r="A70" s="18"/>
      <c r="B70" s="18"/>
      <c r="C70" s="18"/>
      <c r="D70" s="18"/>
      <c r="E70" s="18"/>
      <c r="F70" s="18"/>
      <c r="G70" s="19"/>
      <c r="H70" s="18"/>
      <c r="I70" s="18"/>
      <c r="J70" s="18"/>
      <c r="K70" s="18"/>
      <c r="L70" s="18"/>
      <c r="M70" s="18"/>
      <c r="N70" s="902"/>
      <c r="O70" s="139"/>
    </row>
    <row r="71" spans="1:15" x14ac:dyDescent="0.25">
      <c r="A71" s="139"/>
      <c r="B71" s="139"/>
      <c r="C71" s="139"/>
      <c r="D71" s="139"/>
      <c r="E71" s="139"/>
      <c r="F71" s="139"/>
      <c r="G71" s="139"/>
      <c r="H71" s="139"/>
      <c r="I71" s="139"/>
      <c r="J71" s="139"/>
      <c r="K71" s="139"/>
      <c r="L71" s="139"/>
      <c r="M71" s="139"/>
      <c r="N71" s="829"/>
      <c r="O71" s="139"/>
    </row>
    <row r="72" spans="1:15" x14ac:dyDescent="0.25">
      <c r="A72" s="139"/>
      <c r="B72" s="139"/>
      <c r="C72" s="139"/>
      <c r="D72" s="139"/>
      <c r="E72" s="139"/>
      <c r="F72" s="139"/>
      <c r="G72" s="139"/>
      <c r="H72" s="139"/>
      <c r="I72" s="139"/>
      <c r="J72" s="139"/>
      <c r="K72" s="139"/>
      <c r="L72" s="139"/>
      <c r="M72" s="139"/>
      <c r="N72" s="829"/>
      <c r="O72" s="139"/>
    </row>
    <row r="73" spans="1:15" x14ac:dyDescent="0.25">
      <c r="A73" s="139"/>
      <c r="B73" s="139"/>
      <c r="C73" s="139"/>
      <c r="D73" s="139"/>
      <c r="E73" s="139"/>
      <c r="F73" s="139"/>
      <c r="G73" s="139"/>
      <c r="H73" s="139"/>
      <c r="I73" s="139"/>
      <c r="J73" s="139"/>
      <c r="K73" s="139"/>
      <c r="L73" s="139"/>
      <c r="M73" s="139"/>
      <c r="N73" s="829"/>
      <c r="O73" s="139"/>
    </row>
    <row r="74" spans="1:15" x14ac:dyDescent="0.25">
      <c r="A74" s="139"/>
      <c r="B74" s="139"/>
      <c r="C74" s="139"/>
      <c r="D74" s="139"/>
      <c r="E74" s="139"/>
      <c r="F74" s="139"/>
      <c r="G74" s="139"/>
      <c r="H74" s="139"/>
      <c r="I74" s="139"/>
      <c r="J74" s="139"/>
      <c r="K74" s="139"/>
      <c r="L74" s="139"/>
      <c r="M74" s="139"/>
      <c r="N74" s="829"/>
      <c r="O74" s="139"/>
    </row>
    <row r="75" spans="1:15" x14ac:dyDescent="0.25">
      <c r="A75" s="139"/>
      <c r="B75" s="139"/>
      <c r="C75" s="139"/>
      <c r="D75" s="139"/>
      <c r="E75" s="139"/>
      <c r="F75" s="139"/>
      <c r="G75" s="139"/>
      <c r="H75" s="139"/>
      <c r="I75" s="139"/>
      <c r="J75" s="139"/>
      <c r="K75" s="139"/>
      <c r="L75" s="139"/>
      <c r="M75" s="139"/>
      <c r="N75" s="829"/>
      <c r="O75" s="139"/>
    </row>
    <row r="76" spans="1:15" x14ac:dyDescent="0.25">
      <c r="A76" s="139"/>
      <c r="B76" s="139"/>
      <c r="C76" s="139"/>
      <c r="D76" s="139"/>
      <c r="E76" s="139"/>
      <c r="F76" s="139"/>
      <c r="G76" s="139"/>
      <c r="H76" s="139"/>
      <c r="I76" s="139"/>
      <c r="J76" s="139"/>
      <c r="K76" s="139"/>
      <c r="L76" s="139"/>
      <c r="M76" s="139"/>
      <c r="N76" s="829"/>
      <c r="O76" s="139"/>
    </row>
    <row r="77" spans="1:15" x14ac:dyDescent="0.25">
      <c r="N77" s="829"/>
    </row>
  </sheetData>
  <mergeCells count="9">
    <mergeCell ref="A65:H65"/>
    <mergeCell ref="A66:H66"/>
    <mergeCell ref="A67:H67"/>
    <mergeCell ref="A68:H68"/>
    <mergeCell ref="A10:A12"/>
    <mergeCell ref="B10:B12"/>
    <mergeCell ref="C10:D10"/>
    <mergeCell ref="E10:F10"/>
    <mergeCell ref="G10:H10"/>
  </mergeCells>
  <printOptions horizontalCentered="1" verticalCentered="1"/>
  <pageMargins left="0.11811023622047245" right="0.11811023622047245" top="0.59055118110236227" bottom="0.59055118110236227" header="0.31496062992125984" footer="0.31496062992125984"/>
  <pageSetup paperSize="9" scale="4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P71"/>
  <sheetViews>
    <sheetView zoomScale="96" zoomScaleNormal="96" workbookViewId="0">
      <selection activeCell="M1" sqref="M1"/>
    </sheetView>
  </sheetViews>
  <sheetFormatPr defaultRowHeight="12.75" x14ac:dyDescent="0.25"/>
  <cols>
    <col min="1" max="1" width="1.42578125" style="16" customWidth="1"/>
    <col min="2" max="2" width="4.42578125" style="16" customWidth="1"/>
    <col min="3" max="3" width="3.140625" style="16" customWidth="1"/>
    <col min="4" max="5" width="6.140625" style="16" customWidth="1"/>
    <col min="6" max="6" width="43.5703125" style="16" customWidth="1"/>
    <col min="7" max="7" width="5.28515625" style="28" customWidth="1"/>
    <col min="8" max="13" width="11.5703125" style="16" customWidth="1"/>
    <col min="14" max="14" width="2" style="441" customWidth="1"/>
    <col min="15" max="16384" width="9.140625" style="16"/>
  </cols>
  <sheetData>
    <row r="3" spans="1:16" ht="18.75" x14ac:dyDescent="0.25">
      <c r="A3" s="910" t="s">
        <v>1278</v>
      </c>
    </row>
    <row r="4" spans="1:16" ht="22.5" customHeight="1" x14ac:dyDescent="0.25">
      <c r="A4" s="437" t="s">
        <v>1143</v>
      </c>
      <c r="B4" s="438"/>
      <c r="C4" s="438"/>
      <c r="D4" s="438"/>
      <c r="E4" s="438"/>
      <c r="F4" s="439"/>
      <c r="G4" s="440"/>
      <c r="H4" s="438"/>
      <c r="I4" s="438"/>
      <c r="J4" s="438"/>
      <c r="K4" s="438"/>
      <c r="L4" s="438"/>
      <c r="M4" s="438"/>
    </row>
    <row r="5" spans="1:16" ht="16.5" thickBot="1" x14ac:dyDescent="0.3">
      <c r="A5" s="437"/>
      <c r="B5" s="438"/>
      <c r="C5" s="438"/>
      <c r="D5" s="438"/>
      <c r="E5" s="438"/>
      <c r="F5" s="439"/>
      <c r="G5" s="440"/>
      <c r="H5" s="438"/>
      <c r="I5" s="438"/>
      <c r="J5" s="438"/>
      <c r="K5" s="438"/>
      <c r="L5" s="438"/>
      <c r="M5" s="900" t="s">
        <v>1192</v>
      </c>
      <c r="N5" s="442"/>
    </row>
    <row r="6" spans="1:16" ht="14.25" customHeight="1" x14ac:dyDescent="0.25">
      <c r="A6" s="2531" t="s">
        <v>740</v>
      </c>
      <c r="B6" s="2532"/>
      <c r="C6" s="2532"/>
      <c r="D6" s="2532"/>
      <c r="E6" s="2532"/>
      <c r="F6" s="2533"/>
      <c r="G6" s="2540" t="s">
        <v>479</v>
      </c>
      <c r="H6" s="2526" t="s">
        <v>741</v>
      </c>
      <c r="I6" s="2543"/>
      <c r="J6" s="2526" t="s">
        <v>742</v>
      </c>
      <c r="K6" s="2543"/>
      <c r="L6" s="2526" t="s">
        <v>743</v>
      </c>
      <c r="M6" s="2527"/>
      <c r="N6" s="443"/>
    </row>
    <row r="7" spans="1:16" ht="13.5" customHeight="1" x14ac:dyDescent="0.25">
      <c r="A7" s="2534"/>
      <c r="B7" s="2535"/>
      <c r="C7" s="2535"/>
      <c r="D7" s="2535"/>
      <c r="E7" s="2535"/>
      <c r="F7" s="2536"/>
      <c r="G7" s="2541"/>
      <c r="H7" s="2347" t="s">
        <v>1910</v>
      </c>
      <c r="I7" s="2348" t="s">
        <v>480</v>
      </c>
      <c r="J7" s="2347" t="s">
        <v>641</v>
      </c>
      <c r="K7" s="2348" t="s">
        <v>480</v>
      </c>
      <c r="L7" s="2347" t="s">
        <v>641</v>
      </c>
      <c r="M7" s="2349" t="s">
        <v>480</v>
      </c>
      <c r="N7" s="444"/>
    </row>
    <row r="8" spans="1:16" ht="11.25" customHeight="1" thickBot="1" x14ac:dyDescent="0.3">
      <c r="A8" s="2537"/>
      <c r="B8" s="2538"/>
      <c r="C8" s="2538"/>
      <c r="D8" s="2538"/>
      <c r="E8" s="2538"/>
      <c r="F8" s="2539"/>
      <c r="G8" s="2542"/>
      <c r="H8" s="2350">
        <v>1</v>
      </c>
      <c r="I8" s="2351">
        <v>2</v>
      </c>
      <c r="J8" s="2350">
        <v>3</v>
      </c>
      <c r="K8" s="2351">
        <v>4</v>
      </c>
      <c r="L8" s="2350">
        <v>5</v>
      </c>
      <c r="M8" s="2352">
        <v>6</v>
      </c>
      <c r="N8" s="445"/>
    </row>
    <row r="9" spans="1:16" ht="12.75" customHeight="1" x14ac:dyDescent="0.25">
      <c r="A9" s="2528" t="s">
        <v>837</v>
      </c>
      <c r="B9" s="2529"/>
      <c r="C9" s="2529"/>
      <c r="D9" s="2529"/>
      <c r="E9" s="2529"/>
      <c r="F9" s="2530"/>
      <c r="G9" s="2368">
        <v>1</v>
      </c>
      <c r="H9" s="2369">
        <f t="shared" ref="H9:M9" si="0">+H10+H35</f>
        <v>354777</v>
      </c>
      <c r="I9" s="2370">
        <f t="shared" si="0"/>
        <v>354620</v>
      </c>
      <c r="J9" s="2369">
        <f t="shared" si="0"/>
        <v>52557</v>
      </c>
      <c r="K9" s="2370">
        <f t="shared" si="0"/>
        <v>52557</v>
      </c>
      <c r="L9" s="2369">
        <f t="shared" si="0"/>
        <v>407334</v>
      </c>
      <c r="M9" s="2371">
        <f t="shared" si="0"/>
        <v>407177</v>
      </c>
      <c r="N9" s="444"/>
    </row>
    <row r="10" spans="1:16" ht="12.75" customHeight="1" x14ac:dyDescent="0.25">
      <c r="A10" s="446"/>
      <c r="B10" s="2524" t="s">
        <v>838</v>
      </c>
      <c r="C10" s="2524"/>
      <c r="D10" s="2524"/>
      <c r="E10" s="2524"/>
      <c r="F10" s="2525"/>
      <c r="G10" s="2363">
        <f>G9+1</f>
        <v>2</v>
      </c>
      <c r="H10" s="2364">
        <f t="shared" ref="H10:M10" si="1">+H11+H21+H28</f>
        <v>346737</v>
      </c>
      <c r="I10" s="2365">
        <f t="shared" si="1"/>
        <v>346580</v>
      </c>
      <c r="J10" s="2364">
        <f t="shared" si="1"/>
        <v>52557</v>
      </c>
      <c r="K10" s="2365">
        <f t="shared" si="1"/>
        <v>52557</v>
      </c>
      <c r="L10" s="2364">
        <f t="shared" si="1"/>
        <v>399294</v>
      </c>
      <c r="M10" s="2366">
        <f t="shared" si="1"/>
        <v>399137</v>
      </c>
      <c r="N10" s="444"/>
      <c r="O10" s="139"/>
      <c r="P10" s="139"/>
    </row>
    <row r="11" spans="1:16" ht="12.75" customHeight="1" x14ac:dyDescent="0.25">
      <c r="A11" s="455"/>
      <c r="B11" s="452"/>
      <c r="C11" s="2354" t="s">
        <v>745</v>
      </c>
      <c r="D11" s="456" t="s">
        <v>839</v>
      </c>
      <c r="E11" s="452"/>
      <c r="F11" s="457"/>
      <c r="G11" s="512">
        <f t="shared" ref="G11:G37" si="2">G10+1</f>
        <v>3</v>
      </c>
      <c r="H11" s="2355">
        <f t="shared" ref="H11:M11" si="3">+H12+H15</f>
        <v>319784</v>
      </c>
      <c r="I11" s="2356">
        <f t="shared" si="3"/>
        <v>319733</v>
      </c>
      <c r="J11" s="2355">
        <f t="shared" si="3"/>
        <v>41193</v>
      </c>
      <c r="K11" s="2356">
        <f t="shared" si="3"/>
        <v>41193</v>
      </c>
      <c r="L11" s="2355">
        <f t="shared" si="3"/>
        <v>360977</v>
      </c>
      <c r="M11" s="2357">
        <f t="shared" si="3"/>
        <v>360926</v>
      </c>
      <c r="N11" s="444"/>
      <c r="O11" s="139"/>
      <c r="P11" s="139"/>
    </row>
    <row r="12" spans="1:16" ht="12.75" customHeight="1" x14ac:dyDescent="0.25">
      <c r="A12" s="455"/>
      <c r="B12" s="452"/>
      <c r="C12" s="452"/>
      <c r="D12" s="452" t="s">
        <v>481</v>
      </c>
      <c r="E12" s="452" t="s">
        <v>901</v>
      </c>
      <c r="F12" s="457"/>
      <c r="G12" s="512">
        <f t="shared" si="2"/>
        <v>4</v>
      </c>
      <c r="H12" s="2355">
        <f t="shared" ref="H12:M12" si="4">+H13+H14</f>
        <v>0</v>
      </c>
      <c r="I12" s="2356">
        <f t="shared" si="4"/>
        <v>0</v>
      </c>
      <c r="J12" s="2355">
        <f t="shared" si="4"/>
        <v>0</v>
      </c>
      <c r="K12" s="2356">
        <f t="shared" si="4"/>
        <v>0</v>
      </c>
      <c r="L12" s="2355">
        <f t="shared" si="4"/>
        <v>0</v>
      </c>
      <c r="M12" s="2357">
        <f t="shared" si="4"/>
        <v>0</v>
      </c>
      <c r="N12" s="444"/>
      <c r="O12" s="139"/>
      <c r="P12" s="139"/>
    </row>
    <row r="13" spans="1:16" ht="12.75" customHeight="1" x14ac:dyDescent="0.25">
      <c r="A13" s="455"/>
      <c r="B13" s="452"/>
      <c r="C13" s="452"/>
      <c r="D13" s="452"/>
      <c r="E13" s="452" t="s">
        <v>745</v>
      </c>
      <c r="F13" s="452" t="s">
        <v>747</v>
      </c>
      <c r="G13" s="512">
        <f t="shared" si="2"/>
        <v>5</v>
      </c>
      <c r="H13" s="2355"/>
      <c r="I13" s="2356"/>
      <c r="J13" s="2355"/>
      <c r="K13" s="2356"/>
      <c r="L13" s="2355">
        <f>+H13+J13</f>
        <v>0</v>
      </c>
      <c r="M13" s="2357">
        <f>+I13+K13</f>
        <v>0</v>
      </c>
      <c r="N13" s="451"/>
      <c r="O13" s="139"/>
      <c r="P13" s="139"/>
    </row>
    <row r="14" spans="1:16" ht="12.75" customHeight="1" x14ac:dyDescent="0.25">
      <c r="A14" s="455"/>
      <c r="B14" s="452"/>
      <c r="C14" s="452"/>
      <c r="D14" s="452"/>
      <c r="E14" s="438"/>
      <c r="F14" s="452" t="s">
        <v>748</v>
      </c>
      <c r="G14" s="512">
        <f t="shared" si="2"/>
        <v>6</v>
      </c>
      <c r="H14" s="2355"/>
      <c r="I14" s="2356"/>
      <c r="J14" s="2355"/>
      <c r="K14" s="2356"/>
      <c r="L14" s="2355">
        <f>+H14+J14</f>
        <v>0</v>
      </c>
      <c r="M14" s="2357">
        <f>+I14+K14</f>
        <v>0</v>
      </c>
      <c r="N14" s="451"/>
      <c r="O14" s="139"/>
      <c r="P14" s="139"/>
    </row>
    <row r="15" spans="1:16" ht="12.75" customHeight="1" x14ac:dyDescent="0.25">
      <c r="A15" s="455"/>
      <c r="B15" s="452"/>
      <c r="C15" s="452"/>
      <c r="D15" s="452"/>
      <c r="E15" s="452" t="s">
        <v>840</v>
      </c>
      <c r="F15" s="457"/>
      <c r="G15" s="512">
        <f>G14+1</f>
        <v>7</v>
      </c>
      <c r="H15" s="2355">
        <f t="shared" ref="H15:M15" si="5">+H16+H20</f>
        <v>319784</v>
      </c>
      <c r="I15" s="2356">
        <f t="shared" si="5"/>
        <v>319733</v>
      </c>
      <c r="J15" s="2355">
        <f t="shared" si="5"/>
        <v>41193</v>
      </c>
      <c r="K15" s="2356">
        <f t="shared" si="5"/>
        <v>41193</v>
      </c>
      <c r="L15" s="2355">
        <f t="shared" si="5"/>
        <v>360977</v>
      </c>
      <c r="M15" s="2357">
        <f t="shared" si="5"/>
        <v>360926</v>
      </c>
      <c r="N15" s="444"/>
      <c r="O15" s="139"/>
      <c r="P15" s="139"/>
    </row>
    <row r="16" spans="1:16" s="447" customFormat="1" ht="12.75" customHeight="1" x14ac:dyDescent="0.25">
      <c r="A16" s="455"/>
      <c r="B16" s="452"/>
      <c r="C16" s="452"/>
      <c r="D16" s="452"/>
      <c r="E16" s="452" t="s">
        <v>745</v>
      </c>
      <c r="F16" s="452" t="s">
        <v>841</v>
      </c>
      <c r="G16" s="512">
        <f t="shared" si="2"/>
        <v>8</v>
      </c>
      <c r="H16" s="2355">
        <f t="shared" ref="H16:M16" si="6">+H17+H18+H19</f>
        <v>302537</v>
      </c>
      <c r="I16" s="2356">
        <f t="shared" si="6"/>
        <v>302486</v>
      </c>
      <c r="J16" s="2355">
        <f t="shared" si="6"/>
        <v>40893</v>
      </c>
      <c r="K16" s="2356">
        <f t="shared" si="6"/>
        <v>40893</v>
      </c>
      <c r="L16" s="2355">
        <f t="shared" si="6"/>
        <v>343430</v>
      </c>
      <c r="M16" s="2357">
        <f t="shared" si="6"/>
        <v>343379</v>
      </c>
      <c r="N16" s="451"/>
      <c r="O16" s="355"/>
      <c r="P16" s="355"/>
    </row>
    <row r="17" spans="1:16" s="447" customFormat="1" ht="12.75" customHeight="1" x14ac:dyDescent="0.25">
      <c r="A17" s="455"/>
      <c r="B17" s="452"/>
      <c r="C17" s="452"/>
      <c r="D17" s="452"/>
      <c r="E17" s="438"/>
      <c r="F17" s="452" t="s">
        <v>835</v>
      </c>
      <c r="G17" s="512">
        <f t="shared" si="2"/>
        <v>9</v>
      </c>
      <c r="H17" s="2355">
        <v>292354</v>
      </c>
      <c r="I17" s="2356">
        <v>292354</v>
      </c>
      <c r="J17" s="2355">
        <v>1780</v>
      </c>
      <c r="K17" s="2356">
        <v>1780</v>
      </c>
      <c r="L17" s="2355">
        <f t="shared" ref="L17:M20" si="7">+H17+J17</f>
        <v>294134</v>
      </c>
      <c r="M17" s="2357">
        <f t="shared" si="7"/>
        <v>294134</v>
      </c>
      <c r="N17" s="451"/>
      <c r="O17" s="355"/>
      <c r="P17" s="355"/>
    </row>
    <row r="18" spans="1:16" s="447" customFormat="1" ht="12.75" customHeight="1" x14ac:dyDescent="0.25">
      <c r="A18" s="455"/>
      <c r="B18" s="452"/>
      <c r="C18" s="452"/>
      <c r="D18" s="452"/>
      <c r="E18" s="452"/>
      <c r="F18" s="452" t="s">
        <v>834</v>
      </c>
      <c r="G18" s="512">
        <f t="shared" si="2"/>
        <v>10</v>
      </c>
      <c r="H18" s="2355"/>
      <c r="I18" s="2356"/>
      <c r="J18" s="2355">
        <v>38951</v>
      </c>
      <c r="K18" s="2356">
        <v>38951</v>
      </c>
      <c r="L18" s="2355">
        <f t="shared" si="7"/>
        <v>38951</v>
      </c>
      <c r="M18" s="2357">
        <f t="shared" si="7"/>
        <v>38951</v>
      </c>
      <c r="N18" s="451"/>
      <c r="O18" s="355"/>
      <c r="P18" s="355"/>
    </row>
    <row r="19" spans="1:16" s="447" customFormat="1" ht="12.75" customHeight="1" x14ac:dyDescent="0.25">
      <c r="A19" s="455"/>
      <c r="B19" s="452"/>
      <c r="C19" s="452"/>
      <c r="D19" s="452"/>
      <c r="E19" s="438"/>
      <c r="F19" s="452" t="s">
        <v>836</v>
      </c>
      <c r="G19" s="512">
        <f t="shared" si="2"/>
        <v>11</v>
      </c>
      <c r="H19" s="2355">
        <v>10183</v>
      </c>
      <c r="I19" s="2356">
        <v>10132</v>
      </c>
      <c r="J19" s="2355">
        <v>162</v>
      </c>
      <c r="K19" s="2356">
        <v>162</v>
      </c>
      <c r="L19" s="2355">
        <f t="shared" si="7"/>
        <v>10345</v>
      </c>
      <c r="M19" s="2357">
        <f t="shared" si="7"/>
        <v>10294</v>
      </c>
      <c r="N19" s="451"/>
      <c r="O19" s="355"/>
      <c r="P19" s="355"/>
    </row>
    <row r="20" spans="1:16" s="447" customFormat="1" ht="12.75" customHeight="1" x14ac:dyDescent="0.25">
      <c r="A20" s="455"/>
      <c r="B20" s="452"/>
      <c r="C20" s="452"/>
      <c r="D20" s="452"/>
      <c r="E20" s="452"/>
      <c r="F20" s="452" t="s">
        <v>748</v>
      </c>
      <c r="G20" s="512">
        <f t="shared" si="2"/>
        <v>12</v>
      </c>
      <c r="H20" s="2355">
        <v>17247</v>
      </c>
      <c r="I20" s="2356">
        <v>17247</v>
      </c>
      <c r="J20" s="2355">
        <v>300</v>
      </c>
      <c r="K20" s="2356">
        <v>300</v>
      </c>
      <c r="L20" s="2355">
        <f t="shared" si="7"/>
        <v>17547</v>
      </c>
      <c r="M20" s="2357">
        <f t="shared" si="7"/>
        <v>17547</v>
      </c>
      <c r="N20" s="451"/>
      <c r="O20" s="355"/>
      <c r="P20" s="355"/>
    </row>
    <row r="21" spans="1:16" ht="12.75" customHeight="1" x14ac:dyDescent="0.25">
      <c r="A21" s="455"/>
      <c r="B21" s="452"/>
      <c r="C21" s="2354"/>
      <c r="D21" s="456" t="s">
        <v>842</v>
      </c>
      <c r="E21" s="452"/>
      <c r="F21" s="457"/>
      <c r="G21" s="512">
        <f t="shared" si="2"/>
        <v>13</v>
      </c>
      <c r="H21" s="2355">
        <f t="shared" ref="H21:M21" si="8">+H22+H25</f>
        <v>25116</v>
      </c>
      <c r="I21" s="2356">
        <f t="shared" si="8"/>
        <v>25010</v>
      </c>
      <c r="J21" s="2355">
        <f t="shared" si="8"/>
        <v>11364</v>
      </c>
      <c r="K21" s="2356">
        <f t="shared" si="8"/>
        <v>11364</v>
      </c>
      <c r="L21" s="2355">
        <f t="shared" si="8"/>
        <v>36480</v>
      </c>
      <c r="M21" s="2357">
        <f t="shared" si="8"/>
        <v>36374</v>
      </c>
      <c r="N21" s="444"/>
    </row>
    <row r="22" spans="1:16" ht="12.75" customHeight="1" x14ac:dyDescent="0.25">
      <c r="A22" s="455"/>
      <c r="B22" s="452"/>
      <c r="C22" s="452"/>
      <c r="D22" s="452" t="s">
        <v>481</v>
      </c>
      <c r="E22" s="452" t="s">
        <v>843</v>
      </c>
      <c r="F22" s="457"/>
      <c r="G22" s="512">
        <f t="shared" si="2"/>
        <v>14</v>
      </c>
      <c r="H22" s="2355">
        <f t="shared" ref="H22:M22" si="9">+H23+H24</f>
        <v>0</v>
      </c>
      <c r="I22" s="2356">
        <f t="shared" si="9"/>
        <v>0</v>
      </c>
      <c r="J22" s="2355">
        <f t="shared" si="9"/>
        <v>0</v>
      </c>
      <c r="K22" s="2356">
        <f t="shared" si="9"/>
        <v>0</v>
      </c>
      <c r="L22" s="2355">
        <f t="shared" si="9"/>
        <v>0</v>
      </c>
      <c r="M22" s="2357">
        <f t="shared" si="9"/>
        <v>0</v>
      </c>
      <c r="N22" s="444"/>
    </row>
    <row r="23" spans="1:16" ht="12.75" customHeight="1" x14ac:dyDescent="0.25">
      <c r="A23" s="455"/>
      <c r="B23" s="452"/>
      <c r="C23" s="452"/>
      <c r="D23" s="452"/>
      <c r="E23" s="452" t="s">
        <v>745</v>
      </c>
      <c r="F23" s="452" t="s">
        <v>747</v>
      </c>
      <c r="G23" s="512">
        <f t="shared" si="2"/>
        <v>15</v>
      </c>
      <c r="H23" s="2355"/>
      <c r="I23" s="2356"/>
      <c r="J23" s="2355"/>
      <c r="K23" s="2356"/>
      <c r="L23" s="2355">
        <f>+H23+J23</f>
        <v>0</v>
      </c>
      <c r="M23" s="2357">
        <f>+I23+K23</f>
        <v>0</v>
      </c>
      <c r="N23" s="451"/>
    </row>
    <row r="24" spans="1:16" ht="12.75" customHeight="1" x14ac:dyDescent="0.25">
      <c r="A24" s="455"/>
      <c r="B24" s="452"/>
      <c r="C24" s="452"/>
      <c r="D24" s="452"/>
      <c r="E24" s="438"/>
      <c r="F24" s="452" t="s">
        <v>748</v>
      </c>
      <c r="G24" s="512">
        <f t="shared" si="2"/>
        <v>16</v>
      </c>
      <c r="H24" s="2355"/>
      <c r="I24" s="2356"/>
      <c r="J24" s="2355"/>
      <c r="K24" s="2356"/>
      <c r="L24" s="2355">
        <f>+H24+J24</f>
        <v>0</v>
      </c>
      <c r="M24" s="2357">
        <f>+I24+K24</f>
        <v>0</v>
      </c>
      <c r="N24" s="451"/>
    </row>
    <row r="25" spans="1:16" ht="12.75" customHeight="1" x14ac:dyDescent="0.25">
      <c r="A25" s="455"/>
      <c r="B25" s="452"/>
      <c r="C25" s="452"/>
      <c r="D25" s="452"/>
      <c r="E25" s="452" t="s">
        <v>844</v>
      </c>
      <c r="F25" s="457"/>
      <c r="G25" s="512">
        <f>G24+1</f>
        <v>17</v>
      </c>
      <c r="H25" s="2355">
        <f t="shared" ref="H25:M25" si="10">+H26+H27</f>
        <v>25116</v>
      </c>
      <c r="I25" s="2356">
        <f t="shared" si="10"/>
        <v>25010</v>
      </c>
      <c r="J25" s="2355">
        <f t="shared" si="10"/>
        <v>11364</v>
      </c>
      <c r="K25" s="2356">
        <f t="shared" si="10"/>
        <v>11364</v>
      </c>
      <c r="L25" s="2355">
        <f t="shared" si="10"/>
        <v>36480</v>
      </c>
      <c r="M25" s="2357">
        <f t="shared" si="10"/>
        <v>36374</v>
      </c>
      <c r="N25" s="444"/>
    </row>
    <row r="26" spans="1:16" ht="12.75" customHeight="1" x14ac:dyDescent="0.25">
      <c r="A26" s="455"/>
      <c r="B26" s="452"/>
      <c r="C26" s="452"/>
      <c r="D26" s="452"/>
      <c r="E26" s="452" t="s">
        <v>745</v>
      </c>
      <c r="F26" s="452" t="s">
        <v>747</v>
      </c>
      <c r="G26" s="512">
        <f t="shared" si="2"/>
        <v>18</v>
      </c>
      <c r="H26" s="2355">
        <v>5622</v>
      </c>
      <c r="I26" s="2356">
        <v>5622</v>
      </c>
      <c r="J26" s="2355"/>
      <c r="K26" s="2356"/>
      <c r="L26" s="2355">
        <f>+H26+J26</f>
        <v>5622</v>
      </c>
      <c r="M26" s="2357">
        <f>+I26+K26</f>
        <v>5622</v>
      </c>
      <c r="N26" s="451"/>
    </row>
    <row r="27" spans="1:16" ht="12.75" customHeight="1" x14ac:dyDescent="0.25">
      <c r="A27" s="455"/>
      <c r="B27" s="452"/>
      <c r="C27" s="452"/>
      <c r="D27" s="452"/>
      <c r="E27" s="438"/>
      <c r="F27" s="452" t="s">
        <v>748</v>
      </c>
      <c r="G27" s="512">
        <f t="shared" si="2"/>
        <v>19</v>
      </c>
      <c r="H27" s="2355">
        <v>19494</v>
      </c>
      <c r="I27" s="2356">
        <v>19388</v>
      </c>
      <c r="J27" s="2355">
        <v>11364</v>
      </c>
      <c r="K27" s="2356">
        <v>11364</v>
      </c>
      <c r="L27" s="2355">
        <f>+H27+J27</f>
        <v>30858</v>
      </c>
      <c r="M27" s="2357">
        <f>+I27+K27</f>
        <v>30752</v>
      </c>
      <c r="N27" s="451"/>
    </row>
    <row r="28" spans="1:16" ht="12.75" customHeight="1" x14ac:dyDescent="0.25">
      <c r="A28" s="455"/>
      <c r="B28" s="452"/>
      <c r="C28" s="2354"/>
      <c r="D28" s="456" t="s">
        <v>845</v>
      </c>
      <c r="E28" s="452"/>
      <c r="F28" s="457"/>
      <c r="G28" s="512">
        <f t="shared" si="2"/>
        <v>20</v>
      </c>
      <c r="H28" s="2355">
        <f t="shared" ref="H28:M28" si="11">+H29+H32</f>
        <v>1837</v>
      </c>
      <c r="I28" s="2356">
        <f t="shared" si="11"/>
        <v>1837</v>
      </c>
      <c r="J28" s="2355">
        <f t="shared" si="11"/>
        <v>0</v>
      </c>
      <c r="K28" s="2356">
        <f t="shared" si="11"/>
        <v>0</v>
      </c>
      <c r="L28" s="2355">
        <f t="shared" si="11"/>
        <v>1837</v>
      </c>
      <c r="M28" s="2357">
        <f t="shared" si="11"/>
        <v>1837</v>
      </c>
      <c r="N28" s="444"/>
    </row>
    <row r="29" spans="1:16" ht="12.75" customHeight="1" x14ac:dyDescent="0.25">
      <c r="A29" s="455"/>
      <c r="B29" s="452"/>
      <c r="C29" s="452"/>
      <c r="D29" s="452" t="s">
        <v>481</v>
      </c>
      <c r="E29" s="452" t="s">
        <v>846</v>
      </c>
      <c r="F29" s="457"/>
      <c r="G29" s="512">
        <f t="shared" si="2"/>
        <v>21</v>
      </c>
      <c r="H29" s="2355">
        <f t="shared" ref="H29:M29" si="12">+H30+H31</f>
        <v>1332</v>
      </c>
      <c r="I29" s="2356">
        <f t="shared" si="12"/>
        <v>1332</v>
      </c>
      <c r="J29" s="2355">
        <f t="shared" si="12"/>
        <v>0</v>
      </c>
      <c r="K29" s="2356">
        <f t="shared" si="12"/>
        <v>0</v>
      </c>
      <c r="L29" s="2355">
        <f t="shared" si="12"/>
        <v>1332</v>
      </c>
      <c r="M29" s="2357">
        <f t="shared" si="12"/>
        <v>1332</v>
      </c>
      <c r="N29" s="444"/>
    </row>
    <row r="30" spans="1:16" ht="12.75" customHeight="1" x14ac:dyDescent="0.25">
      <c r="A30" s="455"/>
      <c r="B30" s="452"/>
      <c r="C30" s="452"/>
      <c r="D30" s="452"/>
      <c r="E30" s="452" t="s">
        <v>745</v>
      </c>
      <c r="F30" s="452" t="s">
        <v>747</v>
      </c>
      <c r="G30" s="512">
        <f t="shared" si="2"/>
        <v>22</v>
      </c>
      <c r="H30" s="2355">
        <v>1332</v>
      </c>
      <c r="I30" s="2356">
        <v>1332</v>
      </c>
      <c r="J30" s="2355"/>
      <c r="K30" s="2356"/>
      <c r="L30" s="2355">
        <f>+H30+J30</f>
        <v>1332</v>
      </c>
      <c r="M30" s="2357">
        <f>+I30+K30</f>
        <v>1332</v>
      </c>
      <c r="N30" s="451"/>
    </row>
    <row r="31" spans="1:16" ht="12.75" customHeight="1" x14ac:dyDescent="0.25">
      <c r="A31" s="455"/>
      <c r="B31" s="452"/>
      <c r="C31" s="452"/>
      <c r="D31" s="452"/>
      <c r="E31" s="438"/>
      <c r="F31" s="452" t="s">
        <v>748</v>
      </c>
      <c r="G31" s="512">
        <f t="shared" si="2"/>
        <v>23</v>
      </c>
      <c r="H31" s="2355"/>
      <c r="I31" s="2356"/>
      <c r="J31" s="2355"/>
      <c r="K31" s="2356"/>
      <c r="L31" s="2355">
        <f>+H31+J31</f>
        <v>0</v>
      </c>
      <c r="M31" s="2357">
        <f>+I31+K31</f>
        <v>0</v>
      </c>
      <c r="N31" s="451"/>
    </row>
    <row r="32" spans="1:16" ht="13.5" customHeight="1" x14ac:dyDescent="0.25">
      <c r="A32" s="455"/>
      <c r="B32" s="452"/>
      <c r="C32" s="452"/>
      <c r="D32" s="452"/>
      <c r="E32" s="452" t="s">
        <v>917</v>
      </c>
      <c r="F32" s="457"/>
      <c r="G32" s="512">
        <f t="shared" si="2"/>
        <v>24</v>
      </c>
      <c r="H32" s="2355">
        <f t="shared" ref="H32:M32" si="13">+H33+H34</f>
        <v>505</v>
      </c>
      <c r="I32" s="2356">
        <f t="shared" si="13"/>
        <v>505</v>
      </c>
      <c r="J32" s="2355">
        <f t="shared" si="13"/>
        <v>0</v>
      </c>
      <c r="K32" s="2356">
        <f t="shared" si="13"/>
        <v>0</v>
      </c>
      <c r="L32" s="2355">
        <f t="shared" si="13"/>
        <v>505</v>
      </c>
      <c r="M32" s="2357">
        <f t="shared" si="13"/>
        <v>505</v>
      </c>
      <c r="N32" s="451"/>
    </row>
    <row r="33" spans="1:16" ht="13.5" customHeight="1" x14ac:dyDescent="0.25">
      <c r="A33" s="455"/>
      <c r="B33" s="452"/>
      <c r="C33" s="452"/>
      <c r="D33" s="452"/>
      <c r="E33" s="452" t="s">
        <v>745</v>
      </c>
      <c r="F33" s="452" t="s">
        <v>747</v>
      </c>
      <c r="G33" s="512">
        <f t="shared" si="2"/>
        <v>25</v>
      </c>
      <c r="H33" s="2355">
        <v>505</v>
      </c>
      <c r="I33" s="2356">
        <v>505</v>
      </c>
      <c r="J33" s="2355"/>
      <c r="K33" s="2356"/>
      <c r="L33" s="2355">
        <f>+H33+J33</f>
        <v>505</v>
      </c>
      <c r="M33" s="2357">
        <f>+I33+K33</f>
        <v>505</v>
      </c>
      <c r="N33" s="451"/>
    </row>
    <row r="34" spans="1:16" ht="13.5" customHeight="1" x14ac:dyDescent="0.25">
      <c r="A34" s="455"/>
      <c r="B34" s="452"/>
      <c r="C34" s="452"/>
      <c r="D34" s="452"/>
      <c r="E34" s="438"/>
      <c r="F34" s="452" t="s">
        <v>748</v>
      </c>
      <c r="G34" s="512">
        <f t="shared" si="2"/>
        <v>26</v>
      </c>
      <c r="H34" s="2355"/>
      <c r="I34" s="2356"/>
      <c r="J34" s="2355"/>
      <c r="K34" s="2356"/>
      <c r="L34" s="2355">
        <f>+H34+J34</f>
        <v>0</v>
      </c>
      <c r="M34" s="2357">
        <f>+I34+K34</f>
        <v>0</v>
      </c>
      <c r="N34" s="451"/>
    </row>
    <row r="35" spans="1:16" ht="12.75" customHeight="1" x14ac:dyDescent="0.25">
      <c r="A35" s="2367"/>
      <c r="B35" s="2524" t="s">
        <v>1911</v>
      </c>
      <c r="C35" s="2524"/>
      <c r="D35" s="2524" t="s">
        <v>639</v>
      </c>
      <c r="E35" s="2524" t="s">
        <v>746</v>
      </c>
      <c r="F35" s="2525"/>
      <c r="G35" s="2363">
        <f>G34+1</f>
        <v>27</v>
      </c>
      <c r="H35" s="2364">
        <f t="shared" ref="H35:M35" si="14">+H36+H37</f>
        <v>8040</v>
      </c>
      <c r="I35" s="2365">
        <f t="shared" si="14"/>
        <v>8040</v>
      </c>
      <c r="J35" s="2364">
        <f t="shared" si="14"/>
        <v>0</v>
      </c>
      <c r="K35" s="2365">
        <f t="shared" si="14"/>
        <v>0</v>
      </c>
      <c r="L35" s="2364">
        <f t="shared" si="14"/>
        <v>8040</v>
      </c>
      <c r="M35" s="2366">
        <f t="shared" si="14"/>
        <v>8040</v>
      </c>
      <c r="N35" s="444"/>
    </row>
    <row r="36" spans="1:16" s="447" customFormat="1" ht="12.75" customHeight="1" x14ac:dyDescent="0.25">
      <c r="A36" s="455"/>
      <c r="B36" s="448"/>
      <c r="C36" s="448"/>
      <c r="D36" s="448"/>
      <c r="E36" s="449" t="s">
        <v>747</v>
      </c>
      <c r="F36" s="450"/>
      <c r="G36" s="512">
        <f>G35+1</f>
        <v>28</v>
      </c>
      <c r="H36" s="607">
        <f>7831+157</f>
        <v>7988</v>
      </c>
      <c r="I36" s="608">
        <f>7831+157</f>
        <v>7988</v>
      </c>
      <c r="J36" s="607"/>
      <c r="K36" s="608"/>
      <c r="L36" s="607">
        <f>+H36+J36</f>
        <v>7988</v>
      </c>
      <c r="M36" s="2357">
        <f>+I36+K36</f>
        <v>7988</v>
      </c>
      <c r="N36" s="451"/>
    </row>
    <row r="37" spans="1:16" s="447" customFormat="1" ht="12.75" customHeight="1" thickBot="1" x14ac:dyDescent="0.3">
      <c r="A37" s="2353"/>
      <c r="B37" s="460"/>
      <c r="C37" s="460"/>
      <c r="D37" s="460"/>
      <c r="E37" s="544" t="s">
        <v>748</v>
      </c>
      <c r="F37" s="545"/>
      <c r="G37" s="546">
        <f t="shared" si="2"/>
        <v>29</v>
      </c>
      <c r="H37" s="609">
        <v>52</v>
      </c>
      <c r="I37" s="610">
        <v>52</v>
      </c>
      <c r="J37" s="609"/>
      <c r="K37" s="610"/>
      <c r="L37" s="609">
        <f>+H37+J37</f>
        <v>52</v>
      </c>
      <c r="M37" s="611">
        <f>+I37+K37</f>
        <v>52</v>
      </c>
      <c r="N37" s="451"/>
    </row>
    <row r="38" spans="1:16" s="447" customFormat="1" ht="12.75" customHeight="1" thickBot="1" x14ac:dyDescent="0.3">
      <c r="A38" s="453"/>
      <c r="B38" s="453"/>
      <c r="C38" s="453"/>
      <c r="D38" s="453"/>
      <c r="E38" s="453"/>
      <c r="F38" s="453"/>
      <c r="G38" s="453"/>
      <c r="H38" s="612"/>
      <c r="I38" s="612"/>
      <c r="J38" s="612"/>
      <c r="K38" s="612"/>
      <c r="L38" s="612"/>
      <c r="M38" s="612"/>
      <c r="N38" s="454"/>
    </row>
    <row r="39" spans="1:16" ht="12.75" customHeight="1" x14ac:dyDescent="0.25">
      <c r="A39" s="2528" t="s">
        <v>847</v>
      </c>
      <c r="B39" s="2529"/>
      <c r="C39" s="2529"/>
      <c r="D39" s="2529"/>
      <c r="E39" s="2529"/>
      <c r="F39" s="2530"/>
      <c r="G39" s="2368">
        <f>G37+1</f>
        <v>30</v>
      </c>
      <c r="H39" s="2369">
        <f t="shared" ref="H39:M39" si="15">+H40+H45</f>
        <v>354777</v>
      </c>
      <c r="I39" s="2370">
        <f t="shared" si="15"/>
        <v>354620</v>
      </c>
      <c r="J39" s="2369">
        <f t="shared" si="15"/>
        <v>52557</v>
      </c>
      <c r="K39" s="2370">
        <f t="shared" si="15"/>
        <v>52557</v>
      </c>
      <c r="L39" s="2369">
        <f t="shared" si="15"/>
        <v>407334</v>
      </c>
      <c r="M39" s="2371">
        <f t="shared" si="15"/>
        <v>407177</v>
      </c>
      <c r="N39" s="444"/>
      <c r="O39" s="447"/>
      <c r="P39" s="447"/>
    </row>
    <row r="40" spans="1:16" ht="12.75" customHeight="1" x14ac:dyDescent="0.25">
      <c r="A40" s="455"/>
      <c r="B40" s="452"/>
      <c r="C40" s="2354" t="s">
        <v>745</v>
      </c>
      <c r="D40" s="452" t="s">
        <v>848</v>
      </c>
      <c r="E40" s="452"/>
      <c r="F40" s="457"/>
      <c r="G40" s="512">
        <f t="shared" ref="G40:G58" si="16">G39+1</f>
        <v>31</v>
      </c>
      <c r="H40" s="2355">
        <f t="shared" ref="H40:M40" si="17">+H41+H42+H43+H44</f>
        <v>317984</v>
      </c>
      <c r="I40" s="2356">
        <f t="shared" si="17"/>
        <v>317933</v>
      </c>
      <c r="J40" s="2355">
        <f t="shared" si="17"/>
        <v>40893</v>
      </c>
      <c r="K40" s="2356">
        <f t="shared" si="17"/>
        <v>40893</v>
      </c>
      <c r="L40" s="2355">
        <f t="shared" si="17"/>
        <v>358877</v>
      </c>
      <c r="M40" s="2357">
        <f t="shared" si="17"/>
        <v>358826</v>
      </c>
      <c r="N40" s="458"/>
      <c r="O40" s="447"/>
      <c r="P40" s="447"/>
    </row>
    <row r="41" spans="1:16" ht="12.75" customHeight="1" x14ac:dyDescent="0.25">
      <c r="A41" s="455"/>
      <c r="B41" s="452"/>
      <c r="C41" s="452"/>
      <c r="D41" s="2358" t="s">
        <v>745</v>
      </c>
      <c r="E41" s="456" t="s">
        <v>849</v>
      </c>
      <c r="F41" s="457"/>
      <c r="G41" s="512">
        <f t="shared" si="16"/>
        <v>32</v>
      </c>
      <c r="H41" s="2355">
        <f t="shared" ref="H41:M41" si="18">+H13+H16</f>
        <v>302537</v>
      </c>
      <c r="I41" s="2356">
        <f t="shared" si="18"/>
        <v>302486</v>
      </c>
      <c r="J41" s="2355">
        <f t="shared" si="18"/>
        <v>40893</v>
      </c>
      <c r="K41" s="2356">
        <f t="shared" si="18"/>
        <v>40893</v>
      </c>
      <c r="L41" s="2355">
        <f t="shared" si="18"/>
        <v>343430</v>
      </c>
      <c r="M41" s="2357">
        <f t="shared" si="18"/>
        <v>343379</v>
      </c>
      <c r="N41" s="458"/>
      <c r="O41" s="447"/>
      <c r="P41" s="447"/>
    </row>
    <row r="42" spans="1:16" ht="12.75" customHeight="1" x14ac:dyDescent="0.25">
      <c r="A42" s="455"/>
      <c r="B42" s="452"/>
      <c r="C42" s="452"/>
      <c r="D42" s="452"/>
      <c r="E42" s="456" t="s">
        <v>850</v>
      </c>
      <c r="F42" s="457"/>
      <c r="G42" s="512">
        <f t="shared" si="16"/>
        <v>33</v>
      </c>
      <c r="H42" s="2355">
        <f t="shared" ref="H42:M42" si="19">+H23+H26</f>
        <v>5622</v>
      </c>
      <c r="I42" s="2356">
        <f t="shared" si="19"/>
        <v>5622</v>
      </c>
      <c r="J42" s="2355">
        <f t="shared" si="19"/>
        <v>0</v>
      </c>
      <c r="K42" s="2356">
        <f t="shared" si="19"/>
        <v>0</v>
      </c>
      <c r="L42" s="2355">
        <f t="shared" si="19"/>
        <v>5622</v>
      </c>
      <c r="M42" s="2357">
        <f t="shared" si="19"/>
        <v>5622</v>
      </c>
      <c r="N42" s="458"/>
      <c r="O42" s="447"/>
      <c r="P42" s="447"/>
    </row>
    <row r="43" spans="1:16" ht="12.75" customHeight="1" x14ac:dyDescent="0.25">
      <c r="A43" s="455"/>
      <c r="B43" s="452"/>
      <c r="C43" s="452"/>
      <c r="D43" s="452"/>
      <c r="E43" s="456" t="s">
        <v>851</v>
      </c>
      <c r="F43" s="457"/>
      <c r="G43" s="512">
        <f t="shared" si="16"/>
        <v>34</v>
      </c>
      <c r="H43" s="2355">
        <f t="shared" ref="H43:M43" si="20">+H30+H33</f>
        <v>1837</v>
      </c>
      <c r="I43" s="2356">
        <f t="shared" si="20"/>
        <v>1837</v>
      </c>
      <c r="J43" s="2355">
        <f t="shared" si="20"/>
        <v>0</v>
      </c>
      <c r="K43" s="2356">
        <f t="shared" si="20"/>
        <v>0</v>
      </c>
      <c r="L43" s="2355">
        <f t="shared" si="20"/>
        <v>1837</v>
      </c>
      <c r="M43" s="2357">
        <f t="shared" si="20"/>
        <v>1837</v>
      </c>
      <c r="N43" s="459"/>
      <c r="O43" s="447"/>
      <c r="P43" s="447"/>
    </row>
    <row r="44" spans="1:16" ht="12.75" customHeight="1" x14ac:dyDescent="0.25">
      <c r="A44" s="455"/>
      <c r="B44" s="452"/>
      <c r="C44" s="452"/>
      <c r="D44" s="2358"/>
      <c r="E44" s="452" t="s">
        <v>852</v>
      </c>
      <c r="F44" s="457"/>
      <c r="G44" s="512">
        <f t="shared" si="16"/>
        <v>35</v>
      </c>
      <c r="H44" s="2355">
        <f t="shared" ref="H44:M44" si="21">+H36</f>
        <v>7988</v>
      </c>
      <c r="I44" s="2356">
        <f t="shared" si="21"/>
        <v>7988</v>
      </c>
      <c r="J44" s="2355">
        <f t="shared" si="21"/>
        <v>0</v>
      </c>
      <c r="K44" s="2356">
        <f t="shared" si="21"/>
        <v>0</v>
      </c>
      <c r="L44" s="2355">
        <f t="shared" si="21"/>
        <v>7988</v>
      </c>
      <c r="M44" s="2357">
        <f t="shared" si="21"/>
        <v>7988</v>
      </c>
      <c r="N44" s="459"/>
      <c r="O44" s="447"/>
      <c r="P44" s="447"/>
    </row>
    <row r="45" spans="1:16" ht="12.75" customHeight="1" x14ac:dyDescent="0.25">
      <c r="A45" s="455"/>
      <c r="B45" s="452"/>
      <c r="C45" s="456"/>
      <c r="D45" s="452" t="s">
        <v>853</v>
      </c>
      <c r="E45" s="452"/>
      <c r="F45" s="457"/>
      <c r="G45" s="512">
        <f t="shared" si="16"/>
        <v>36</v>
      </c>
      <c r="H45" s="2355">
        <f t="shared" ref="H45:M45" si="22">+H46+H47+H48+H49</f>
        <v>36793</v>
      </c>
      <c r="I45" s="2356">
        <f t="shared" si="22"/>
        <v>36687</v>
      </c>
      <c r="J45" s="2355">
        <f t="shared" si="22"/>
        <v>11664</v>
      </c>
      <c r="K45" s="2356">
        <f t="shared" si="22"/>
        <v>11664</v>
      </c>
      <c r="L45" s="2355">
        <f t="shared" si="22"/>
        <v>48457</v>
      </c>
      <c r="M45" s="2357">
        <f t="shared" si="22"/>
        <v>48351</v>
      </c>
      <c r="N45" s="459"/>
    </row>
    <row r="46" spans="1:16" ht="12.75" customHeight="1" x14ac:dyDescent="0.25">
      <c r="A46" s="455"/>
      <c r="B46" s="452"/>
      <c r="C46" s="456"/>
      <c r="D46" s="2358" t="s">
        <v>745</v>
      </c>
      <c r="E46" s="456" t="s">
        <v>854</v>
      </c>
      <c r="F46" s="457"/>
      <c r="G46" s="512">
        <f t="shared" si="16"/>
        <v>37</v>
      </c>
      <c r="H46" s="2355">
        <f t="shared" ref="H46:M46" si="23">+H14+H20</f>
        <v>17247</v>
      </c>
      <c r="I46" s="2356">
        <f t="shared" si="23"/>
        <v>17247</v>
      </c>
      <c r="J46" s="2355">
        <f t="shared" si="23"/>
        <v>300</v>
      </c>
      <c r="K46" s="2356">
        <f t="shared" si="23"/>
        <v>300</v>
      </c>
      <c r="L46" s="2355">
        <f t="shared" si="23"/>
        <v>17547</v>
      </c>
      <c r="M46" s="2357">
        <f t="shared" si="23"/>
        <v>17547</v>
      </c>
      <c r="N46" s="458"/>
    </row>
    <row r="47" spans="1:16" ht="12.75" customHeight="1" x14ac:dyDescent="0.25">
      <c r="A47" s="455"/>
      <c r="B47" s="452"/>
      <c r="C47" s="456"/>
      <c r="D47" s="452"/>
      <c r="E47" s="456" t="s">
        <v>855</v>
      </c>
      <c r="F47" s="457"/>
      <c r="G47" s="512">
        <f t="shared" si="16"/>
        <v>38</v>
      </c>
      <c r="H47" s="2355">
        <f t="shared" ref="H47:M47" si="24">+H24+H27</f>
        <v>19494</v>
      </c>
      <c r="I47" s="2356">
        <f t="shared" si="24"/>
        <v>19388</v>
      </c>
      <c r="J47" s="2355">
        <f t="shared" si="24"/>
        <v>11364</v>
      </c>
      <c r="K47" s="2356">
        <f t="shared" si="24"/>
        <v>11364</v>
      </c>
      <c r="L47" s="2355">
        <f t="shared" si="24"/>
        <v>30858</v>
      </c>
      <c r="M47" s="2357">
        <f t="shared" si="24"/>
        <v>30752</v>
      </c>
      <c r="N47" s="459"/>
    </row>
    <row r="48" spans="1:16" ht="12.75" customHeight="1" x14ac:dyDescent="0.25">
      <c r="A48" s="455"/>
      <c r="B48" s="452"/>
      <c r="C48" s="452"/>
      <c r="D48" s="452"/>
      <c r="E48" s="456" t="s">
        <v>856</v>
      </c>
      <c r="F48" s="457"/>
      <c r="G48" s="512">
        <f t="shared" si="16"/>
        <v>39</v>
      </c>
      <c r="H48" s="2355">
        <f t="shared" ref="H48:M48" si="25">+H31+H34</f>
        <v>0</v>
      </c>
      <c r="I48" s="2356">
        <f t="shared" si="25"/>
        <v>0</v>
      </c>
      <c r="J48" s="2355">
        <f t="shared" si="25"/>
        <v>0</v>
      </c>
      <c r="K48" s="2356">
        <f t="shared" si="25"/>
        <v>0</v>
      </c>
      <c r="L48" s="2355">
        <f t="shared" si="25"/>
        <v>0</v>
      </c>
      <c r="M48" s="2357">
        <f t="shared" si="25"/>
        <v>0</v>
      </c>
      <c r="N48" s="459"/>
    </row>
    <row r="49" spans="1:14" ht="12.75" customHeight="1" x14ac:dyDescent="0.25">
      <c r="A49" s="455"/>
      <c r="B49" s="452"/>
      <c r="C49" s="452"/>
      <c r="D49" s="2358"/>
      <c r="E49" s="452" t="s">
        <v>857</v>
      </c>
      <c r="F49" s="457"/>
      <c r="G49" s="512">
        <f t="shared" si="16"/>
        <v>40</v>
      </c>
      <c r="H49" s="2355">
        <f t="shared" ref="H49:M49" si="26">+H37</f>
        <v>52</v>
      </c>
      <c r="I49" s="2356">
        <f t="shared" si="26"/>
        <v>52</v>
      </c>
      <c r="J49" s="2355">
        <f t="shared" si="26"/>
        <v>0</v>
      </c>
      <c r="K49" s="2356">
        <f t="shared" si="26"/>
        <v>0</v>
      </c>
      <c r="L49" s="2355">
        <f t="shared" si="26"/>
        <v>52</v>
      </c>
      <c r="M49" s="2357">
        <f t="shared" si="26"/>
        <v>52</v>
      </c>
      <c r="N49" s="459"/>
    </row>
    <row r="50" spans="1:14" ht="12.75" customHeight="1" x14ac:dyDescent="0.25">
      <c r="A50" s="2545" t="s">
        <v>858</v>
      </c>
      <c r="B50" s="2546"/>
      <c r="C50" s="2546"/>
      <c r="D50" s="2546"/>
      <c r="E50" s="2546"/>
      <c r="F50" s="2547"/>
      <c r="G50" s="2372">
        <f t="shared" si="16"/>
        <v>41</v>
      </c>
      <c r="H50" s="2364">
        <f t="shared" ref="H50:M50" si="27">+H51+H55</f>
        <v>354777</v>
      </c>
      <c r="I50" s="2365">
        <f t="shared" si="27"/>
        <v>354620</v>
      </c>
      <c r="J50" s="2364">
        <f t="shared" si="27"/>
        <v>52557</v>
      </c>
      <c r="K50" s="2365">
        <f t="shared" si="27"/>
        <v>52557</v>
      </c>
      <c r="L50" s="2364">
        <f t="shared" si="27"/>
        <v>407334</v>
      </c>
      <c r="M50" s="2366">
        <f t="shared" si="27"/>
        <v>407177</v>
      </c>
      <c r="N50" s="444"/>
    </row>
    <row r="51" spans="1:14" ht="12.75" customHeight="1" x14ac:dyDescent="0.25">
      <c r="A51" s="455"/>
      <c r="B51" s="452"/>
      <c r="C51" s="2354" t="s">
        <v>745</v>
      </c>
      <c r="D51" s="452" t="s">
        <v>859</v>
      </c>
      <c r="E51" s="452"/>
      <c r="F51" s="457"/>
      <c r="G51" s="512">
        <f t="shared" si="16"/>
        <v>42</v>
      </c>
      <c r="H51" s="2355">
        <f t="shared" ref="H51:M51" si="28">+H52+H53+H54</f>
        <v>317984</v>
      </c>
      <c r="I51" s="2356">
        <f t="shared" si="28"/>
        <v>317933</v>
      </c>
      <c r="J51" s="2355">
        <f t="shared" si="28"/>
        <v>40893</v>
      </c>
      <c r="K51" s="2356">
        <f t="shared" si="28"/>
        <v>40893</v>
      </c>
      <c r="L51" s="2355">
        <f t="shared" si="28"/>
        <v>358877</v>
      </c>
      <c r="M51" s="2357">
        <f t="shared" si="28"/>
        <v>358826</v>
      </c>
      <c r="N51" s="458"/>
    </row>
    <row r="52" spans="1:14" ht="12.75" customHeight="1" x14ac:dyDescent="0.25">
      <c r="A52" s="455"/>
      <c r="B52" s="452"/>
      <c r="C52" s="452"/>
      <c r="D52" s="2358" t="s">
        <v>745</v>
      </c>
      <c r="E52" s="452" t="s">
        <v>902</v>
      </c>
      <c r="F52" s="457"/>
      <c r="G52" s="512">
        <f t="shared" si="16"/>
        <v>43</v>
      </c>
      <c r="H52" s="2355">
        <f t="shared" ref="H52:M52" si="29">+H13+H23+H30</f>
        <v>1332</v>
      </c>
      <c r="I52" s="2356">
        <f t="shared" si="29"/>
        <v>1332</v>
      </c>
      <c r="J52" s="2355">
        <f t="shared" si="29"/>
        <v>0</v>
      </c>
      <c r="K52" s="2356">
        <f t="shared" si="29"/>
        <v>0</v>
      </c>
      <c r="L52" s="2355">
        <f t="shared" si="29"/>
        <v>1332</v>
      </c>
      <c r="M52" s="2357">
        <f t="shared" si="29"/>
        <v>1332</v>
      </c>
      <c r="N52" s="458"/>
    </row>
    <row r="53" spans="1:14" ht="12.75" customHeight="1" x14ac:dyDescent="0.25">
      <c r="A53" s="455"/>
      <c r="B53" s="452"/>
      <c r="C53" s="452"/>
      <c r="D53" s="452"/>
      <c r="E53" s="452" t="s">
        <v>860</v>
      </c>
      <c r="F53" s="457"/>
      <c r="G53" s="512">
        <f t="shared" si="16"/>
        <v>44</v>
      </c>
      <c r="H53" s="2355">
        <f t="shared" ref="H53:M53" si="30">+H16+H26+H33</f>
        <v>308664</v>
      </c>
      <c r="I53" s="2356">
        <f t="shared" si="30"/>
        <v>308613</v>
      </c>
      <c r="J53" s="2355">
        <f t="shared" si="30"/>
        <v>40893</v>
      </c>
      <c r="K53" s="2356">
        <f t="shared" si="30"/>
        <v>40893</v>
      </c>
      <c r="L53" s="2355">
        <f t="shared" si="30"/>
        <v>349557</v>
      </c>
      <c r="M53" s="2357">
        <f t="shared" si="30"/>
        <v>349506</v>
      </c>
      <c r="N53" s="458"/>
    </row>
    <row r="54" spans="1:14" ht="12.75" customHeight="1" x14ac:dyDescent="0.25">
      <c r="A54" s="455"/>
      <c r="B54" s="452"/>
      <c r="C54" s="452"/>
      <c r="D54" s="2358"/>
      <c r="E54" s="452" t="s">
        <v>861</v>
      </c>
      <c r="F54" s="457"/>
      <c r="G54" s="512">
        <f t="shared" si="16"/>
        <v>45</v>
      </c>
      <c r="H54" s="2355">
        <f t="shared" ref="H54:M54" si="31">+H36</f>
        <v>7988</v>
      </c>
      <c r="I54" s="2356">
        <f t="shared" si="31"/>
        <v>7988</v>
      </c>
      <c r="J54" s="2355">
        <f t="shared" si="31"/>
        <v>0</v>
      </c>
      <c r="K54" s="2356">
        <f t="shared" si="31"/>
        <v>0</v>
      </c>
      <c r="L54" s="2355">
        <f t="shared" si="31"/>
        <v>7988</v>
      </c>
      <c r="M54" s="2357">
        <f t="shared" si="31"/>
        <v>7988</v>
      </c>
      <c r="N54" s="458"/>
    </row>
    <row r="55" spans="1:14" ht="12.75" customHeight="1" x14ac:dyDescent="0.25">
      <c r="A55" s="455"/>
      <c r="B55" s="452"/>
      <c r="C55" s="456"/>
      <c r="D55" s="452" t="s">
        <v>862</v>
      </c>
      <c r="E55" s="452"/>
      <c r="F55" s="457"/>
      <c r="G55" s="512">
        <f t="shared" si="16"/>
        <v>46</v>
      </c>
      <c r="H55" s="2355">
        <f t="shared" ref="H55:M55" si="32">+H56+H57+H58</f>
        <v>36793</v>
      </c>
      <c r="I55" s="2356">
        <f t="shared" si="32"/>
        <v>36687</v>
      </c>
      <c r="J55" s="2355">
        <f t="shared" si="32"/>
        <v>11664</v>
      </c>
      <c r="K55" s="2356">
        <f t="shared" si="32"/>
        <v>11664</v>
      </c>
      <c r="L55" s="2355">
        <f t="shared" si="32"/>
        <v>48457</v>
      </c>
      <c r="M55" s="2357">
        <f t="shared" si="32"/>
        <v>48351</v>
      </c>
      <c r="N55" s="459"/>
    </row>
    <row r="56" spans="1:14" ht="12.75" customHeight="1" x14ac:dyDescent="0.25">
      <c r="A56" s="455"/>
      <c r="B56" s="452"/>
      <c r="C56" s="456"/>
      <c r="D56" s="2358" t="s">
        <v>745</v>
      </c>
      <c r="E56" s="452" t="s">
        <v>903</v>
      </c>
      <c r="F56" s="457"/>
      <c r="G56" s="512">
        <f t="shared" si="16"/>
        <v>47</v>
      </c>
      <c r="H56" s="2355">
        <f t="shared" ref="H56:M56" si="33">+H14+H24+H31</f>
        <v>0</v>
      </c>
      <c r="I56" s="2356">
        <f t="shared" si="33"/>
        <v>0</v>
      </c>
      <c r="J56" s="2355">
        <f t="shared" si="33"/>
        <v>0</v>
      </c>
      <c r="K56" s="2356">
        <f t="shared" si="33"/>
        <v>0</v>
      </c>
      <c r="L56" s="2355">
        <f t="shared" si="33"/>
        <v>0</v>
      </c>
      <c r="M56" s="2357">
        <f t="shared" si="33"/>
        <v>0</v>
      </c>
      <c r="N56" s="451"/>
    </row>
    <row r="57" spans="1:14" ht="12.75" customHeight="1" x14ac:dyDescent="0.25">
      <c r="A57" s="455"/>
      <c r="B57" s="452"/>
      <c r="C57" s="456"/>
      <c r="D57" s="452"/>
      <c r="E57" s="452" t="s">
        <v>863</v>
      </c>
      <c r="F57" s="457"/>
      <c r="G57" s="512">
        <f t="shared" si="16"/>
        <v>48</v>
      </c>
      <c r="H57" s="2355">
        <f t="shared" ref="H57:M57" si="34">+H20+H27+H34</f>
        <v>36741</v>
      </c>
      <c r="I57" s="2356">
        <f t="shared" si="34"/>
        <v>36635</v>
      </c>
      <c r="J57" s="2355">
        <f t="shared" si="34"/>
        <v>11664</v>
      </c>
      <c r="K57" s="2356">
        <f t="shared" si="34"/>
        <v>11664</v>
      </c>
      <c r="L57" s="2355">
        <f t="shared" si="34"/>
        <v>48405</v>
      </c>
      <c r="M57" s="2357">
        <f t="shared" si="34"/>
        <v>48299</v>
      </c>
      <c r="N57" s="451"/>
    </row>
    <row r="58" spans="1:14" ht="12.75" customHeight="1" thickBot="1" x14ac:dyDescent="0.3">
      <c r="A58" s="2353"/>
      <c r="B58" s="461"/>
      <c r="C58" s="461"/>
      <c r="D58" s="461"/>
      <c r="E58" s="461" t="s">
        <v>864</v>
      </c>
      <c r="F58" s="2359"/>
      <c r="G58" s="546">
        <f t="shared" si="16"/>
        <v>49</v>
      </c>
      <c r="H58" s="2360">
        <f t="shared" ref="H58:M58" si="35">+H37</f>
        <v>52</v>
      </c>
      <c r="I58" s="2361">
        <f t="shared" si="35"/>
        <v>52</v>
      </c>
      <c r="J58" s="2360">
        <f t="shared" si="35"/>
        <v>0</v>
      </c>
      <c r="K58" s="2361">
        <f t="shared" si="35"/>
        <v>0</v>
      </c>
      <c r="L58" s="2360">
        <f t="shared" si="35"/>
        <v>52</v>
      </c>
      <c r="M58" s="2362">
        <f t="shared" si="35"/>
        <v>52</v>
      </c>
      <c r="N58" s="459"/>
    </row>
    <row r="59" spans="1:14" x14ac:dyDescent="0.25">
      <c r="A59" s="438"/>
      <c r="B59" s="438"/>
      <c r="C59" s="438"/>
      <c r="D59" s="438"/>
      <c r="E59" s="438"/>
      <c r="F59" s="438"/>
      <c r="G59" s="440"/>
      <c r="H59" s="438"/>
      <c r="I59" s="438"/>
      <c r="J59" s="438"/>
      <c r="K59" s="438"/>
      <c r="L59" s="438"/>
      <c r="M59" s="438"/>
    </row>
    <row r="60" spans="1:14" x14ac:dyDescent="0.25">
      <c r="A60" s="438" t="s">
        <v>638</v>
      </c>
      <c r="B60" s="438"/>
      <c r="C60" s="438"/>
      <c r="D60" s="439"/>
      <c r="E60" s="439"/>
      <c r="F60" s="438"/>
      <c r="G60" s="440"/>
      <c r="H60" s="438"/>
      <c r="I60" s="438"/>
      <c r="J60" s="438"/>
      <c r="K60" s="438"/>
      <c r="L60" s="438"/>
      <c r="M60" s="438"/>
    </row>
    <row r="61" spans="1:14" ht="30.75" customHeight="1" x14ac:dyDescent="0.25">
      <c r="A61" s="2544" t="s">
        <v>897</v>
      </c>
      <c r="B61" s="2544"/>
      <c r="C61" s="2544"/>
      <c r="D61" s="2544"/>
      <c r="E61" s="2544"/>
      <c r="F61" s="2544"/>
      <c r="G61" s="2544"/>
      <c r="H61" s="2544"/>
      <c r="I61" s="2544"/>
      <c r="J61" s="2544"/>
      <c r="K61" s="2544"/>
      <c r="L61" s="2544"/>
      <c r="M61" s="2544"/>
      <c r="N61" s="2544"/>
    </row>
    <row r="62" spans="1:14" ht="42.75" customHeight="1" x14ac:dyDescent="0.25">
      <c r="A62" s="2544" t="s">
        <v>900</v>
      </c>
      <c r="B62" s="2544"/>
      <c r="C62" s="2544"/>
      <c r="D62" s="2544"/>
      <c r="E62" s="2544"/>
      <c r="F62" s="2544"/>
      <c r="G62" s="2544"/>
      <c r="H62" s="2544"/>
      <c r="I62" s="2544"/>
      <c r="J62" s="2544"/>
      <c r="K62" s="2544"/>
      <c r="L62" s="2544"/>
      <c r="M62" s="2544"/>
      <c r="N62" s="2544"/>
    </row>
    <row r="63" spans="1:14" ht="17.25" customHeight="1" x14ac:dyDescent="0.25">
      <c r="A63" s="2544" t="s">
        <v>1186</v>
      </c>
      <c r="B63" s="2544"/>
      <c r="C63" s="2544"/>
      <c r="D63" s="2544"/>
      <c r="E63" s="2544"/>
      <c r="F63" s="2544"/>
      <c r="G63" s="2544"/>
      <c r="H63" s="2544"/>
      <c r="I63" s="2544"/>
      <c r="J63" s="2544"/>
      <c r="K63" s="2544"/>
      <c r="L63" s="2544"/>
      <c r="M63" s="2544"/>
      <c r="N63" s="2544"/>
    </row>
    <row r="64" spans="1:14" ht="15.75" customHeight="1" x14ac:dyDescent="0.25">
      <c r="A64" s="568" t="s">
        <v>1187</v>
      </c>
      <c r="B64" s="438"/>
      <c r="C64" s="438"/>
      <c r="D64" s="438"/>
      <c r="E64" s="438"/>
      <c r="F64" s="438"/>
      <c r="G64" s="440"/>
      <c r="H64" s="438"/>
      <c r="I64" s="438"/>
      <c r="J64" s="438"/>
      <c r="K64" s="438"/>
      <c r="L64" s="438"/>
      <c r="M64" s="438"/>
    </row>
    <row r="65" spans="1:13" hidden="1" x14ac:dyDescent="0.25">
      <c r="A65" s="438"/>
      <c r="B65" s="438"/>
      <c r="C65" s="438"/>
      <c r="D65" s="438"/>
      <c r="E65" s="438"/>
      <c r="F65" s="438"/>
      <c r="G65" s="440"/>
      <c r="H65" s="438"/>
      <c r="I65" s="438"/>
      <c r="J65" s="438"/>
      <c r="K65" s="438"/>
      <c r="L65" s="438"/>
      <c r="M65" s="438"/>
    </row>
    <row r="66" spans="1:13" hidden="1" x14ac:dyDescent="0.25">
      <c r="A66" s="438"/>
      <c r="B66" s="438"/>
      <c r="C66" s="438"/>
      <c r="D66" s="438"/>
      <c r="E66" s="438"/>
      <c r="F66" s="438"/>
      <c r="G66" s="440"/>
      <c r="H66" s="438"/>
      <c r="I66" s="438"/>
      <c r="J66" s="438"/>
      <c r="K66" s="438"/>
      <c r="L66" s="438"/>
      <c r="M66" s="438"/>
    </row>
    <row r="67" spans="1:13" hidden="1" x14ac:dyDescent="0.25">
      <c r="A67" s="438"/>
      <c r="B67" s="438"/>
      <c r="C67" s="438"/>
      <c r="D67" s="438"/>
      <c r="E67" s="438"/>
      <c r="F67" s="438"/>
      <c r="G67" s="440"/>
      <c r="H67" s="438"/>
      <c r="I67" s="438"/>
      <c r="J67" s="438"/>
      <c r="K67" s="438"/>
      <c r="L67" s="438"/>
      <c r="M67" s="438"/>
    </row>
    <row r="68" spans="1:13" hidden="1" x14ac:dyDescent="0.25"/>
    <row r="69" spans="1:13" ht="15.75" x14ac:dyDescent="0.25">
      <c r="J69" s="1128" t="s">
        <v>1325</v>
      </c>
      <c r="K69" s="1129"/>
      <c r="L69" s="1130"/>
      <c r="M69" s="18"/>
    </row>
    <row r="70" spans="1:13" x14ac:dyDescent="0.25">
      <c r="J70" s="1131" t="s">
        <v>1327</v>
      </c>
      <c r="K70" s="1131"/>
      <c r="L70" s="1132"/>
      <c r="M70" s="18"/>
    </row>
    <row r="71" spans="1:13" x14ac:dyDescent="0.25">
      <c r="J71" s="1131" t="s">
        <v>1328</v>
      </c>
      <c r="K71" s="1131"/>
      <c r="L71" s="1132"/>
      <c r="M71" s="18"/>
    </row>
  </sheetData>
  <customSheetViews>
    <customSheetView guid="{2AF6EA2A-E5C5-45EB-B6C4-875AD1E4E056}" scale="96">
      <selection activeCell="B1" sqref="B1"/>
      <pageMargins left="0.39370078740157483" right="0.39370078740157483" top="0.39370078740157483" bottom="0.39370078740157483" header="0" footer="0.15748031496062992"/>
      <pageSetup paperSize="9" scale="65" fitToHeight="3" orientation="portrait" r:id="rId1"/>
      <headerFooter alignWithMargins="0">
        <oddFooter>&amp;C&amp;P/&amp;N</oddFooter>
      </headerFooter>
    </customSheetView>
  </customSheetViews>
  <mergeCells count="13">
    <mergeCell ref="A61:N61"/>
    <mergeCell ref="A62:N62"/>
    <mergeCell ref="A63:N63"/>
    <mergeCell ref="A50:F50"/>
    <mergeCell ref="A39:F39"/>
    <mergeCell ref="B35:F35"/>
    <mergeCell ref="L6:M6"/>
    <mergeCell ref="B10:F10"/>
    <mergeCell ref="A9:F9"/>
    <mergeCell ref="A6:F8"/>
    <mergeCell ref="G6:G8"/>
    <mergeCell ref="H6:I6"/>
    <mergeCell ref="J6:K6"/>
  </mergeCells>
  <printOptions horizontalCentered="1" verticalCentered="1"/>
  <pageMargins left="0" right="0.39370078740157483" top="0" bottom="0" header="0" footer="0"/>
  <pageSetup paperSize="9" scale="61" orientation="landscape" r:id="rId2"/>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28</vt:i4>
      </vt:variant>
      <vt:variant>
        <vt:lpstr>Pojmenované oblasti</vt:lpstr>
      </vt:variant>
      <vt:variant>
        <vt:i4>8</vt:i4>
      </vt:variant>
    </vt:vector>
  </HeadingPairs>
  <TitlesOfParts>
    <vt:vector size="36" baseType="lpstr">
      <vt:lpstr>1</vt:lpstr>
      <vt:lpstr>2</vt:lpstr>
      <vt:lpstr>3-podklady A.S. </vt:lpstr>
      <vt:lpstr>3</vt:lpstr>
      <vt:lpstr>Náklady A.S.</vt:lpstr>
      <vt:lpstr>Výnosy A.S.</vt:lpstr>
      <vt:lpstr>4</vt:lpstr>
      <vt:lpstr>5 podklady A.S.</vt:lpstr>
      <vt:lpstr>5 </vt:lpstr>
      <vt:lpstr>5.a</vt:lpstr>
      <vt:lpstr>5.b</vt:lpstr>
      <vt:lpstr>5.c</vt:lpstr>
      <vt:lpstr>5.d</vt:lpstr>
      <vt:lpstr>6</vt:lpstr>
      <vt:lpstr>7</vt:lpstr>
      <vt:lpstr>8</vt:lpstr>
      <vt:lpstr>9-podklady A.S.</vt:lpstr>
      <vt:lpstr>9</vt:lpstr>
      <vt:lpstr>10</vt:lpstr>
      <vt:lpstr>11 podklady A.S.</vt:lpstr>
      <vt:lpstr>11</vt:lpstr>
      <vt:lpstr>11.a</vt:lpstr>
      <vt:lpstr>11.b</vt:lpstr>
      <vt:lpstr>11.c</vt:lpstr>
      <vt:lpstr>11.d</vt:lpstr>
      <vt:lpstr>11.e</vt:lpstr>
      <vt:lpstr>11.f</vt:lpstr>
      <vt:lpstr>11.g</vt:lpstr>
      <vt:lpstr>'1'!Názvy_tisku</vt:lpstr>
      <vt:lpstr>'5 '!Názvy_tisku</vt:lpstr>
      <vt:lpstr>'1'!Oblast_tisku</vt:lpstr>
      <vt:lpstr>'11.b'!Oblast_tisku</vt:lpstr>
      <vt:lpstr>'2'!Oblast_tisku</vt:lpstr>
      <vt:lpstr>'3'!Oblast_tisku</vt:lpstr>
      <vt:lpstr>'6'!Oblast_tisku</vt:lpstr>
      <vt:lpstr>'8'!Oblast_tisku</vt:lpstr>
    </vt:vector>
  </TitlesOfParts>
  <Company>Ministerstvo školství, mládeže a tělovýchovy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Konopásek Robert</cp:lastModifiedBy>
  <cp:lastPrinted>2016-05-16T08:50:33Z</cp:lastPrinted>
  <dcterms:created xsi:type="dcterms:W3CDTF">2010-10-08T09:48:15Z</dcterms:created>
  <dcterms:modified xsi:type="dcterms:W3CDTF">2016-06-23T13:41:48Z</dcterms:modified>
</cp:coreProperties>
</file>