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asekp\Documents\1. Pracovní\2017\Rozpočet 2017\Rozpočet 2017 - konečná podoba zveřejněná na webu MŠMT\"/>
    </mc:Choice>
  </mc:AlternateContent>
  <bookViews>
    <workbookView xWindow="0" yWindow="0" windowWidth="20730" windowHeight="11760" tabRatio="696" firstSheet="2" activeTab="10"/>
  </bookViews>
  <sheets>
    <sheet name="Seznam" sheetId="15" r:id="rId1"/>
    <sheet name="1 Bilance pro výpočet" sheetId="22" r:id="rId2"/>
    <sheet name="2 stanovení podílů fix. části" sheetId="23" r:id="rId3"/>
    <sheet name="3 stanovení podílů výkon. části" sheetId="26" r:id="rId4"/>
    <sheet name="4 Výpočet RO I" sheetId="25" r:id="rId5"/>
    <sheet name="5 Ukaz C" sheetId="16" r:id="rId6"/>
    <sheet name="6 Ukaz. F - U3V" sheetId="17" r:id="rId7"/>
    <sheet name="7 Ukaz F - SSP" sheetId="18" r:id="rId8"/>
    <sheet name="8 Ukaz I" sheetId="19" r:id="rId9"/>
    <sheet name="9 Ukaz J" sheetId="10" r:id="rId10"/>
    <sheet name="10 Ukaz U" sheetId="20" r:id="rId11"/>
    <sheet name="11 Ukaz D" sheetId="21" r:id="rId12"/>
  </sheets>
  <externalReferences>
    <externalReference r:id="rId13"/>
    <externalReference r:id="rId14"/>
  </externalReferences>
  <definedNames>
    <definedName name="_xlnm._FilterDatabase" localSheetId="1" hidden="1">'1 Bilance pro výpočet'!$A$10:$M$70</definedName>
    <definedName name="_xlnm.Print_Area" localSheetId="5">'5 Ukaz C'!$A$1:$D$36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1" l="1"/>
  <c r="L11" i="25" l="1"/>
  <c r="K147" i="26"/>
  <c r="K146" i="26"/>
  <c r="K145" i="26"/>
  <c r="K144" i="26"/>
  <c r="K143" i="26"/>
  <c r="K142" i="26"/>
  <c r="K141" i="26"/>
  <c r="K140" i="26"/>
  <c r="K139" i="26"/>
  <c r="K138" i="26"/>
  <c r="K137" i="26"/>
  <c r="K136" i="26"/>
  <c r="K135" i="26"/>
  <c r="K134" i="26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 s="1"/>
  <c r="W121" i="26"/>
  <c r="J121" i="26"/>
  <c r="I121" i="26"/>
  <c r="G121" i="26"/>
  <c r="H147" i="26" s="1"/>
  <c r="U119" i="26"/>
  <c r="Q119" i="26"/>
  <c r="K119" i="26"/>
  <c r="U118" i="26"/>
  <c r="Q118" i="26"/>
  <c r="K118" i="26"/>
  <c r="U117" i="26"/>
  <c r="Q117" i="26"/>
  <c r="K117" i="26"/>
  <c r="U116" i="26"/>
  <c r="Q116" i="26"/>
  <c r="K116" i="26"/>
  <c r="U115" i="26"/>
  <c r="Q115" i="26"/>
  <c r="K115" i="26"/>
  <c r="U114" i="26"/>
  <c r="Q114" i="26"/>
  <c r="K114" i="26"/>
  <c r="D114" i="26"/>
  <c r="D30" i="26" s="1"/>
  <c r="U113" i="26"/>
  <c r="Q113" i="26"/>
  <c r="K113" i="26"/>
  <c r="U112" i="26"/>
  <c r="Q112" i="26"/>
  <c r="K112" i="26"/>
  <c r="U111" i="26"/>
  <c r="Q111" i="26"/>
  <c r="K111" i="26"/>
  <c r="U110" i="26"/>
  <c r="Q110" i="26"/>
  <c r="K110" i="26"/>
  <c r="U109" i="26"/>
  <c r="Q109" i="26"/>
  <c r="K109" i="26"/>
  <c r="U108" i="26"/>
  <c r="Q108" i="26"/>
  <c r="K108" i="26"/>
  <c r="U107" i="26"/>
  <c r="Q107" i="26"/>
  <c r="K107" i="26"/>
  <c r="U106" i="26"/>
  <c r="Q106" i="26"/>
  <c r="K106" i="26"/>
  <c r="U105" i="26"/>
  <c r="Q105" i="26"/>
  <c r="K105" i="26"/>
  <c r="U104" i="26"/>
  <c r="Q104" i="26"/>
  <c r="K104" i="26"/>
  <c r="U103" i="26"/>
  <c r="Q103" i="26"/>
  <c r="K103" i="26"/>
  <c r="U102" i="26"/>
  <c r="Q102" i="26"/>
  <c r="K102" i="26"/>
  <c r="U101" i="26"/>
  <c r="Q101" i="26"/>
  <c r="K101" i="26"/>
  <c r="U100" i="26"/>
  <c r="Q100" i="26"/>
  <c r="K100" i="26"/>
  <c r="U99" i="26"/>
  <c r="Q99" i="26"/>
  <c r="K99" i="26"/>
  <c r="U98" i="26"/>
  <c r="Q98" i="26"/>
  <c r="K98" i="26"/>
  <c r="D98" i="26"/>
  <c r="D14" i="26" s="1"/>
  <c r="U97" i="26"/>
  <c r="Q97" i="26"/>
  <c r="K97" i="26"/>
  <c r="U96" i="26"/>
  <c r="Q96" i="26"/>
  <c r="K96" i="26"/>
  <c r="U95" i="26"/>
  <c r="Q95" i="26"/>
  <c r="K95" i="26"/>
  <c r="U94" i="26"/>
  <c r="Q94" i="26"/>
  <c r="Q93" i="26" s="1"/>
  <c r="K94" i="26"/>
  <c r="W93" i="26"/>
  <c r="T93" i="26"/>
  <c r="S93" i="26"/>
  <c r="P93" i="26"/>
  <c r="O93" i="26"/>
  <c r="J93" i="26"/>
  <c r="I93" i="26"/>
  <c r="G93" i="26"/>
  <c r="C93" i="26"/>
  <c r="D110" i="26" s="1"/>
  <c r="D26" i="26" s="1"/>
  <c r="U91" i="26"/>
  <c r="Q91" i="26"/>
  <c r="K91" i="26"/>
  <c r="U90" i="26"/>
  <c r="Q90" i="26"/>
  <c r="K90" i="26"/>
  <c r="U89" i="26"/>
  <c r="Q89" i="26"/>
  <c r="K89" i="26"/>
  <c r="U88" i="26"/>
  <c r="Q88" i="26"/>
  <c r="K88" i="26"/>
  <c r="U87" i="26"/>
  <c r="Q87" i="26"/>
  <c r="K87" i="26"/>
  <c r="U86" i="26"/>
  <c r="Q86" i="26"/>
  <c r="K86" i="26"/>
  <c r="U85" i="26"/>
  <c r="Q85" i="26"/>
  <c r="K85" i="26"/>
  <c r="U84" i="26"/>
  <c r="Q84" i="26"/>
  <c r="K84" i="26"/>
  <c r="U83" i="26"/>
  <c r="Q83" i="26"/>
  <c r="K83" i="26"/>
  <c r="U82" i="26"/>
  <c r="Q82" i="26"/>
  <c r="K82" i="26"/>
  <c r="U81" i="26"/>
  <c r="Q81" i="26"/>
  <c r="K81" i="26"/>
  <c r="U80" i="26"/>
  <c r="Q80" i="26"/>
  <c r="K80" i="26"/>
  <c r="U79" i="26"/>
  <c r="Q79" i="26"/>
  <c r="K79" i="26"/>
  <c r="U78" i="26"/>
  <c r="Q78" i="26"/>
  <c r="K78" i="26"/>
  <c r="U77" i="26"/>
  <c r="Q77" i="26"/>
  <c r="K77" i="26"/>
  <c r="U76" i="26"/>
  <c r="Q76" i="26"/>
  <c r="K76" i="26"/>
  <c r="U75" i="26"/>
  <c r="Q75" i="26"/>
  <c r="K75" i="26"/>
  <c r="U74" i="26"/>
  <c r="Q74" i="26"/>
  <c r="K74" i="26"/>
  <c r="U73" i="26"/>
  <c r="Q73" i="26"/>
  <c r="K73" i="26"/>
  <c r="U72" i="26"/>
  <c r="Q72" i="26"/>
  <c r="K72" i="26"/>
  <c r="U71" i="26"/>
  <c r="Q71" i="26"/>
  <c r="K71" i="26"/>
  <c r="U70" i="26"/>
  <c r="Q70" i="26"/>
  <c r="K70" i="26"/>
  <c r="U69" i="26"/>
  <c r="Q69" i="26"/>
  <c r="K69" i="26"/>
  <c r="U68" i="26"/>
  <c r="Q68" i="26"/>
  <c r="K68" i="26"/>
  <c r="U67" i="26"/>
  <c r="Q67" i="26"/>
  <c r="K67" i="26"/>
  <c r="U66" i="26"/>
  <c r="Q66" i="26"/>
  <c r="K66" i="26"/>
  <c r="W65" i="26"/>
  <c r="T65" i="26"/>
  <c r="S65" i="26"/>
  <c r="P65" i="26"/>
  <c r="O65" i="26"/>
  <c r="J65" i="26"/>
  <c r="I65" i="26"/>
  <c r="G65" i="26"/>
  <c r="H90" i="26" s="1"/>
  <c r="U63" i="26"/>
  <c r="Q63" i="26"/>
  <c r="U62" i="26"/>
  <c r="Q62" i="26"/>
  <c r="U61" i="26"/>
  <c r="Q61" i="26"/>
  <c r="U60" i="26"/>
  <c r="Q60" i="26"/>
  <c r="U59" i="26"/>
  <c r="Q59" i="26"/>
  <c r="U58" i="26"/>
  <c r="Q58" i="26"/>
  <c r="U57" i="26"/>
  <c r="Q57" i="26"/>
  <c r="U56" i="26"/>
  <c r="Q56" i="26"/>
  <c r="U55" i="26"/>
  <c r="Q55" i="26"/>
  <c r="U54" i="26"/>
  <c r="Q54" i="26"/>
  <c r="U53" i="26"/>
  <c r="Q53" i="26"/>
  <c r="U52" i="26"/>
  <c r="Q52" i="26"/>
  <c r="U51" i="26"/>
  <c r="Q51" i="26"/>
  <c r="U50" i="26"/>
  <c r="Q50" i="26"/>
  <c r="U49" i="26"/>
  <c r="Q49" i="26"/>
  <c r="U48" i="26"/>
  <c r="Q48" i="26"/>
  <c r="U47" i="26"/>
  <c r="Q47" i="26"/>
  <c r="U46" i="26"/>
  <c r="Q46" i="26"/>
  <c r="U45" i="26"/>
  <c r="Q45" i="26"/>
  <c r="U44" i="26"/>
  <c r="Q44" i="26"/>
  <c r="U43" i="26"/>
  <c r="Q43" i="26"/>
  <c r="U42" i="26"/>
  <c r="Q42" i="26"/>
  <c r="U41" i="26"/>
  <c r="Q41" i="26"/>
  <c r="U40" i="26"/>
  <c r="Q40" i="26"/>
  <c r="U39" i="26"/>
  <c r="Q39" i="26"/>
  <c r="U38" i="26"/>
  <c r="Q38" i="26"/>
  <c r="T37" i="26"/>
  <c r="S37" i="26"/>
  <c r="P37" i="26"/>
  <c r="O37" i="26"/>
  <c r="M37" i="26"/>
  <c r="N56" i="26" s="1"/>
  <c r="N28" i="26" s="1"/>
  <c r="E37" i="26"/>
  <c r="F56" i="26" s="1"/>
  <c r="F28" i="26" s="1"/>
  <c r="Y8" i="26"/>
  <c r="F46" i="26" l="1"/>
  <c r="F18" i="26" s="1"/>
  <c r="N60" i="26"/>
  <c r="N32" i="26" s="1"/>
  <c r="D102" i="26"/>
  <c r="D18" i="26" s="1"/>
  <c r="D118" i="26"/>
  <c r="D34" i="26" s="1"/>
  <c r="F38" i="26"/>
  <c r="F10" i="26" s="1"/>
  <c r="N62" i="26"/>
  <c r="N34" i="26" s="1"/>
  <c r="D106" i="26"/>
  <c r="D22" i="26" s="1"/>
  <c r="F42" i="26"/>
  <c r="F14" i="26" s="1"/>
  <c r="D94" i="26"/>
  <c r="D10" i="26" s="1"/>
  <c r="K93" i="26"/>
  <c r="L119" i="26" s="1"/>
  <c r="L109" i="26"/>
  <c r="L126" i="26"/>
  <c r="L130" i="26"/>
  <c r="L134" i="26"/>
  <c r="L138" i="26"/>
  <c r="L142" i="26"/>
  <c r="L146" i="26"/>
  <c r="L105" i="26"/>
  <c r="L97" i="26"/>
  <c r="L113" i="26"/>
  <c r="L101" i="26"/>
  <c r="L117" i="26"/>
  <c r="F50" i="26"/>
  <c r="F22" i="26" s="1"/>
  <c r="F54" i="26"/>
  <c r="F26" i="26" s="1"/>
  <c r="F58" i="26"/>
  <c r="F30" i="26" s="1"/>
  <c r="N38" i="26"/>
  <c r="N10" i="26" s="1"/>
  <c r="N42" i="26"/>
  <c r="N14" i="26" s="1"/>
  <c r="N46" i="26"/>
  <c r="N18" i="26" s="1"/>
  <c r="N50" i="26"/>
  <c r="N22" i="26" s="1"/>
  <c r="N54" i="26"/>
  <c r="N26" i="26" s="1"/>
  <c r="N58" i="26"/>
  <c r="N30" i="26" s="1"/>
  <c r="F61" i="26"/>
  <c r="F33" i="26" s="1"/>
  <c r="H84" i="26"/>
  <c r="H85" i="26"/>
  <c r="L122" i="26"/>
  <c r="H128" i="26"/>
  <c r="H136" i="26"/>
  <c r="H144" i="26"/>
  <c r="F40" i="26"/>
  <c r="F12" i="26" s="1"/>
  <c r="F44" i="26"/>
  <c r="F16" i="26" s="1"/>
  <c r="F48" i="26"/>
  <c r="F20" i="26" s="1"/>
  <c r="F52" i="26"/>
  <c r="F24" i="26" s="1"/>
  <c r="U37" i="26"/>
  <c r="V43" i="26" s="1"/>
  <c r="N40" i="26"/>
  <c r="N12" i="26" s="1"/>
  <c r="N44" i="26"/>
  <c r="N16" i="26" s="1"/>
  <c r="N48" i="26"/>
  <c r="N20" i="26" s="1"/>
  <c r="N52" i="26"/>
  <c r="N24" i="26" s="1"/>
  <c r="H80" i="26"/>
  <c r="H81" i="26"/>
  <c r="H88" i="26"/>
  <c r="H89" i="26"/>
  <c r="H124" i="26"/>
  <c r="H132" i="26"/>
  <c r="H140" i="26"/>
  <c r="V62" i="26"/>
  <c r="V60" i="26"/>
  <c r="V40" i="26"/>
  <c r="V48" i="26"/>
  <c r="V51" i="26"/>
  <c r="V56" i="26"/>
  <c r="V38" i="26"/>
  <c r="V41" i="26"/>
  <c r="V45" i="26"/>
  <c r="V46" i="26"/>
  <c r="V49" i="26"/>
  <c r="V53" i="26"/>
  <c r="V54" i="26"/>
  <c r="V57" i="26"/>
  <c r="X119" i="26"/>
  <c r="X115" i="26"/>
  <c r="X111" i="26"/>
  <c r="X107" i="26"/>
  <c r="X103" i="26"/>
  <c r="X99" i="26"/>
  <c r="X95" i="26"/>
  <c r="X117" i="26"/>
  <c r="X113" i="26"/>
  <c r="X109" i="26"/>
  <c r="X105" i="26"/>
  <c r="X101" i="26"/>
  <c r="X97" i="26"/>
  <c r="X116" i="26"/>
  <c r="X112" i="26"/>
  <c r="X108" i="26"/>
  <c r="X104" i="26"/>
  <c r="X100" i="26"/>
  <c r="X96" i="26"/>
  <c r="X118" i="26"/>
  <c r="X114" i="26"/>
  <c r="X110" i="26"/>
  <c r="X106" i="26"/>
  <c r="X102" i="26"/>
  <c r="X98" i="26"/>
  <c r="X94" i="26"/>
  <c r="U93" i="26"/>
  <c r="V118" i="26" s="1"/>
  <c r="V47" i="26"/>
  <c r="V52" i="26"/>
  <c r="V55" i="26"/>
  <c r="V39" i="26"/>
  <c r="R119" i="26"/>
  <c r="R117" i="26"/>
  <c r="R115" i="26"/>
  <c r="R113" i="26"/>
  <c r="R111" i="26"/>
  <c r="R109" i="26"/>
  <c r="R107" i="26"/>
  <c r="R105" i="26"/>
  <c r="R103" i="26"/>
  <c r="R101" i="26"/>
  <c r="R99" i="26"/>
  <c r="R97" i="26"/>
  <c r="R95" i="26"/>
  <c r="F62" i="26"/>
  <c r="F34" i="26" s="1"/>
  <c r="F60" i="26"/>
  <c r="F32" i="26" s="1"/>
  <c r="F59" i="26"/>
  <c r="F31" i="26" s="1"/>
  <c r="F57" i="26"/>
  <c r="F29" i="26" s="1"/>
  <c r="F55" i="26"/>
  <c r="F27" i="26" s="1"/>
  <c r="F53" i="26"/>
  <c r="F25" i="26" s="1"/>
  <c r="F51" i="26"/>
  <c r="F23" i="26" s="1"/>
  <c r="F49" i="26"/>
  <c r="F21" i="26" s="1"/>
  <c r="F47" i="26"/>
  <c r="F19" i="26" s="1"/>
  <c r="F45" i="26"/>
  <c r="F17" i="26" s="1"/>
  <c r="F43" i="26"/>
  <c r="F15" i="26" s="1"/>
  <c r="F41" i="26"/>
  <c r="F13" i="26" s="1"/>
  <c r="F39" i="26"/>
  <c r="F11" i="26" s="1"/>
  <c r="Q37" i="26"/>
  <c r="R42" i="26" s="1"/>
  <c r="R60" i="26"/>
  <c r="F63" i="26"/>
  <c r="F35" i="26" s="1"/>
  <c r="R44" i="26"/>
  <c r="R50" i="26"/>
  <c r="R52" i="26"/>
  <c r="K65" i="26"/>
  <c r="N63" i="26"/>
  <c r="N35" i="26" s="1"/>
  <c r="N61" i="26"/>
  <c r="N33" i="26" s="1"/>
  <c r="D119" i="26"/>
  <c r="D35" i="26" s="1"/>
  <c r="D115" i="26"/>
  <c r="D31" i="26" s="1"/>
  <c r="D111" i="26"/>
  <c r="D27" i="26" s="1"/>
  <c r="D107" i="26"/>
  <c r="D23" i="26" s="1"/>
  <c r="D103" i="26"/>
  <c r="D19" i="26" s="1"/>
  <c r="D99" i="26"/>
  <c r="D15" i="26" s="1"/>
  <c r="D95" i="26"/>
  <c r="D11" i="26" s="1"/>
  <c r="D117" i="26"/>
  <c r="D33" i="26" s="1"/>
  <c r="D113" i="26"/>
  <c r="D29" i="26" s="1"/>
  <c r="D109" i="26"/>
  <c r="D25" i="26" s="1"/>
  <c r="D105" i="26"/>
  <c r="D21" i="26" s="1"/>
  <c r="D101" i="26"/>
  <c r="D17" i="26" s="1"/>
  <c r="D97" i="26"/>
  <c r="D13" i="26" s="1"/>
  <c r="V112" i="26"/>
  <c r="L147" i="26"/>
  <c r="L143" i="26"/>
  <c r="L139" i="26"/>
  <c r="L135" i="26"/>
  <c r="L131" i="26"/>
  <c r="L127" i="26"/>
  <c r="L123" i="26"/>
  <c r="L144" i="26"/>
  <c r="L140" i="26"/>
  <c r="L136" i="26"/>
  <c r="L132" i="26"/>
  <c r="L128" i="26"/>
  <c r="L124" i="26"/>
  <c r="H123" i="26"/>
  <c r="H127" i="26"/>
  <c r="H131" i="26"/>
  <c r="H135" i="26"/>
  <c r="H139" i="26"/>
  <c r="H143" i="26"/>
  <c r="N39" i="26"/>
  <c r="N11" i="26" s="1"/>
  <c r="N41" i="26"/>
  <c r="N13" i="26" s="1"/>
  <c r="N43" i="26"/>
  <c r="N15" i="26" s="1"/>
  <c r="N45" i="26"/>
  <c r="N17" i="26" s="1"/>
  <c r="N47" i="26"/>
  <c r="N19" i="26" s="1"/>
  <c r="N49" i="26"/>
  <c r="N21" i="26" s="1"/>
  <c r="N51" i="26"/>
  <c r="N23" i="26" s="1"/>
  <c r="N53" i="26"/>
  <c r="N25" i="26" s="1"/>
  <c r="N55" i="26"/>
  <c r="N27" i="26" s="1"/>
  <c r="N57" i="26"/>
  <c r="N29" i="26" s="1"/>
  <c r="N59" i="26"/>
  <c r="N31" i="26" s="1"/>
  <c r="V61" i="26"/>
  <c r="V63" i="26"/>
  <c r="X91" i="26"/>
  <c r="X90" i="26"/>
  <c r="X89" i="26"/>
  <c r="X88" i="26"/>
  <c r="X87" i="26"/>
  <c r="X86" i="26"/>
  <c r="X85" i="26"/>
  <c r="X84" i="26"/>
  <c r="X83" i="26"/>
  <c r="X82" i="26"/>
  <c r="X81" i="26"/>
  <c r="X80" i="26"/>
  <c r="X79" i="26"/>
  <c r="X78" i="26"/>
  <c r="X77" i="26"/>
  <c r="X76" i="26"/>
  <c r="X75" i="26"/>
  <c r="X74" i="26"/>
  <c r="X73" i="26"/>
  <c r="X72" i="26"/>
  <c r="X71" i="26"/>
  <c r="X70" i="26"/>
  <c r="X69" i="26"/>
  <c r="X68" i="26"/>
  <c r="X67" i="26"/>
  <c r="X66" i="26"/>
  <c r="U65" i="26"/>
  <c r="V72" i="26" s="1"/>
  <c r="L95" i="26"/>
  <c r="D96" i="26"/>
  <c r="D12" i="26" s="1"/>
  <c r="L99" i="26"/>
  <c r="D100" i="26"/>
  <c r="D16" i="26" s="1"/>
  <c r="L103" i="26"/>
  <c r="D104" i="26"/>
  <c r="D20" i="26" s="1"/>
  <c r="L107" i="26"/>
  <c r="D108" i="26"/>
  <c r="D24" i="26" s="1"/>
  <c r="L111" i="26"/>
  <c r="D112" i="26"/>
  <c r="D28" i="26" s="1"/>
  <c r="L115" i="26"/>
  <c r="D116" i="26"/>
  <c r="D32" i="26" s="1"/>
  <c r="H145" i="26"/>
  <c r="H141" i="26"/>
  <c r="H137" i="26"/>
  <c r="H133" i="26"/>
  <c r="H129" i="26"/>
  <c r="H125" i="26"/>
  <c r="H146" i="26"/>
  <c r="H34" i="26" s="1"/>
  <c r="H142" i="26"/>
  <c r="H138" i="26"/>
  <c r="H134" i="26"/>
  <c r="H130" i="26"/>
  <c r="H126" i="26"/>
  <c r="H122" i="26"/>
  <c r="H121" i="26" s="1"/>
  <c r="X147" i="26"/>
  <c r="X146" i="26"/>
  <c r="X145" i="26"/>
  <c r="X144" i="26"/>
  <c r="X143" i="26"/>
  <c r="X142" i="26"/>
  <c r="X141" i="26"/>
  <c r="X140" i="26"/>
  <c r="X139" i="26"/>
  <c r="X138" i="26"/>
  <c r="X137" i="26"/>
  <c r="X136" i="26"/>
  <c r="X135" i="26"/>
  <c r="X134" i="26"/>
  <c r="X133" i="26"/>
  <c r="X132" i="26"/>
  <c r="X131" i="26"/>
  <c r="X130" i="26"/>
  <c r="X129" i="26"/>
  <c r="X128" i="26"/>
  <c r="X127" i="26"/>
  <c r="X126" i="26"/>
  <c r="X125" i="26"/>
  <c r="X124" i="26"/>
  <c r="X123" i="26"/>
  <c r="X122" i="26"/>
  <c r="L125" i="26"/>
  <c r="L129" i="26"/>
  <c r="L133" i="26"/>
  <c r="L137" i="26"/>
  <c r="L141" i="26"/>
  <c r="L145" i="26"/>
  <c r="H79" i="26"/>
  <c r="H83" i="26"/>
  <c r="H87" i="26"/>
  <c r="H91" i="26"/>
  <c r="H35" i="26" s="1"/>
  <c r="H118" i="26"/>
  <c r="H114" i="26"/>
  <c r="H110" i="26"/>
  <c r="H106" i="26"/>
  <c r="H102" i="26"/>
  <c r="H98" i="26"/>
  <c r="H94" i="26"/>
  <c r="H116" i="26"/>
  <c r="H32" i="26" s="1"/>
  <c r="H112" i="26"/>
  <c r="H108" i="26"/>
  <c r="H104" i="26"/>
  <c r="H100" i="26"/>
  <c r="H96" i="26"/>
  <c r="L94" i="26"/>
  <c r="H95" i="26"/>
  <c r="L96" i="26"/>
  <c r="H97" i="26"/>
  <c r="L98" i="26"/>
  <c r="H99" i="26"/>
  <c r="L100" i="26"/>
  <c r="H101" i="26"/>
  <c r="L102" i="26"/>
  <c r="H103" i="26"/>
  <c r="L104" i="26"/>
  <c r="H105" i="26"/>
  <c r="L106" i="26"/>
  <c r="H107" i="26"/>
  <c r="L108" i="26"/>
  <c r="H109" i="26"/>
  <c r="L110" i="26"/>
  <c r="H111" i="26"/>
  <c r="L112" i="26"/>
  <c r="H113" i="26"/>
  <c r="L114" i="26"/>
  <c r="H115" i="26"/>
  <c r="L116" i="26"/>
  <c r="H117" i="26"/>
  <c r="L118" i="26"/>
  <c r="H119" i="26"/>
  <c r="Q65" i="26"/>
  <c r="H66" i="26"/>
  <c r="H67" i="26"/>
  <c r="H68" i="26"/>
  <c r="H69" i="26"/>
  <c r="H13" i="26" s="1"/>
  <c r="H70" i="26"/>
  <c r="H71" i="26"/>
  <c r="H72" i="26"/>
  <c r="H73" i="26"/>
  <c r="H17" i="26" s="1"/>
  <c r="H74" i="26"/>
  <c r="H75" i="26"/>
  <c r="H76" i="26"/>
  <c r="H77" i="26"/>
  <c r="H21" i="26" s="1"/>
  <c r="H78" i="26"/>
  <c r="H82" i="26"/>
  <c r="H86" i="26"/>
  <c r="R94" i="26"/>
  <c r="R96" i="26"/>
  <c r="R98" i="26"/>
  <c r="R100" i="26"/>
  <c r="R102" i="26"/>
  <c r="R104" i="26"/>
  <c r="R106" i="26"/>
  <c r="R108" i="26"/>
  <c r="R110" i="26"/>
  <c r="R112" i="26"/>
  <c r="R114" i="26"/>
  <c r="R116" i="26"/>
  <c r="R118" i="26"/>
  <c r="H20" i="26" l="1"/>
  <c r="V100" i="26"/>
  <c r="H24" i="26"/>
  <c r="X11" i="26"/>
  <c r="X15" i="26"/>
  <c r="X19" i="26"/>
  <c r="X23" i="26"/>
  <c r="X27" i="26"/>
  <c r="X31" i="26"/>
  <c r="X35" i="26"/>
  <c r="V59" i="26"/>
  <c r="V44" i="26"/>
  <c r="V16" i="26" s="1"/>
  <c r="V58" i="26"/>
  <c r="V30" i="26" s="1"/>
  <c r="V50" i="26"/>
  <c r="V37" i="26" s="1"/>
  <c r="V42" i="26"/>
  <c r="R62" i="26"/>
  <c r="L121" i="26"/>
  <c r="V69" i="26"/>
  <c r="H29" i="26"/>
  <c r="H28" i="26"/>
  <c r="V104" i="26"/>
  <c r="V20" i="26" s="1"/>
  <c r="V80" i="26"/>
  <c r="R58" i="26"/>
  <c r="V98" i="26"/>
  <c r="X93" i="26"/>
  <c r="V77" i="26"/>
  <c r="H30" i="26"/>
  <c r="H12" i="26"/>
  <c r="V81" i="26"/>
  <c r="V116" i="26"/>
  <c r="V96" i="26"/>
  <c r="V106" i="26"/>
  <c r="V110" i="26"/>
  <c r="R93" i="26"/>
  <c r="R90" i="26"/>
  <c r="R86" i="26"/>
  <c r="R30" i="26" s="1"/>
  <c r="R82" i="26"/>
  <c r="R91" i="26"/>
  <c r="R87" i="26"/>
  <c r="R83" i="26"/>
  <c r="R79" i="26"/>
  <c r="R89" i="26"/>
  <c r="R85" i="26"/>
  <c r="R81" i="26"/>
  <c r="R88" i="26"/>
  <c r="R32" i="26" s="1"/>
  <c r="R80" i="26"/>
  <c r="R24" i="26" s="1"/>
  <c r="R84" i="26"/>
  <c r="R71" i="26"/>
  <c r="R66" i="26"/>
  <c r="L88" i="26"/>
  <c r="L32" i="26" s="1"/>
  <c r="L84" i="26"/>
  <c r="L28" i="26" s="1"/>
  <c r="L89" i="26"/>
  <c r="L33" i="26" s="1"/>
  <c r="L85" i="26"/>
  <c r="L29" i="26" s="1"/>
  <c r="L91" i="26"/>
  <c r="L35" i="26" s="1"/>
  <c r="L87" i="26"/>
  <c r="L31" i="26" s="1"/>
  <c r="L83" i="26"/>
  <c r="L27" i="26" s="1"/>
  <c r="L79" i="26"/>
  <c r="L23" i="26" s="1"/>
  <c r="L90" i="26"/>
  <c r="L34" i="26" s="1"/>
  <c r="L78" i="26"/>
  <c r="L22" i="26" s="1"/>
  <c r="L77" i="26"/>
  <c r="L21" i="26" s="1"/>
  <c r="L70" i="26"/>
  <c r="L14" i="26" s="1"/>
  <c r="L69" i="26"/>
  <c r="L13" i="26" s="1"/>
  <c r="L73" i="26"/>
  <c r="L17" i="26" s="1"/>
  <c r="L74" i="26"/>
  <c r="L18" i="26" s="1"/>
  <c r="L66" i="26"/>
  <c r="L86" i="26"/>
  <c r="L30" i="26" s="1"/>
  <c r="L81" i="26"/>
  <c r="L25" i="26" s="1"/>
  <c r="D93" i="26"/>
  <c r="R73" i="26"/>
  <c r="R34" i="26"/>
  <c r="F37" i="26"/>
  <c r="H16" i="26"/>
  <c r="H93" i="26"/>
  <c r="H31" i="26"/>
  <c r="R67" i="26"/>
  <c r="X12" i="26"/>
  <c r="X16" i="26"/>
  <c r="X20" i="26"/>
  <c r="X24" i="26"/>
  <c r="X28" i="26"/>
  <c r="X32" i="26"/>
  <c r="N9" i="26"/>
  <c r="R78" i="26"/>
  <c r="R22" i="26" s="1"/>
  <c r="R63" i="26"/>
  <c r="R61" i="26"/>
  <c r="R59" i="26"/>
  <c r="R31" i="26" s="1"/>
  <c r="R57" i="26"/>
  <c r="R29" i="26" s="1"/>
  <c r="R55" i="26"/>
  <c r="R53" i="26"/>
  <c r="R25" i="26" s="1"/>
  <c r="R51" i="26"/>
  <c r="R23" i="26" s="1"/>
  <c r="R49" i="26"/>
  <c r="R47" i="26"/>
  <c r="R45" i="26"/>
  <c r="R43" i="26"/>
  <c r="R41" i="26"/>
  <c r="R39" i="26"/>
  <c r="R72" i="26"/>
  <c r="R16" i="26" s="1"/>
  <c r="F9" i="26"/>
  <c r="H26" i="26"/>
  <c r="H19" i="26"/>
  <c r="H15" i="26"/>
  <c r="H11" i="26"/>
  <c r="L93" i="26"/>
  <c r="H27" i="26"/>
  <c r="X121" i="26"/>
  <c r="L80" i="26"/>
  <c r="L24" i="26" s="1"/>
  <c r="V88" i="26"/>
  <c r="V84" i="26"/>
  <c r="V28" i="26" s="1"/>
  <c r="V89" i="26"/>
  <c r="V85" i="26"/>
  <c r="V87" i="26"/>
  <c r="V86" i="26"/>
  <c r="V79" i="26"/>
  <c r="V78" i="26"/>
  <c r="V75" i="26"/>
  <c r="V74" i="26"/>
  <c r="V71" i="26"/>
  <c r="V15" i="26" s="1"/>
  <c r="V70" i="26"/>
  <c r="V14" i="26" s="1"/>
  <c r="V67" i="26"/>
  <c r="V66" i="26"/>
  <c r="V91" i="26"/>
  <c r="V90" i="26"/>
  <c r="V34" i="26" s="1"/>
  <c r="V83" i="26"/>
  <c r="V82" i="26"/>
  <c r="X13" i="26"/>
  <c r="X17" i="26"/>
  <c r="X21" i="26"/>
  <c r="X25" i="26"/>
  <c r="X29" i="26"/>
  <c r="X33" i="26"/>
  <c r="R74" i="26"/>
  <c r="R56" i="26"/>
  <c r="R28" i="26" s="1"/>
  <c r="R48" i="26"/>
  <c r="R40" i="26"/>
  <c r="V76" i="26"/>
  <c r="V68" i="26"/>
  <c r="V12" i="26" s="1"/>
  <c r="N37" i="26"/>
  <c r="R77" i="26"/>
  <c r="R69" i="26"/>
  <c r="L76" i="26"/>
  <c r="L20" i="26" s="1"/>
  <c r="L72" i="26"/>
  <c r="L16" i="26" s="1"/>
  <c r="V119" i="26"/>
  <c r="V115" i="26"/>
  <c r="V111" i="26"/>
  <c r="V107" i="26"/>
  <c r="V103" i="26"/>
  <c r="V99" i="26"/>
  <c r="V95" i="26"/>
  <c r="V105" i="26"/>
  <c r="V113" i="26"/>
  <c r="V117" i="26"/>
  <c r="V101" i="26"/>
  <c r="V109" i="26"/>
  <c r="V25" i="26" s="1"/>
  <c r="V97" i="26"/>
  <c r="V13" i="26" s="1"/>
  <c r="L71" i="26"/>
  <c r="L15" i="26" s="1"/>
  <c r="V114" i="26"/>
  <c r="V102" i="26"/>
  <c r="V32" i="26"/>
  <c r="H22" i="26"/>
  <c r="H18" i="26"/>
  <c r="H14" i="26"/>
  <c r="H65" i="26"/>
  <c r="H10" i="26"/>
  <c r="H33" i="26"/>
  <c r="H25" i="26"/>
  <c r="H23" i="26"/>
  <c r="R75" i="26"/>
  <c r="X65" i="26"/>
  <c r="X10" i="26"/>
  <c r="X14" i="26"/>
  <c r="X18" i="26"/>
  <c r="X22" i="26"/>
  <c r="X26" i="26"/>
  <c r="X30" i="26"/>
  <c r="X34" i="26"/>
  <c r="V108" i="26"/>
  <c r="R70" i="26"/>
  <c r="R14" i="26" s="1"/>
  <c r="R54" i="26"/>
  <c r="R26" i="26" s="1"/>
  <c r="R46" i="26"/>
  <c r="R38" i="26"/>
  <c r="V73" i="26"/>
  <c r="R76" i="26"/>
  <c r="R68" i="26"/>
  <c r="L68" i="26"/>
  <c r="L12" i="26" s="1"/>
  <c r="L67" i="26"/>
  <c r="L11" i="26" s="1"/>
  <c r="V19" i="26"/>
  <c r="V94" i="26"/>
  <c r="L82" i="26"/>
  <c r="L26" i="26" s="1"/>
  <c r="L75" i="26"/>
  <c r="L19" i="26" s="1"/>
  <c r="Y32" i="26" l="1"/>
  <c r="Z32" i="26" s="1"/>
  <c r="V21" i="26"/>
  <c r="V35" i="26"/>
  <c r="R17" i="26"/>
  <c r="R33" i="26"/>
  <c r="V24" i="26"/>
  <c r="V26" i="26"/>
  <c r="V27" i="26"/>
  <c r="V11" i="26"/>
  <c r="V31" i="26"/>
  <c r="Y31" i="26" s="1"/>
  <c r="Z31" i="26" s="1"/>
  <c r="Y16" i="26"/>
  <c r="Z16" i="26" s="1"/>
  <c r="R18" i="26"/>
  <c r="V33" i="26"/>
  <c r="Y33" i="26" s="1"/>
  <c r="Z33" i="26" s="1"/>
  <c r="V10" i="26"/>
  <c r="V9" i="26" s="1"/>
  <c r="V18" i="26"/>
  <c r="R11" i="26"/>
  <c r="Y11" i="26" s="1"/>
  <c r="Z11" i="26" s="1"/>
  <c r="Y34" i="26"/>
  <c r="Z34" i="26" s="1"/>
  <c r="Y30" i="26"/>
  <c r="Z30" i="26" s="1"/>
  <c r="R13" i="26"/>
  <c r="Y13" i="26" s="1"/>
  <c r="Z13" i="26" s="1"/>
  <c r="V17" i="26"/>
  <c r="Y25" i="26"/>
  <c r="Z25" i="26" s="1"/>
  <c r="V23" i="26"/>
  <c r="Y23" i="26" s="1"/>
  <c r="Z23" i="26" s="1"/>
  <c r="R12" i="26"/>
  <c r="Y12" i="26" s="1"/>
  <c r="Z12" i="26" s="1"/>
  <c r="V22" i="26"/>
  <c r="V29" i="26"/>
  <c r="Y29" i="26" s="1"/>
  <c r="Z29" i="26" s="1"/>
  <c r="Y24" i="26"/>
  <c r="Z24" i="26" s="1"/>
  <c r="Y17" i="26"/>
  <c r="Z17" i="26" s="1"/>
  <c r="Y28" i="26"/>
  <c r="Z28" i="26" s="1"/>
  <c r="R21" i="26"/>
  <c r="L10" i="26"/>
  <c r="L9" i="26" s="1"/>
  <c r="L65" i="26"/>
  <c r="R65" i="26"/>
  <c r="Y14" i="26"/>
  <c r="Z14" i="26" s="1"/>
  <c r="R20" i="26"/>
  <c r="Y20" i="26" s="1"/>
  <c r="Z20" i="26" s="1"/>
  <c r="R15" i="26"/>
  <c r="Y15" i="26" s="1"/>
  <c r="Z15" i="26" s="1"/>
  <c r="X9" i="26"/>
  <c r="Y18" i="26"/>
  <c r="Z18" i="26" s="1"/>
  <c r="V65" i="26"/>
  <c r="V93" i="26"/>
  <c r="R37" i="26"/>
  <c r="R10" i="26"/>
  <c r="H9" i="26"/>
  <c r="Y22" i="26"/>
  <c r="Z22" i="26" s="1"/>
  <c r="Y26" i="26"/>
  <c r="Z26" i="26" s="1"/>
  <c r="R19" i="26"/>
  <c r="Y19" i="26" s="1"/>
  <c r="Z19" i="26" s="1"/>
  <c r="R27" i="26"/>
  <c r="Y27" i="26" s="1"/>
  <c r="Z27" i="26" s="1"/>
  <c r="R35" i="26"/>
  <c r="Y35" i="26" s="1"/>
  <c r="Z35" i="26" s="1"/>
  <c r="Y21" i="26" l="1"/>
  <c r="Z21" i="26" s="1"/>
  <c r="Y10" i="26"/>
  <c r="R9" i="26"/>
  <c r="Z10" i="26" l="1"/>
  <c r="Z9" i="26" s="1"/>
  <c r="Y9" i="26"/>
  <c r="J35" i="25" l="1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J36" i="25" l="1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G35" i="25"/>
  <c r="D35" i="25"/>
  <c r="G34" i="25"/>
  <c r="D34" i="25"/>
  <c r="G33" i="25"/>
  <c r="D33" i="25"/>
  <c r="G32" i="25"/>
  <c r="D32" i="25"/>
  <c r="G31" i="25"/>
  <c r="D31" i="25"/>
  <c r="G30" i="25"/>
  <c r="D30" i="25"/>
  <c r="G29" i="25"/>
  <c r="D29" i="25"/>
  <c r="G28" i="25"/>
  <c r="D28" i="25"/>
  <c r="G27" i="25"/>
  <c r="D27" i="25"/>
  <c r="E27" i="25" s="1"/>
  <c r="G26" i="25"/>
  <c r="D26" i="25"/>
  <c r="E26" i="25" s="1"/>
  <c r="G25" i="25"/>
  <c r="E25" i="25"/>
  <c r="D25" i="25"/>
  <c r="G24" i="25"/>
  <c r="D24" i="25"/>
  <c r="G23" i="25"/>
  <c r="D23" i="25"/>
  <c r="G22" i="25"/>
  <c r="D22" i="25"/>
  <c r="G21" i="25"/>
  <c r="D21" i="25"/>
  <c r="G20" i="25"/>
  <c r="D20" i="25"/>
  <c r="G19" i="25"/>
  <c r="D19" i="25"/>
  <c r="G18" i="25"/>
  <c r="D18" i="25"/>
  <c r="G17" i="25"/>
  <c r="D17" i="25"/>
  <c r="G16" i="25"/>
  <c r="D16" i="25"/>
  <c r="G15" i="25"/>
  <c r="D15" i="25"/>
  <c r="G14" i="25"/>
  <c r="D14" i="25"/>
  <c r="G13" i="25"/>
  <c r="D13" i="25"/>
  <c r="G12" i="25"/>
  <c r="D12" i="25"/>
  <c r="G11" i="25"/>
  <c r="D11" i="25"/>
  <c r="E11" i="25" s="1"/>
  <c r="G10" i="25"/>
  <c r="D10" i="25"/>
  <c r="E10" i="25" s="1"/>
  <c r="E5" i="25"/>
  <c r="E35" i="25" s="1"/>
  <c r="H11" i="25" l="1"/>
  <c r="H25" i="25"/>
  <c r="L25" i="25" s="1"/>
  <c r="M25" i="25" s="1"/>
  <c r="H27" i="25"/>
  <c r="E13" i="25"/>
  <c r="H13" i="25" s="1"/>
  <c r="L13" i="25" s="1"/>
  <c r="M13" i="25" s="1"/>
  <c r="E15" i="25"/>
  <c r="H15" i="25" s="1"/>
  <c r="L15" i="25" s="1"/>
  <c r="M15" i="25" s="1"/>
  <c r="E17" i="25"/>
  <c r="E19" i="25"/>
  <c r="E21" i="25"/>
  <c r="H21" i="25" s="1"/>
  <c r="L21" i="25" s="1"/>
  <c r="M21" i="25" s="1"/>
  <c r="E23" i="25"/>
  <c r="H23" i="25" s="1"/>
  <c r="L23" i="25" s="1"/>
  <c r="M23" i="25" s="1"/>
  <c r="E30" i="25"/>
  <c r="H30" i="25" s="1"/>
  <c r="L30" i="25" s="1"/>
  <c r="M30" i="25" s="1"/>
  <c r="E34" i="25"/>
  <c r="L14" i="25"/>
  <c r="M14" i="25" s="1"/>
  <c r="M11" i="25"/>
  <c r="L27" i="25"/>
  <c r="M27" i="25" s="1"/>
  <c r="E14" i="25"/>
  <c r="H14" i="25" s="1"/>
  <c r="E18" i="25"/>
  <c r="H18" i="25" s="1"/>
  <c r="L18" i="25" s="1"/>
  <c r="M18" i="25" s="1"/>
  <c r="E22" i="25"/>
  <c r="H22" i="25" s="1"/>
  <c r="L22" i="25" s="1"/>
  <c r="M22" i="25" s="1"/>
  <c r="E29" i="25"/>
  <c r="H29" i="25" s="1"/>
  <c r="L29" i="25" s="1"/>
  <c r="M29" i="25" s="1"/>
  <c r="E31" i="25"/>
  <c r="H31" i="25" s="1"/>
  <c r="L31" i="25" s="1"/>
  <c r="M31" i="25" s="1"/>
  <c r="E33" i="25"/>
  <c r="K36" i="25"/>
  <c r="H35" i="25"/>
  <c r="L35" i="25" s="1"/>
  <c r="M35" i="25" s="1"/>
  <c r="H17" i="25"/>
  <c r="L17" i="25" s="1"/>
  <c r="M17" i="25" s="1"/>
  <c r="H19" i="25"/>
  <c r="L19" i="25" s="1"/>
  <c r="M19" i="25" s="1"/>
  <c r="H26" i="25"/>
  <c r="L26" i="25" s="1"/>
  <c r="M26" i="25" s="1"/>
  <c r="H33" i="25"/>
  <c r="L33" i="25" s="1"/>
  <c r="M33" i="25" s="1"/>
  <c r="H10" i="25"/>
  <c r="G36" i="25"/>
  <c r="H34" i="25"/>
  <c r="L34" i="25" s="1"/>
  <c r="M34" i="25" s="1"/>
  <c r="D36" i="25"/>
  <c r="F36" i="25"/>
  <c r="E12" i="25"/>
  <c r="H12" i="25" s="1"/>
  <c r="L12" i="25" s="1"/>
  <c r="M12" i="25" s="1"/>
  <c r="E16" i="25"/>
  <c r="H16" i="25" s="1"/>
  <c r="L16" i="25" s="1"/>
  <c r="M16" i="25" s="1"/>
  <c r="E20" i="25"/>
  <c r="H20" i="25" s="1"/>
  <c r="L20" i="25" s="1"/>
  <c r="M20" i="25" s="1"/>
  <c r="E24" i="25"/>
  <c r="H24" i="25" s="1"/>
  <c r="L24" i="25" s="1"/>
  <c r="M24" i="25" s="1"/>
  <c r="E28" i="25"/>
  <c r="H28" i="25" s="1"/>
  <c r="L28" i="25" s="1"/>
  <c r="M28" i="25" s="1"/>
  <c r="E32" i="25"/>
  <c r="H32" i="25" s="1"/>
  <c r="L32" i="25" s="1"/>
  <c r="M32" i="25" s="1"/>
  <c r="L10" i="25" l="1"/>
  <c r="L36" i="25" s="1"/>
  <c r="E36" i="25"/>
  <c r="H36" i="25"/>
  <c r="M10" i="25" l="1"/>
  <c r="M36" i="25" s="1"/>
  <c r="C35" i="23" l="1"/>
  <c r="D26" i="23" s="1"/>
  <c r="C33" i="23"/>
  <c r="D31" i="23"/>
  <c r="D30" i="23"/>
  <c r="D29" i="23"/>
  <c r="D28" i="23"/>
  <c r="D27" i="23"/>
  <c r="D23" i="23"/>
  <c r="D19" i="23"/>
  <c r="D15" i="23"/>
  <c r="D11" i="23"/>
  <c r="D7" i="23"/>
  <c r="D8" i="23" l="1"/>
  <c r="D12" i="23"/>
  <c r="D16" i="23"/>
  <c r="D20" i="23"/>
  <c r="D24" i="23"/>
  <c r="D32" i="23"/>
  <c r="D9" i="23"/>
  <c r="D13" i="23"/>
  <c r="D17" i="23"/>
  <c r="D21" i="23"/>
  <c r="D25" i="23"/>
  <c r="D10" i="23"/>
  <c r="D14" i="23"/>
  <c r="D18" i="23"/>
  <c r="D22" i="23"/>
  <c r="D33" i="23" l="1"/>
  <c r="D35" i="23"/>
  <c r="K68" i="22" l="1"/>
  <c r="J68" i="22"/>
  <c r="L65" i="22"/>
  <c r="N61" i="22"/>
  <c r="L61" i="22"/>
  <c r="L68" i="22" s="1"/>
  <c r="K61" i="22"/>
  <c r="J61" i="22"/>
  <c r="P60" i="22"/>
  <c r="M60" i="22"/>
  <c r="J60" i="22"/>
  <c r="K59" i="22"/>
  <c r="J59" i="22"/>
  <c r="Q57" i="22"/>
  <c r="Q54" i="22"/>
  <c r="N54" i="22"/>
  <c r="M54" i="22"/>
  <c r="J54" i="22"/>
  <c r="Q53" i="22"/>
  <c r="N53" i="22"/>
  <c r="M53" i="22"/>
  <c r="K53" i="22"/>
  <c r="J53" i="22"/>
  <c r="Q52" i="22"/>
  <c r="N52" i="22"/>
  <c r="M52" i="22"/>
  <c r="K52" i="22"/>
  <c r="J52" i="22"/>
  <c r="N51" i="22"/>
  <c r="M51" i="22"/>
  <c r="J51" i="22"/>
  <c r="N49" i="22"/>
  <c r="M49" i="22"/>
  <c r="J49" i="22"/>
  <c r="Q48" i="22"/>
  <c r="N48" i="22"/>
  <c r="M48" i="22"/>
  <c r="K48" i="22"/>
  <c r="J48" i="22"/>
  <c r="Q47" i="22"/>
  <c r="N47" i="22"/>
  <c r="M47" i="22"/>
  <c r="K47" i="22"/>
  <c r="J47" i="22"/>
  <c r="O45" i="22"/>
  <c r="L45" i="22"/>
  <c r="N45" i="22" s="1"/>
  <c r="K45" i="22"/>
  <c r="J45" i="22"/>
  <c r="M44" i="22"/>
  <c r="K44" i="22"/>
  <c r="J44" i="22"/>
  <c r="M43" i="22"/>
  <c r="K43" i="22"/>
  <c r="J43" i="22"/>
  <c r="M42" i="22"/>
  <c r="K42" i="22"/>
  <c r="J42" i="22"/>
  <c r="Q41" i="22"/>
  <c r="N41" i="22"/>
  <c r="M41" i="22"/>
  <c r="M40" i="22"/>
  <c r="K40" i="22"/>
  <c r="J40" i="22"/>
  <c r="Q39" i="22"/>
  <c r="N39" i="22"/>
  <c r="M39" i="22"/>
  <c r="K39" i="22"/>
  <c r="J39" i="22"/>
  <c r="M38" i="22"/>
  <c r="K38" i="22"/>
  <c r="J38" i="22"/>
  <c r="O37" i="22"/>
  <c r="P37" i="22" s="1"/>
  <c r="L37" i="22"/>
  <c r="L59" i="22" s="1"/>
  <c r="K37" i="22"/>
  <c r="J37" i="22"/>
  <c r="O34" i="22"/>
  <c r="L34" i="22"/>
  <c r="N34" i="22" s="1"/>
  <c r="K34" i="22"/>
  <c r="J34" i="22"/>
  <c r="Q33" i="22"/>
  <c r="N33" i="22"/>
  <c r="M33" i="22"/>
  <c r="K33" i="22"/>
  <c r="J33" i="22"/>
  <c r="O32" i="22"/>
  <c r="Q32" i="22" s="1"/>
  <c r="N32" i="22"/>
  <c r="L32" i="22"/>
  <c r="M32" i="22" s="1"/>
  <c r="K32" i="22"/>
  <c r="J32" i="22"/>
  <c r="Q31" i="22"/>
  <c r="N31" i="22"/>
  <c r="M31" i="22"/>
  <c r="K31" i="22"/>
  <c r="J31" i="22"/>
  <c r="M30" i="22"/>
  <c r="K30" i="22"/>
  <c r="J30" i="22"/>
  <c r="O27" i="22"/>
  <c r="L27" i="22"/>
  <c r="N27" i="22" s="1"/>
  <c r="K27" i="22"/>
  <c r="J27" i="22"/>
  <c r="Q26" i="22"/>
  <c r="N26" i="22"/>
  <c r="M26" i="22"/>
  <c r="K26" i="22"/>
  <c r="J26" i="22"/>
  <c r="Q25" i="22"/>
  <c r="N25" i="22"/>
  <c r="M25" i="22"/>
  <c r="K25" i="22"/>
  <c r="J25" i="22"/>
  <c r="Q24" i="22"/>
  <c r="N24" i="22"/>
  <c r="M24" i="22"/>
  <c r="K24" i="22"/>
  <c r="J24" i="22"/>
  <c r="Q23" i="22"/>
  <c r="N23" i="22"/>
  <c r="M23" i="22"/>
  <c r="K23" i="22"/>
  <c r="J23" i="22"/>
  <c r="Q22" i="22"/>
  <c r="N22" i="22"/>
  <c r="M22" i="22"/>
  <c r="K22" i="22"/>
  <c r="J22" i="22"/>
  <c r="Q21" i="22"/>
  <c r="N21" i="22"/>
  <c r="M21" i="22"/>
  <c r="K21" i="22"/>
  <c r="J21" i="22"/>
  <c r="L18" i="22"/>
  <c r="N18" i="22" s="1"/>
  <c r="K18" i="22"/>
  <c r="J18" i="22"/>
  <c r="O17" i="22"/>
  <c r="O18" i="22" s="1"/>
  <c r="N17" i="22"/>
  <c r="M17" i="22"/>
  <c r="K17" i="22"/>
  <c r="J17" i="22"/>
  <c r="O16" i="22"/>
  <c r="Q16" i="22" s="1"/>
  <c r="N16" i="22"/>
  <c r="M16" i="22"/>
  <c r="K16" i="22"/>
  <c r="J16" i="22"/>
  <c r="O8" i="22"/>
  <c r="P8" i="22" s="1"/>
  <c r="P7" i="22"/>
  <c r="O6" i="22"/>
  <c r="P6" i="22" s="1"/>
  <c r="P5" i="22"/>
  <c r="O59" i="22" l="1"/>
  <c r="O61" i="22" s="1"/>
  <c r="Q17" i="22"/>
  <c r="Q18" i="22"/>
  <c r="N59" i="22"/>
  <c r="M59" i="22"/>
  <c r="Q59" i="22"/>
  <c r="Q68" i="22"/>
  <c r="N68" i="22"/>
  <c r="M68" i="22"/>
  <c r="M18" i="22"/>
  <c r="M27" i="22"/>
  <c r="Q27" i="22"/>
  <c r="M34" i="22"/>
  <c r="Q34" i="22"/>
  <c r="M37" i="22"/>
  <c r="Q37" i="22"/>
  <c r="N37" i="22"/>
  <c r="M45" i="22"/>
  <c r="Q45" i="22"/>
  <c r="M61" i="22"/>
  <c r="P18" i="22" l="1"/>
  <c r="P34" i="22"/>
  <c r="P32" i="22"/>
  <c r="P59" i="22"/>
  <c r="P45" i="22"/>
  <c r="P16" i="22"/>
  <c r="Q61" i="22"/>
  <c r="P47" i="22"/>
  <c r="P61" i="22"/>
  <c r="P52" i="22"/>
  <c r="P50" i="22"/>
  <c r="P31" i="22"/>
  <c r="P25" i="22"/>
  <c r="P23" i="22"/>
  <c r="P21" i="22"/>
  <c r="P54" i="22"/>
  <c r="P48" i="22"/>
  <c r="P39" i="22"/>
  <c r="P53" i="22"/>
  <c r="P41" i="22"/>
  <c r="P33" i="22"/>
  <c r="P27" i="22"/>
  <c r="P26" i="22"/>
  <c r="P24" i="22"/>
  <c r="P22" i="22"/>
  <c r="P17" i="22"/>
  <c r="E34" i="10" l="1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33" i="21"/>
  <c r="H31" i="21" s="1"/>
  <c r="D33" i="21"/>
  <c r="G32" i="21" s="1"/>
  <c r="C33" i="21"/>
  <c r="F32" i="21" s="1"/>
  <c r="H32" i="21"/>
  <c r="F31" i="21"/>
  <c r="F30" i="21"/>
  <c r="H29" i="21"/>
  <c r="F29" i="21"/>
  <c r="H28" i="21"/>
  <c r="F28" i="21"/>
  <c r="F27" i="21"/>
  <c r="F26" i="21"/>
  <c r="H25" i="21"/>
  <c r="F25" i="21"/>
  <c r="H24" i="21"/>
  <c r="F24" i="21"/>
  <c r="F23" i="21"/>
  <c r="F22" i="21"/>
  <c r="H21" i="21"/>
  <c r="G21" i="21"/>
  <c r="F21" i="21"/>
  <c r="H20" i="21"/>
  <c r="F20" i="21"/>
  <c r="F19" i="21"/>
  <c r="F18" i="21"/>
  <c r="H17" i="21"/>
  <c r="F17" i="21"/>
  <c r="H16" i="21"/>
  <c r="F16" i="21"/>
  <c r="F15" i="21"/>
  <c r="F14" i="21"/>
  <c r="H13" i="21"/>
  <c r="G13" i="21"/>
  <c r="I13" i="21" s="1"/>
  <c r="J13" i="21" s="1"/>
  <c r="F13" i="21"/>
  <c r="H12" i="21"/>
  <c r="F12" i="21"/>
  <c r="F11" i="21"/>
  <c r="F10" i="21"/>
  <c r="H9" i="21"/>
  <c r="F9" i="21"/>
  <c r="H8" i="21"/>
  <c r="F8" i="21"/>
  <c r="F7" i="21"/>
  <c r="G17" i="21" l="1"/>
  <c r="I17" i="21" s="1"/>
  <c r="J17" i="21" s="1"/>
  <c r="I25" i="21"/>
  <c r="J25" i="21" s="1"/>
  <c r="G29" i="21"/>
  <c r="I29" i="21" s="1"/>
  <c r="J29" i="21" s="1"/>
  <c r="F33" i="21"/>
  <c r="G9" i="21"/>
  <c r="I9" i="21" s="1"/>
  <c r="J9" i="21" s="1"/>
  <c r="I21" i="21"/>
  <c r="J21" i="21" s="1"/>
  <c r="G25" i="21"/>
  <c r="I32" i="21"/>
  <c r="J32" i="21" s="1"/>
  <c r="G10" i="21"/>
  <c r="I10" i="21" s="1"/>
  <c r="J10" i="21" s="1"/>
  <c r="G14" i="21"/>
  <c r="G22" i="21"/>
  <c r="G30" i="21"/>
  <c r="G7" i="21"/>
  <c r="H10" i="21"/>
  <c r="G11" i="21"/>
  <c r="H14" i="21"/>
  <c r="G15" i="21"/>
  <c r="I15" i="21" s="1"/>
  <c r="J15" i="21" s="1"/>
  <c r="H18" i="21"/>
  <c r="G19" i="21"/>
  <c r="H22" i="21"/>
  <c r="I22" i="21" s="1"/>
  <c r="J22" i="21" s="1"/>
  <c r="G23" i="21"/>
  <c r="I23" i="21" s="1"/>
  <c r="J23" i="21" s="1"/>
  <c r="H26" i="21"/>
  <c r="G27" i="21"/>
  <c r="H30" i="21"/>
  <c r="G31" i="21"/>
  <c r="I31" i="21" s="1"/>
  <c r="J31" i="21" s="1"/>
  <c r="G18" i="21"/>
  <c r="I18" i="21" s="1"/>
  <c r="J18" i="21" s="1"/>
  <c r="G26" i="21"/>
  <c r="I26" i="21" s="1"/>
  <c r="J26" i="21" s="1"/>
  <c r="H7" i="21"/>
  <c r="G8" i="21"/>
  <c r="I8" i="21" s="1"/>
  <c r="J8" i="21" s="1"/>
  <c r="H11" i="21"/>
  <c r="G12" i="21"/>
  <c r="I12" i="21" s="1"/>
  <c r="J12" i="21" s="1"/>
  <c r="H15" i="21"/>
  <c r="G16" i="21"/>
  <c r="I16" i="21" s="1"/>
  <c r="J16" i="21" s="1"/>
  <c r="H19" i="21"/>
  <c r="G20" i="21"/>
  <c r="I20" i="21" s="1"/>
  <c r="J20" i="21" s="1"/>
  <c r="H23" i="21"/>
  <c r="G24" i="21"/>
  <c r="I24" i="21" s="1"/>
  <c r="J24" i="21" s="1"/>
  <c r="H27" i="21"/>
  <c r="G28" i="21"/>
  <c r="I28" i="21" s="1"/>
  <c r="J28" i="21" s="1"/>
  <c r="H33" i="21" l="1"/>
  <c r="I30" i="21"/>
  <c r="J30" i="21" s="1"/>
  <c r="I14" i="21"/>
  <c r="J14" i="21" s="1"/>
  <c r="G33" i="21"/>
  <c r="I7" i="21"/>
  <c r="I27" i="21"/>
  <c r="J27" i="21" s="1"/>
  <c r="I19" i="21"/>
  <c r="J19" i="21" s="1"/>
  <c r="I11" i="21"/>
  <c r="J11" i="21" s="1"/>
  <c r="J7" i="21" l="1"/>
  <c r="J33" i="21" s="1"/>
  <c r="I33" i="21"/>
  <c r="C45" i="20" l="1"/>
  <c r="D11" i="20" s="1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45" i="20" l="1"/>
  <c r="D13" i="20" s="1"/>
  <c r="D39" i="18" l="1"/>
  <c r="E37" i="18" s="1"/>
  <c r="C39" i="18"/>
  <c r="E14" i="18" l="1"/>
  <c r="E16" i="18"/>
  <c r="E18" i="18"/>
  <c r="E20" i="18"/>
  <c r="E22" i="18"/>
  <c r="E24" i="18"/>
  <c r="E26" i="18"/>
  <c r="E28" i="18"/>
  <c r="E30" i="18"/>
  <c r="E32" i="18"/>
  <c r="E34" i="18"/>
  <c r="E36" i="18"/>
  <c r="E38" i="18"/>
  <c r="E13" i="18"/>
  <c r="E15" i="18"/>
  <c r="E17" i="18"/>
  <c r="E19" i="18"/>
  <c r="E21" i="18"/>
  <c r="E23" i="18"/>
  <c r="E25" i="18"/>
  <c r="E27" i="18"/>
  <c r="E29" i="18"/>
  <c r="E31" i="18"/>
  <c r="E33" i="18"/>
  <c r="E35" i="18"/>
  <c r="E39" i="18" l="1"/>
  <c r="E8" i="18" l="1"/>
  <c r="D37" i="17" l="1"/>
  <c r="E34" i="17" s="1"/>
  <c r="C37" i="17"/>
  <c r="E33" i="17"/>
  <c r="E30" i="17"/>
  <c r="E29" i="17"/>
  <c r="E26" i="17"/>
  <c r="E25" i="17"/>
  <c r="E24" i="17"/>
  <c r="E22" i="17"/>
  <c r="E21" i="17"/>
  <c r="E20" i="17"/>
  <c r="E18" i="17"/>
  <c r="E17" i="17"/>
  <c r="E16" i="17"/>
  <c r="E14" i="17"/>
  <c r="E13" i="17"/>
  <c r="E12" i="17"/>
  <c r="E6" i="17"/>
  <c r="E28" i="17" l="1"/>
  <c r="E32" i="17"/>
  <c r="E36" i="17"/>
  <c r="E11" i="17"/>
  <c r="E15" i="17"/>
  <c r="E19" i="17"/>
  <c r="E23" i="17"/>
  <c r="E27" i="17"/>
  <c r="E31" i="17"/>
  <c r="E35" i="17"/>
  <c r="E37" i="17" l="1"/>
  <c r="D8" i="16" l="1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C34" i="16"/>
  <c r="D34" i="16" l="1"/>
  <c r="D35" i="10"/>
  <c r="E35" i="10" s="1"/>
  <c r="C35" i="10"/>
  <c r="F34" i="10"/>
  <c r="G34" i="10" s="1"/>
  <c r="F33" i="10"/>
  <c r="G33" i="10" s="1"/>
  <c r="F32" i="10"/>
  <c r="G32" i="10" s="1"/>
  <c r="F31" i="10"/>
  <c r="G31" i="10" s="1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G25" i="10" s="1"/>
  <c r="F24" i="10"/>
  <c r="G24" i="10" s="1"/>
  <c r="F23" i="10"/>
  <c r="G23" i="10" s="1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35" i="10" l="1"/>
  <c r="G35" i="10" l="1"/>
  <c r="G38" i="10" s="1"/>
  <c r="G40" i="10" s="1"/>
</calcChain>
</file>

<file path=xl/sharedStrings.xml><?xml version="1.0" encoding="utf-8"?>
<sst xmlns="http://schemas.openxmlformats.org/spreadsheetml/2006/main" count="665" uniqueCount="274">
  <si>
    <t>(Nezahrnuje dotace na programy reprodukce majetku)</t>
  </si>
  <si>
    <t>Položka</t>
  </si>
  <si>
    <t>Rok 2014</t>
  </si>
  <si>
    <t>Rok 2015</t>
  </si>
  <si>
    <t>Rok 2016</t>
  </si>
  <si>
    <t>meziroční změna</t>
  </si>
  <si>
    <t>Průměrný normativ</t>
  </si>
  <si>
    <t>Výpočtové stipendium v doktorském studiu</t>
  </si>
  <si>
    <t>Základní normativ</t>
  </si>
  <si>
    <t xml:space="preserve">Výpočtové ubytovací stipendium na 1 studenta </t>
  </si>
  <si>
    <t xml:space="preserve">Normativ absolventa </t>
  </si>
  <si>
    <t>x</t>
  </si>
  <si>
    <t>Měsíční sociální stipendium</t>
  </si>
  <si>
    <t>Výpočtová dotace na 1  jídlo</t>
  </si>
  <si>
    <t>Příspěvek *)</t>
  </si>
  <si>
    <t>Dotace *)</t>
  </si>
  <si>
    <t>Název ukazatele / položky</t>
  </si>
  <si>
    <t>Rozpočet 2014</t>
  </si>
  <si>
    <r>
      <t xml:space="preserve">% podíl z celku </t>
    </r>
    <r>
      <rPr>
        <i/>
        <sz val="11"/>
        <color indexed="23"/>
        <rFont val="Arial"/>
        <family val="2"/>
        <charset val="238"/>
      </rPr>
      <t>(sl. 3)</t>
    </r>
  </si>
  <si>
    <r>
      <t xml:space="preserve">Meziroční vývoj 
</t>
    </r>
    <r>
      <rPr>
        <i/>
        <sz val="11"/>
        <color indexed="23"/>
        <rFont val="Arial"/>
        <family val="2"/>
        <charset val="238"/>
      </rPr>
      <t>(sl. 3 vs 2)</t>
    </r>
  </si>
  <si>
    <t>Rozpočet 2015</t>
  </si>
  <si>
    <r>
      <t xml:space="preserve">% podíl z celku </t>
    </r>
    <r>
      <rPr>
        <i/>
        <sz val="11"/>
        <color indexed="23"/>
        <rFont val="Arial"/>
        <family val="2"/>
        <charset val="238"/>
      </rPr>
      <t>(sl. 6)</t>
    </r>
  </si>
  <si>
    <r>
      <t xml:space="preserve">Meziroční vývoj 
</t>
    </r>
    <r>
      <rPr>
        <i/>
        <sz val="11"/>
        <color indexed="23"/>
        <rFont val="Arial"/>
        <family val="2"/>
        <charset val="238"/>
      </rPr>
      <t>(sl. 6 vs 3)</t>
    </r>
  </si>
  <si>
    <r>
      <t xml:space="preserve">% podíl z celku </t>
    </r>
    <r>
      <rPr>
        <i/>
        <sz val="11"/>
        <color indexed="23"/>
        <rFont val="Arial"/>
        <family val="2"/>
        <charset val="238"/>
      </rPr>
      <t>(sl. 9)</t>
    </r>
  </si>
  <si>
    <r>
      <t xml:space="preserve">Meziroční vývoj 
</t>
    </r>
    <r>
      <rPr>
        <i/>
        <sz val="11"/>
        <color indexed="23"/>
        <rFont val="Arial"/>
        <family val="2"/>
        <charset val="238"/>
      </rPr>
      <t>(sl. 9 vs 6)</t>
    </r>
  </si>
  <si>
    <t>P</t>
  </si>
  <si>
    <t>Ukazatel K (dříve B3) - kvalita a výkon</t>
  </si>
  <si>
    <t>Celkem normativní část rozpočtu</t>
  </si>
  <si>
    <t>Rozpočtový okruh II, Sociální záležitosti studentů</t>
  </si>
  <si>
    <t>Ukazatel C - stipendia pro studenty doktorských stud. prog.</t>
  </si>
  <si>
    <t>D</t>
  </si>
  <si>
    <t>Ukazatel J - dotace na ubytování a stravování studentů</t>
  </si>
  <si>
    <t>Ukazatel S1 - příspěvek na sociální stipendia VVŠ</t>
  </si>
  <si>
    <t>Ukazatel S2 - dotace na sociální stipendia SVŠ</t>
  </si>
  <si>
    <t>Ukazatel U1- příspěvek na ubytovací stipendia VVŠ</t>
  </si>
  <si>
    <t>Ukazatel U2 - dotace na ubytovací stipendia SVŠ</t>
  </si>
  <si>
    <t>Celkem sociální záležitosti studentů</t>
  </si>
  <si>
    <t>Rozpočtový okruh III, Rozvoj vysokých škol</t>
  </si>
  <si>
    <t>Ukazatel G - fond rozvoje vysokých škol</t>
  </si>
  <si>
    <t xml:space="preserve">Ukazatel I - rozvojové programy </t>
  </si>
  <si>
    <t>v tom</t>
  </si>
  <si>
    <t>Institucionální plány (dříve decentralizované)</t>
  </si>
  <si>
    <t>Centralizované rozvojové projekty</t>
  </si>
  <si>
    <t>Celkem rozvoj vysokých škol</t>
  </si>
  <si>
    <t>Rozpočtový okruh IV, Mezinárodní spolupráce a ostatní</t>
  </si>
  <si>
    <t>Ukazatel D - mezinárodní spolupráce</t>
  </si>
  <si>
    <t>V tom:</t>
  </si>
  <si>
    <t>CEEPUS</t>
  </si>
  <si>
    <t>ERASMUS</t>
  </si>
  <si>
    <t>Podpora mezinárodní spolupráce</t>
  </si>
  <si>
    <t>Letní školy slovanských studií</t>
  </si>
  <si>
    <t>Mezivládní dohody (zahraniční studenti)</t>
  </si>
  <si>
    <t>Mezivládní dohody (cestovní náhrady českých pedagogů, studentů)</t>
  </si>
  <si>
    <t>Ukazatel F - Fond vzdělávací politiky</t>
  </si>
  <si>
    <t>Systémová podpora VŠ</t>
  </si>
  <si>
    <t>Studium studentů se specifickými potřebami</t>
  </si>
  <si>
    <t>Univerzita třetího věku (U3V)</t>
  </si>
  <si>
    <t>Registr uměleckých výstupů (RUV)</t>
  </si>
  <si>
    <t>Soukromé VŠ</t>
  </si>
  <si>
    <t>Univerzita obrany</t>
  </si>
  <si>
    <t>další</t>
  </si>
  <si>
    <t>Celkem Mezinárodní spolupráce a ostatní</t>
  </si>
  <si>
    <t>Celkem příspěvek + dotace k rozpisu</t>
  </si>
  <si>
    <t>Prostředky přidělené sekci 4 pro účely spolufinancování programu VaVpI</t>
  </si>
  <si>
    <t>Prostředky přidělené na základě PV 36/2014</t>
  </si>
  <si>
    <t>Převod rezervy OP VK provedený v r. 2015</t>
  </si>
  <si>
    <t>Navýšení výdajů na VŠ v rámci rozpočtu MŠMT</t>
  </si>
  <si>
    <t>Snížení částky k rozpisu o převod sekci VI</t>
  </si>
  <si>
    <t>Ukazatel rozpočtu VŠ (zák. o státním rozpočtu)</t>
  </si>
  <si>
    <t>Rezerva na priority MŠMT</t>
  </si>
  <si>
    <t>Ukazatel A - studijní programy</t>
  </si>
  <si>
    <t>Rozpočet 2016</t>
  </si>
  <si>
    <t>Celkem</t>
  </si>
  <si>
    <t>Kód VVŠ</t>
  </si>
  <si>
    <t>JU</t>
  </si>
  <si>
    <t>MU</t>
  </si>
  <si>
    <t>UP</t>
  </si>
  <si>
    <t>OU</t>
  </si>
  <si>
    <t>UHK</t>
  </si>
  <si>
    <t>SU</t>
  </si>
  <si>
    <t>ČVUT</t>
  </si>
  <si>
    <t>TUL</t>
  </si>
  <si>
    <t>VŠB-TUO</t>
  </si>
  <si>
    <t>VŠE</t>
  </si>
  <si>
    <t>MENDELU</t>
  </si>
  <si>
    <t>JAMU</t>
  </si>
  <si>
    <t>VŠP Jihlava</t>
  </si>
  <si>
    <t>VŠTE</t>
  </si>
  <si>
    <t>Univerzita Hradec Králové</t>
  </si>
  <si>
    <t>Ukazatel C</t>
  </si>
  <si>
    <t>Počet stud. v DSPSP</t>
  </si>
  <si>
    <t>Jihočeská univerzita v Českých Budějovicích</t>
  </si>
  <si>
    <t>Univerzita Jana Evangelisty Purkyně v Ústí nad Labem</t>
  </si>
  <si>
    <t>Masarykova univerzita</t>
  </si>
  <si>
    <t>Univerzita Palackého v Olomouci</t>
  </si>
  <si>
    <t>Veterinární a farmaceutická univerzita Brno</t>
  </si>
  <si>
    <t>Slezská univerzita v Opavě</t>
  </si>
  <si>
    <t>České vysoké učení technické v Praze</t>
  </si>
  <si>
    <t>Vysoká škola chemicko-technologická v Praze</t>
  </si>
  <si>
    <t>Západočeská univerzita v Plzni</t>
  </si>
  <si>
    <t>Technická univerzita v Liberci</t>
  </si>
  <si>
    <t>Univerzita Pardubice</t>
  </si>
  <si>
    <t>Vysoké učení technické v Brně</t>
  </si>
  <si>
    <t>Vysoká škola báňská - Technická univerzita Ostrava</t>
  </si>
  <si>
    <t>Univerzita Tomáše Bati ve Zlíně</t>
  </si>
  <si>
    <t>Vysoká škola ekonomická v Praze</t>
  </si>
  <si>
    <t>Česká zemědělská univerzita v Praze</t>
  </si>
  <si>
    <t>Mendelova univerzita v Brně</t>
  </si>
  <si>
    <t>Akademie múzických umění v Praze</t>
  </si>
  <si>
    <t>Akademie výtvarných umění v Praze</t>
  </si>
  <si>
    <t>Vysoká škola uměleckoprůmyslová v Praze</t>
  </si>
  <si>
    <t>Janáčkova akademie múzických umění v Brně</t>
  </si>
  <si>
    <t>Vysoká škola polytechnická Jihlava</t>
  </si>
  <si>
    <t>Vysoká škola technická a ekonomická v Českých Budějovicích</t>
  </si>
  <si>
    <t xml:space="preserve">Ukazatel F </t>
  </si>
  <si>
    <t>Jednotková částka na jednu studentohodinu (Kč)</t>
  </si>
  <si>
    <t>Název VVŠ</t>
  </si>
  <si>
    <t>Upravený nárok</t>
  </si>
  <si>
    <t>Počet účastníků U3V</t>
  </si>
  <si>
    <t>Počet studento- hodin</t>
  </si>
  <si>
    <t>Ukazatel F</t>
  </si>
  <si>
    <t>Rozsah vykrytí kalkulovaných zvýšených nákladů (%)</t>
  </si>
  <si>
    <t>Počet studentů    se SP</t>
  </si>
  <si>
    <t>Kalkulované zvýšené náklady (Kč)</t>
  </si>
  <si>
    <t>Ukazatel I</t>
  </si>
  <si>
    <t>Orientační limit</t>
  </si>
  <si>
    <t>Ukazatel J</t>
  </si>
  <si>
    <t>dotace</t>
  </si>
  <si>
    <t>teplých</t>
  </si>
  <si>
    <t>studených</t>
  </si>
  <si>
    <t>stud. přepočt.</t>
  </si>
  <si>
    <t>celkem tep. + st. přep.</t>
  </si>
  <si>
    <t>Normativ na jedno hlavní jídlo (v Kč)</t>
  </si>
  <si>
    <t>Roční příspěvek na stravování (v Kč)</t>
  </si>
  <si>
    <t>Ukazatel U</t>
  </si>
  <si>
    <t>Základní údaje</t>
  </si>
  <si>
    <t>Počet nároků VVŠ</t>
  </si>
  <si>
    <t>Počet studentů</t>
  </si>
  <si>
    <t>Ukazatel U1 - veřejné vysoké školy</t>
  </si>
  <si>
    <t>Ukazatel D</t>
  </si>
  <si>
    <t>Příspěvek poskytnutý na dofinancování programu Erasmus letech</t>
  </si>
  <si>
    <t>Podíl VVŠ na celkovém poskytnutém příspěvku v roce</t>
  </si>
  <si>
    <t>Průměr ročních podílů</t>
  </si>
  <si>
    <t>výpočtová částka</t>
  </si>
  <si>
    <t>Kč</t>
  </si>
  <si>
    <t>Celková částka podle rozpisu rozpočtu (v Kč)</t>
  </si>
  <si>
    <t>Celková částka vyčleněná na studium SSP (v Kč)</t>
  </si>
  <si>
    <t>Mimořádné přijímací řízení PF</t>
  </si>
  <si>
    <t>Navýšení výdajů na VŠ na zajištění mimořádného přijímacího řízení PF v rámci rozpočtu MŠMT</t>
  </si>
  <si>
    <t>Seznam tabulek: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</si>
  <si>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</si>
  <si>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</si>
  <si>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</si>
  <si>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</si>
  <si>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</si>
  <si>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</si>
  <si>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</si>
  <si>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</si>
  <si>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</si>
  <si>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Bilance zdrojů pro rozdělení příspěvku a dotací vysokým školám v roce 2017</t>
  </si>
  <si>
    <t>10.</t>
  </si>
  <si>
    <t>11.</t>
  </si>
  <si>
    <t>Ukazatel C - Stipendia pro doktorandy v roce 2017</t>
  </si>
  <si>
    <t>Ukazatel F - Podpora financování nákladů souvisejících se vzděláváním seniorů prostřednictvím tzv. Univerzit třetího věku v roce 2017</t>
  </si>
  <si>
    <t>Ukazatel F - Podpora financování zvýšených nákladů souvisejících se studiem studentů se specifickými potřebami v roce 2017</t>
  </si>
  <si>
    <t>Ukazatel I - Rozvojové programy 2017</t>
  </si>
  <si>
    <t>Ukazatel J - Dotace na ubytování a stravování studentů v roce 2017</t>
  </si>
  <si>
    <t>Ukazatel U - Ubytovací stipendium v roce 2017</t>
  </si>
  <si>
    <t>Ukazatel D - Podpora mezinárodní spolupráce v roce 2017</t>
  </si>
  <si>
    <t>Ostravská univerzita</t>
  </si>
  <si>
    <t>Univerzita Karlova</t>
  </si>
  <si>
    <t>Výše příspěvku    v ukazateli</t>
  </si>
  <si>
    <t>údaje v Kć</t>
  </si>
  <si>
    <t>Výstup ze SIMS podle stavu k 31. 10. 2016</t>
  </si>
  <si>
    <t>Stipendia pro doktorandy v roce 2017</t>
  </si>
  <si>
    <t>Podpora financování nákladů souvisejících se vzděláváním seniorů prostřednictvím tzv. Univerzit třetího věku v roce 2017</t>
  </si>
  <si>
    <t>údaje v Kč</t>
  </si>
  <si>
    <t xml:space="preserve">Příspěvek na U3V na r. 2017
</t>
  </si>
  <si>
    <t>Podpora financování zvýšených nákladů souvisejících se studiem studentů se specifickými potřebami v roce 2017</t>
  </si>
  <si>
    <t>Příspěvek na studium SSP    v r. 2017 
(v Kč)</t>
  </si>
  <si>
    <t>Rozvojové programy 2017</t>
  </si>
  <si>
    <t xml:space="preserve">Institucionální plány 2017 </t>
  </si>
  <si>
    <t>Ubytovací stipendium v roce 2017</t>
  </si>
  <si>
    <t>Výstup SIMS k 31.10.2016</t>
  </si>
  <si>
    <t>Podpora mezinárodní spolupráce v roce 2017</t>
  </si>
  <si>
    <t>Výše prostředků pro r. 2017</t>
  </si>
  <si>
    <t>2014</t>
  </si>
  <si>
    <t>2015</t>
  </si>
  <si>
    <t>2016</t>
  </si>
  <si>
    <t xml:space="preserve"> Dotace na ubytování a stravování studentů v roce 2017</t>
  </si>
  <si>
    <t xml:space="preserve">celkový počet vydaných jídel </t>
  </si>
  <si>
    <t>Rezerva na žádosti dle čl. 15 Pravidel (v Kč)</t>
  </si>
  <si>
    <t>Rok 2017</t>
  </si>
  <si>
    <t>údaje do r. 2015 v tis. Kč, r. 2016 a 2017  v Kč</t>
  </si>
  <si>
    <t>Rozpočet 2017</t>
  </si>
  <si>
    <t>Podpora VŠ - pozměňovací návrh PS</t>
  </si>
  <si>
    <t xml:space="preserve">Podpora pedagogických fakult </t>
  </si>
  <si>
    <t>Ukazatel M - mimořádné aktivity VŠ</t>
  </si>
  <si>
    <t>Rozpočtový okruh I, institucionální část rozpočtu</t>
  </si>
  <si>
    <t xml:space="preserve"> - stanovení podílů na rok 2017 ve fixní části</t>
  </si>
  <si>
    <t>Podíl VVŠ na fixní části 2017</t>
  </si>
  <si>
    <t xml:space="preserve">Změna podílů je z důvodu zvýšení podílu UVVŠ na celku z 3,5 % v r. 2015 na 4,0 % v r. 2017 </t>
  </si>
  <si>
    <t>Výsledky výzkumu, vývoje a inovací (body RIV)</t>
  </si>
  <si>
    <t>Výsledky umělecké činnosti (body RUV)</t>
  </si>
  <si>
    <t>Kvalifikační struktura akademických pracovníků</t>
  </si>
  <si>
    <t>Zaměstnanost absolventů</t>
  </si>
  <si>
    <t>Podíl cizinců</t>
  </si>
  <si>
    <t>Absolventi</t>
  </si>
  <si>
    <t>Celkový podíl na výkonové části (v%)</t>
  </si>
  <si>
    <t>Profesoři</t>
  </si>
  <si>
    <t>Docenti</t>
  </si>
  <si>
    <t>Index</t>
  </si>
  <si>
    <t>Studenti</t>
  </si>
  <si>
    <t>Pedagogové</t>
  </si>
  <si>
    <t xml:space="preserve">Vyslaní </t>
  </si>
  <si>
    <t>Přijatí</t>
  </si>
  <si>
    <t>vypočtený</t>
  </si>
  <si>
    <t>redukovaný *1)</t>
  </si>
  <si>
    <t>Váhy parametrů</t>
  </si>
  <si>
    <t>VVŠ celkem</t>
  </si>
  <si>
    <t xml:space="preserve">UK </t>
  </si>
  <si>
    <t xml:space="preserve">UJEP </t>
  </si>
  <si>
    <t>VFU Brno</t>
  </si>
  <si>
    <t>VŠCHT Praha</t>
  </si>
  <si>
    <t>ZČU</t>
  </si>
  <si>
    <t>UPa</t>
  </si>
  <si>
    <t>VUT v Brně</t>
  </si>
  <si>
    <t>UTB ve Zlíně</t>
  </si>
  <si>
    <t>ČZU v Praze</t>
  </si>
  <si>
    <t>AMU v Praze</t>
  </si>
  <si>
    <t>AVU v Praze</t>
  </si>
  <si>
    <t>VŠUP v Praze</t>
  </si>
  <si>
    <t>Pozn. *1)</t>
  </si>
  <si>
    <t xml:space="preserve">Redukce vypočtených podílů spočívá v jejich přepočtu ze 100 % na hodnotu 100 % sníženou o procentní podíly stanovené pro neuniverzitní školy, a to ve výši jejich podílů na fixní části. </t>
  </si>
  <si>
    <t>2013</t>
  </si>
  <si>
    <t>částka vyčleněná na RO I</t>
  </si>
  <si>
    <t xml:space="preserve">     v tom fixní část</t>
  </si>
  <si>
    <t xml:space="preserve">     v tom výkonová část </t>
  </si>
  <si>
    <t>Fixní část</t>
  </si>
  <si>
    <t>Výkonová část</t>
  </si>
  <si>
    <t>RO I celkem</t>
  </si>
  <si>
    <t>%</t>
  </si>
  <si>
    <t>částka</t>
  </si>
  <si>
    <t>Uplatnění čl. 9 odst. 4 Pravidel (kompenzace poklesu nad 2%)</t>
  </si>
  <si>
    <t>k dorovnání</t>
  </si>
  <si>
    <t>Podíl VVŠ na ukazateli A+K 2016</t>
  </si>
  <si>
    <t>Rozdíl k dorovnání</t>
  </si>
  <si>
    <t>RO I 2017 včetně dorovnání</t>
  </si>
  <si>
    <t>98% z RO I s podíly dle r. 2016</t>
  </si>
  <si>
    <t>RO I s podíly dle r. 2016</t>
  </si>
  <si>
    <t>údaje v %</t>
  </si>
  <si>
    <r>
      <rPr>
        <b/>
        <sz val="10"/>
        <color theme="1"/>
        <rFont val="Calibri"/>
        <family val="2"/>
        <charset val="238"/>
        <scheme val="minor"/>
      </rPr>
      <t>V roce 2016</t>
    </r>
    <r>
      <rPr>
        <sz val="10"/>
        <color theme="1"/>
        <rFont val="Calibri"/>
        <family val="2"/>
        <charset val="238"/>
        <scheme val="minor"/>
      </rPr>
      <t xml:space="preserve"> byly uplatněné </t>
    </r>
    <r>
      <rPr>
        <b/>
        <sz val="10"/>
        <color theme="1"/>
        <rFont val="Calibri"/>
        <family val="2"/>
        <charset val="238"/>
        <scheme val="minor"/>
      </rPr>
      <t>nároky vykryty ve výši 75,4 %.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/>
    </r>
  </si>
  <si>
    <t>Rezerva na navýš. okruhu I dle čl. 9, odst. 6 Pravidel v r. 2015</t>
  </si>
  <si>
    <t>AKTION</t>
  </si>
  <si>
    <t>Částka v rozpisu rozpočtu na rok 2017 (v Kč)</t>
  </si>
  <si>
    <t>Jednotková sazba (v Kč)</t>
  </si>
  <si>
    <t>Celkem VVŠ (v Kč)</t>
  </si>
  <si>
    <t>Rozpočtový okruh 1, institucionální část rozpočtu - stanovení podílů na rok 2017 ve fixní části</t>
  </si>
  <si>
    <t>Rozpočtový okruh 1, institucionální část rozpočtu - stanovení podílů na rok 2017 ve výkonové části</t>
  </si>
  <si>
    <t>Rozpočtový okruh I, institucionální část rozpočtu - stanovení podílů na rok 2017 ve výkonové části</t>
  </si>
  <si>
    <t>Rozpočtový okruh I, institucionální část rozpočtu - celkový výpočet na rok 2017 vč. dorovnání dle čl. 9, odst. 4 Pravidel</t>
  </si>
  <si>
    <t xml:space="preserve">Rozpočtový okruh 1, institucionální část rozpočtu - celkový výpočet na rok 2017 </t>
  </si>
  <si>
    <t>vč. dorovnání dle čl. 9, odst. 4 Pravidel</t>
  </si>
  <si>
    <t>Externí příjmy VŠ spojené se vzdělávací a tvůrčí činností</t>
  </si>
  <si>
    <t>Vyslaní a přijatí studentu v rámci mobilitních programů</t>
  </si>
  <si>
    <t>Rozpis rozpočtu vysokých škol na rok 2017</t>
  </si>
  <si>
    <t>Podíly pro UVVŠ v rámci dohodnutých 4,0 % jsou stanoveny dle návrhu rektorů UVVŠ z 20. 10. 2016</t>
  </si>
  <si>
    <r>
      <t>Rok 2017</t>
    </r>
    <r>
      <rPr>
        <b/>
        <vertAlign val="superscript"/>
        <sz val="12"/>
        <rFont val="Arial"/>
        <family val="2"/>
        <charset val="238"/>
      </rPr>
      <t xml:space="preserve"> **)</t>
    </r>
  </si>
  <si>
    <t>**)</t>
  </si>
  <si>
    <t xml:space="preserve">*) </t>
  </si>
  <si>
    <t>V některých ukazatelích může být poskytnut příspěvek nebo dotace v závislosti na účelu, na který se poskytuje.</t>
  </si>
  <si>
    <t xml:space="preserve">Vzhledem ke změně metodiky výpočtu Rozpočtového okruhu I (RO I) je hodnota průměrného normativu pro rok 2017 stanovena jako podíl prostředků v RO I a celkového počtu normativních studentů k 31. 10. 2016. Do roku 2015 se jednalo o podíl prostředků v RO I a započteného počtu financovaných normativních studentů, pro rok  2016 o podíl prostředků v RO I a počtu financovaných normativních studentů, odvozeného z roku 2015. </t>
  </si>
  <si>
    <t>Podíl bez uměleckých VVŠ (UVVŠ)</t>
  </si>
  <si>
    <t>Výše příspěvku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</si>
</sst>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#,##0\ &quot;Kč&quot;;[Red]\-#,##0\ &quot;Kč&quot;"/>
    <numFmt numFmtId="8" formatCode="#,##0.00\ &quot;Kč&quot;;[Red]\-#,##0.00\ &quot;Kč&quot;"/>
    <numFmt numFmtId="164" formatCode="0.0%"/>
    <numFmt numFmtId="165" formatCode="0.0"/>
    <numFmt numFmtId="166" formatCode="#,##0.0"/>
    <numFmt numFmtId="167" formatCode="#,##0.000000"/>
    <numFmt numFmtId="168" formatCode="0.000"/>
    <numFmt numFmtId="169" formatCode="#,##0.00_ ;[Red]\-#,##0.00\ "/>
    <numFmt numFmtId="170" formatCode="#,##0.000"/>
    <numFmt numFmtId="171" formatCode="0.0000%"/>
    <numFmt numFmtId="172" formatCode="0.0000"/>
    <numFmt numFmtId="173" formatCode="0.00000%"/>
    <numFmt numFmtId="174" formatCode="0.000%"/>
    <numFmt numFmtId="175" formatCode="0.0000000%"/>
    <numFmt numFmtId="176" formatCode="0.000000"/>
    <numFmt numFmtId="177" formatCode="0.0000000"/>
    <numFmt numFmtId="178" formatCode="#,##0_ ;[Red]\-#,##0\ ;\–\ "/>
    <numFmt numFmtId="179" formatCode="#,##0.0_ ;[Red]\-#,##0.0\ ;\–\ "/>
  </numFmts>
  <fonts count="7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 CE"/>
      <charset val="238"/>
    </font>
    <font>
      <b/>
      <sz val="25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i/>
      <sz val="11"/>
      <name val="Arial"/>
      <family val="2"/>
      <charset val="238"/>
    </font>
    <font>
      <b/>
      <i/>
      <sz val="11"/>
      <color rgb="FF808080"/>
      <name val="Arial"/>
      <family val="2"/>
      <charset val="238"/>
    </font>
    <font>
      <i/>
      <sz val="11"/>
      <color indexed="23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808080"/>
      <name val="Arial"/>
      <family val="2"/>
      <charset val="238"/>
    </font>
    <font>
      <b/>
      <i/>
      <sz val="12"/>
      <color rgb="FF80808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6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8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sz val="15"/>
      <name val="Arial"/>
      <family val="2"/>
      <charset val="238"/>
    </font>
    <font>
      <sz val="8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22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1"/>
      <name val="Times New Roman CE"/>
      <family val="1"/>
      <charset val="238"/>
    </font>
    <font>
      <b/>
      <sz val="18"/>
      <color indexed="8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theme="9" tint="-0.499984740745262"/>
      </right>
      <top style="medium">
        <color indexed="64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9" tint="-0.499984740745262"/>
      </right>
      <top/>
      <bottom style="medium">
        <color indexed="64"/>
      </bottom>
      <diagonal/>
    </border>
    <border>
      <left style="medium">
        <color theme="9" tint="-0.499984740745262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9" tint="-0.499984740745262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4">
    <xf numFmtId="0" fontId="0" fillId="0" borderId="0"/>
    <xf numFmtId="0" fontId="5" fillId="0" borderId="0"/>
    <xf numFmtId="0" fontId="13" fillId="0" borderId="0"/>
    <xf numFmtId="0" fontId="4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3" fillId="0" borderId="0"/>
    <xf numFmtId="0" fontId="52" fillId="0" borderId="0"/>
    <xf numFmtId="0" fontId="2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889">
    <xf numFmtId="0" fontId="0" fillId="0" borderId="0" xfId="0"/>
    <xf numFmtId="0" fontId="7" fillId="0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164" fontId="9" fillId="2" borderId="0" xfId="1" applyNumberFormat="1" applyFont="1" applyFill="1" applyBorder="1" applyAlignment="1">
      <alignment horizontal="right" vertical="center"/>
    </xf>
    <xf numFmtId="164" fontId="9" fillId="2" borderId="0" xfId="1" applyNumberFormat="1" applyFont="1" applyFill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3" fontId="8" fillId="2" borderId="11" xfId="1" applyNumberFormat="1" applyFont="1" applyFill="1" applyBorder="1" applyAlignment="1">
      <alignment horizontal="center" vertical="center" wrapText="1"/>
    </xf>
    <xf numFmtId="3" fontId="8" fillId="2" borderId="12" xfId="1" applyNumberFormat="1" applyFont="1" applyFill="1" applyBorder="1" applyAlignment="1">
      <alignment horizontal="center" vertical="center" wrapText="1"/>
    </xf>
    <xf numFmtId="3" fontId="8" fillId="0" borderId="11" xfId="1" applyNumberFormat="1" applyFont="1" applyFill="1" applyBorder="1" applyAlignment="1">
      <alignment horizontal="center" vertical="center"/>
    </xf>
    <xf numFmtId="10" fontId="9" fillId="2" borderId="13" xfId="1" applyNumberFormat="1" applyFont="1" applyFill="1" applyBorder="1" applyAlignment="1">
      <alignment horizontal="center" vertical="center"/>
    </xf>
    <xf numFmtId="3" fontId="8" fillId="2" borderId="12" xfId="1" applyNumberFormat="1" applyFont="1" applyFill="1" applyBorder="1" applyAlignment="1">
      <alignment horizontal="center" vertical="center"/>
    </xf>
    <xf numFmtId="10" fontId="9" fillId="2" borderId="15" xfId="1" applyNumberFormat="1" applyFont="1" applyFill="1" applyBorder="1" applyAlignment="1">
      <alignment horizontal="center" vertical="center"/>
    </xf>
    <xf numFmtId="3" fontId="8" fillId="2" borderId="19" xfId="1" applyNumberFormat="1" applyFont="1" applyFill="1" applyBorder="1" applyAlignment="1">
      <alignment horizontal="center" vertical="center" wrapText="1"/>
    </xf>
    <xf numFmtId="3" fontId="8" fillId="2" borderId="20" xfId="1" applyNumberFormat="1" applyFont="1" applyFill="1" applyBorder="1" applyAlignment="1">
      <alignment horizontal="center" vertical="center" wrapText="1"/>
    </xf>
    <xf numFmtId="3" fontId="8" fillId="0" borderId="19" xfId="1" applyNumberFormat="1" applyFont="1" applyFill="1" applyBorder="1" applyAlignment="1">
      <alignment horizontal="center" vertical="center"/>
    </xf>
    <xf numFmtId="10" fontId="9" fillId="2" borderId="21" xfId="1" applyNumberFormat="1" applyFont="1" applyFill="1" applyBorder="1" applyAlignment="1">
      <alignment horizontal="center" vertical="center"/>
    </xf>
    <xf numFmtId="6" fontId="8" fillId="2" borderId="23" xfId="1" applyNumberFormat="1" applyFont="1" applyFill="1" applyBorder="1" applyAlignment="1">
      <alignment horizontal="center" vertical="center"/>
    </xf>
    <xf numFmtId="3" fontId="8" fillId="2" borderId="24" xfId="1" applyNumberFormat="1" applyFont="1" applyFill="1" applyBorder="1" applyAlignment="1">
      <alignment horizontal="center" vertical="center"/>
    </xf>
    <xf numFmtId="3" fontId="8" fillId="2" borderId="26" xfId="1" applyNumberFormat="1" applyFont="1" applyFill="1" applyBorder="1" applyAlignment="1">
      <alignment horizontal="center" vertical="center" wrapText="1"/>
    </xf>
    <xf numFmtId="3" fontId="8" fillId="2" borderId="27" xfId="1" applyNumberFormat="1" applyFont="1" applyFill="1" applyBorder="1" applyAlignment="1">
      <alignment horizontal="center" vertical="center" wrapText="1"/>
    </xf>
    <xf numFmtId="3" fontId="8" fillId="0" borderId="26" xfId="1" applyNumberFormat="1" applyFont="1" applyFill="1" applyBorder="1" applyAlignment="1">
      <alignment horizontal="center" vertical="center"/>
    </xf>
    <xf numFmtId="3" fontId="8" fillId="0" borderId="28" xfId="1" applyNumberFormat="1" applyFont="1" applyFill="1" applyBorder="1" applyAlignment="1">
      <alignment horizontal="center" vertical="center"/>
    </xf>
    <xf numFmtId="8" fontId="8" fillId="2" borderId="26" xfId="1" applyNumberFormat="1" applyFont="1" applyFill="1" applyBorder="1" applyAlignment="1">
      <alignment horizontal="center" vertical="center"/>
    </xf>
    <xf numFmtId="4" fontId="8" fillId="2" borderId="27" xfId="1" applyNumberFormat="1" applyFont="1" applyFill="1" applyBorder="1" applyAlignment="1">
      <alignment horizontal="center" vertical="center"/>
    </xf>
    <xf numFmtId="10" fontId="9" fillId="2" borderId="29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1" fontId="8" fillId="0" borderId="45" xfId="1" applyNumberFormat="1" applyFont="1" applyFill="1" applyBorder="1" applyAlignment="1">
      <alignment horizontal="center" vertical="center"/>
    </xf>
    <xf numFmtId="1" fontId="15" fillId="0" borderId="46" xfId="1" applyNumberFormat="1" applyFont="1" applyFill="1" applyBorder="1" applyAlignment="1">
      <alignment horizontal="center" vertical="center"/>
    </xf>
    <xf numFmtId="1" fontId="15" fillId="0" borderId="41" xfId="1" applyNumberFormat="1" applyFont="1" applyFill="1" applyBorder="1" applyAlignment="1">
      <alignment horizontal="center" vertical="center"/>
    </xf>
    <xf numFmtId="1" fontId="17" fillId="3" borderId="47" xfId="1" applyNumberFormat="1" applyFont="1" applyFill="1" applyBorder="1" applyAlignment="1">
      <alignment horizontal="center" vertical="center"/>
    </xf>
    <xf numFmtId="1" fontId="15" fillId="0" borderId="48" xfId="1" applyNumberFormat="1" applyFont="1" applyFill="1" applyBorder="1" applyAlignment="1">
      <alignment horizontal="center" vertical="center"/>
    </xf>
    <xf numFmtId="1" fontId="11" fillId="0" borderId="0" xfId="1" applyNumberFormat="1" applyFont="1" applyFill="1" applyAlignment="1">
      <alignment horizontal="center" vertical="center"/>
    </xf>
    <xf numFmtId="0" fontId="14" fillId="2" borderId="36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18" fillId="2" borderId="0" xfId="1" applyFont="1" applyFill="1" applyBorder="1" applyAlignment="1">
      <alignment vertical="center"/>
    </xf>
    <xf numFmtId="3" fontId="14" fillId="2" borderId="0" xfId="1" applyNumberFormat="1" applyFont="1" applyFill="1" applyBorder="1" applyAlignment="1">
      <alignment horizontal="center" vertical="center"/>
    </xf>
    <xf numFmtId="10" fontId="19" fillId="2" borderId="0" xfId="1" applyNumberFormat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vertical="center"/>
    </xf>
    <xf numFmtId="3" fontId="20" fillId="3" borderId="49" xfId="1" applyNumberFormat="1" applyFont="1" applyFill="1" applyBorder="1" applyAlignment="1">
      <alignment horizontal="center" vertical="center"/>
    </xf>
    <xf numFmtId="0" fontId="19" fillId="2" borderId="50" xfId="1" applyFont="1" applyFill="1" applyBorder="1" applyAlignment="1">
      <alignment vertical="center"/>
    </xf>
    <xf numFmtId="0" fontId="21" fillId="2" borderId="0" xfId="1" applyFont="1" applyFill="1" applyBorder="1" applyAlignment="1">
      <alignment vertical="center"/>
    </xf>
    <xf numFmtId="3" fontId="22" fillId="3" borderId="49" xfId="1" applyNumberFormat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vertical="center"/>
    </xf>
    <xf numFmtId="0" fontId="14" fillId="2" borderId="11" xfId="1" applyFont="1" applyFill="1" applyBorder="1" applyAlignment="1">
      <alignment vertical="center"/>
    </xf>
    <xf numFmtId="3" fontId="9" fillId="2" borderId="6" xfId="1" applyNumberFormat="1" applyFont="1" applyFill="1" applyBorder="1" applyAlignment="1">
      <alignment vertical="center"/>
    </xf>
    <xf numFmtId="164" fontId="19" fillId="2" borderId="30" xfId="1" applyNumberFormat="1" applyFont="1" applyFill="1" applyBorder="1" applyAlignment="1">
      <alignment vertical="center"/>
    </xf>
    <xf numFmtId="164" fontId="19" fillId="2" borderId="33" xfId="1" applyNumberFormat="1" applyFont="1" applyFill="1" applyBorder="1" applyAlignment="1">
      <alignment vertical="center"/>
    </xf>
    <xf numFmtId="3" fontId="23" fillId="3" borderId="51" xfId="1" applyNumberFormat="1" applyFont="1" applyFill="1" applyBorder="1" applyAlignment="1">
      <alignment vertical="center"/>
    </xf>
    <xf numFmtId="164" fontId="19" fillId="2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4" fillId="2" borderId="22" xfId="1" applyFont="1" applyFill="1" applyBorder="1" applyAlignment="1">
      <alignment vertical="center"/>
    </xf>
    <xf numFmtId="0" fontId="14" fillId="2" borderId="25" xfId="1" applyFont="1" applyFill="1" applyBorder="1" applyAlignment="1">
      <alignment vertical="center"/>
    </xf>
    <xf numFmtId="0" fontId="14" fillId="2" borderId="26" xfId="1" applyFont="1" applyFill="1" applyBorder="1" applyAlignment="1">
      <alignment vertical="center" wrapText="1"/>
    </xf>
    <xf numFmtId="3" fontId="9" fillId="2" borderId="26" xfId="1" applyNumberFormat="1" applyFont="1" applyFill="1" applyBorder="1" applyAlignment="1">
      <alignment vertical="center"/>
    </xf>
    <xf numFmtId="164" fontId="19" fillId="2" borderId="42" xfId="1" applyNumberFormat="1" applyFont="1" applyFill="1" applyBorder="1" applyAlignment="1">
      <alignment vertical="center"/>
    </xf>
    <xf numFmtId="164" fontId="19" fillId="2" borderId="27" xfId="1" applyNumberFormat="1" applyFont="1" applyFill="1" applyBorder="1" applyAlignment="1">
      <alignment horizontal="right" vertical="center"/>
    </xf>
    <xf numFmtId="3" fontId="23" fillId="3" borderId="43" xfId="1" applyNumberFormat="1" applyFont="1" applyFill="1" applyBorder="1" applyAlignment="1">
      <alignment vertical="center"/>
    </xf>
    <xf numFmtId="164" fontId="19" fillId="2" borderId="29" xfId="1" applyNumberFormat="1" applyFont="1" applyFill="1" applyBorder="1" applyAlignment="1">
      <alignment horizontal="right" vertical="center"/>
    </xf>
    <xf numFmtId="0" fontId="24" fillId="2" borderId="53" xfId="1" applyFont="1" applyFill="1" applyBorder="1" applyAlignment="1">
      <alignment vertical="center"/>
    </xf>
    <xf numFmtId="0" fontId="24" fillId="2" borderId="45" xfId="1" applyFont="1" applyFill="1" applyBorder="1" applyAlignment="1">
      <alignment vertical="center" wrapText="1"/>
    </xf>
    <xf numFmtId="3" fontId="21" fillId="2" borderId="45" xfId="1" applyNumberFormat="1" applyFont="1" applyFill="1" applyBorder="1" applyAlignment="1">
      <alignment horizontal="right" vertical="center"/>
    </xf>
    <xf numFmtId="164" fontId="25" fillId="2" borderId="41" xfId="1" applyNumberFormat="1" applyFont="1" applyFill="1" applyBorder="1" applyAlignment="1">
      <alignment horizontal="right" vertical="center"/>
    </xf>
    <xf numFmtId="164" fontId="26" fillId="2" borderId="46" xfId="1" applyNumberFormat="1" applyFont="1" applyFill="1" applyBorder="1" applyAlignment="1">
      <alignment horizontal="right" vertical="center"/>
    </xf>
    <xf numFmtId="3" fontId="27" fillId="3" borderId="47" xfId="1" applyNumberFormat="1" applyFont="1" applyFill="1" applyBorder="1" applyAlignment="1">
      <alignment horizontal="right" vertical="center"/>
    </xf>
    <xf numFmtId="164" fontId="26" fillId="2" borderId="48" xfId="1" applyNumberFormat="1" applyFont="1" applyFill="1" applyBorder="1" applyAlignment="1">
      <alignment horizontal="right" vertical="center"/>
    </xf>
    <xf numFmtId="3" fontId="12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3" fontId="14" fillId="2" borderId="0" xfId="1" applyNumberFormat="1" applyFont="1" applyFill="1" applyBorder="1" applyAlignment="1">
      <alignment horizontal="right" vertical="center"/>
    </xf>
    <xf numFmtId="0" fontId="19" fillId="2" borderId="0" xfId="4" applyFont="1" applyFill="1" applyBorder="1" applyAlignment="1">
      <alignment horizontal="right"/>
    </xf>
    <xf numFmtId="165" fontId="19" fillId="2" borderId="0" xfId="1" applyNumberFormat="1" applyFont="1" applyFill="1" applyBorder="1" applyAlignment="1">
      <alignment horizontal="right" vertical="center"/>
    </xf>
    <xf numFmtId="3" fontId="20" fillId="3" borderId="49" xfId="1" applyNumberFormat="1" applyFont="1" applyFill="1" applyBorder="1" applyAlignment="1">
      <alignment horizontal="right" vertical="center"/>
    </xf>
    <xf numFmtId="165" fontId="19" fillId="2" borderId="50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Alignment="1">
      <alignment vertical="center"/>
    </xf>
    <xf numFmtId="164" fontId="19" fillId="2" borderId="0" xfId="1" applyNumberFormat="1" applyFont="1" applyFill="1" applyBorder="1" applyAlignment="1">
      <alignment horizontal="right" vertical="center"/>
    </xf>
    <xf numFmtId="164" fontId="19" fillId="2" borderId="50" xfId="1" applyNumberFormat="1" applyFont="1" applyFill="1" applyBorder="1" applyAlignment="1">
      <alignment horizontal="right" vertical="center"/>
    </xf>
    <xf numFmtId="3" fontId="9" fillId="2" borderId="11" xfId="1" applyNumberFormat="1" applyFont="1" applyFill="1" applyBorder="1" applyAlignment="1">
      <alignment horizontal="right" vertical="center"/>
    </xf>
    <xf numFmtId="164" fontId="19" fillId="2" borderId="12" xfId="1" applyNumberFormat="1" applyFont="1" applyFill="1" applyBorder="1" applyAlignment="1">
      <alignment horizontal="right" vertical="center"/>
    </xf>
    <xf numFmtId="164" fontId="19" fillId="2" borderId="10" xfId="1" applyNumberFormat="1" applyFont="1" applyFill="1" applyBorder="1" applyAlignment="1">
      <alignment horizontal="right" vertical="center"/>
    </xf>
    <xf numFmtId="3" fontId="23" fillId="3" borderId="51" xfId="1" applyNumberFormat="1" applyFont="1" applyFill="1" applyBorder="1" applyAlignment="1">
      <alignment horizontal="right" vertical="center"/>
    </xf>
    <xf numFmtId="164" fontId="19" fillId="2" borderId="54" xfId="1" applyNumberFormat="1" applyFont="1" applyFill="1" applyBorder="1" applyAlignment="1">
      <alignment horizontal="right" vertical="center"/>
    </xf>
    <xf numFmtId="0" fontId="14" fillId="2" borderId="23" xfId="1" applyFont="1" applyFill="1" applyBorder="1" applyAlignment="1">
      <alignment vertical="center"/>
    </xf>
    <xf numFmtId="3" fontId="9" fillId="2" borderId="23" xfId="1" applyNumberFormat="1" applyFont="1" applyFill="1" applyBorder="1" applyAlignment="1">
      <alignment horizontal="right" vertical="center"/>
    </xf>
    <xf numFmtId="164" fontId="19" fillId="2" borderId="24" xfId="1" applyNumberFormat="1" applyFont="1" applyFill="1" applyBorder="1" applyAlignment="1">
      <alignment horizontal="right" vertical="center"/>
    </xf>
    <xf numFmtId="164" fontId="19" fillId="2" borderId="18" xfId="1" applyNumberFormat="1" applyFont="1" applyFill="1" applyBorder="1" applyAlignment="1">
      <alignment horizontal="right" vertical="center"/>
    </xf>
    <xf numFmtId="3" fontId="23" fillId="3" borderId="38" xfId="1" applyNumberFormat="1" applyFont="1" applyFill="1" applyBorder="1" applyAlignment="1">
      <alignment horizontal="right" vertical="center"/>
    </xf>
    <xf numFmtId="164" fontId="19" fillId="2" borderId="55" xfId="1" applyNumberFormat="1" applyFont="1" applyFill="1" applyBorder="1" applyAlignment="1">
      <alignment horizontal="right" vertical="center"/>
    </xf>
    <xf numFmtId="0" fontId="14" fillId="2" borderId="26" xfId="1" applyFont="1" applyFill="1" applyBorder="1" applyAlignment="1">
      <alignment vertical="center"/>
    </xf>
    <xf numFmtId="3" fontId="9" fillId="2" borderId="26" xfId="1" applyNumberFormat="1" applyFont="1" applyFill="1" applyBorder="1" applyAlignment="1">
      <alignment horizontal="right" vertical="center"/>
    </xf>
    <xf numFmtId="164" fontId="19" fillId="2" borderId="42" xfId="1" applyNumberFormat="1" applyFont="1" applyFill="1" applyBorder="1" applyAlignment="1">
      <alignment horizontal="right" vertical="center"/>
    </xf>
    <xf numFmtId="3" fontId="23" fillId="3" borderId="43" xfId="1" applyNumberFormat="1" applyFont="1" applyFill="1" applyBorder="1" applyAlignment="1">
      <alignment horizontal="right" vertical="center"/>
    </xf>
    <xf numFmtId="164" fontId="19" fillId="2" borderId="28" xfId="1" applyNumberFormat="1" applyFont="1" applyFill="1" applyBorder="1" applyAlignment="1">
      <alignment horizontal="right" vertical="center"/>
    </xf>
    <xf numFmtId="3" fontId="23" fillId="3" borderId="56" xfId="1" applyNumberFormat="1" applyFont="1" applyFill="1" applyBorder="1" applyAlignment="1">
      <alignment horizontal="right" vertical="center"/>
    </xf>
    <xf numFmtId="164" fontId="19" fillId="2" borderId="15" xfId="1" applyNumberFormat="1" applyFont="1" applyFill="1" applyBorder="1" applyAlignment="1">
      <alignment horizontal="right" vertical="center"/>
    </xf>
    <xf numFmtId="3" fontId="14" fillId="0" borderId="0" xfId="1" applyNumberFormat="1" applyFont="1" applyFill="1" applyAlignment="1">
      <alignment vertical="center"/>
    </xf>
    <xf numFmtId="0" fontId="14" fillId="2" borderId="57" xfId="1" applyFont="1" applyFill="1" applyBorder="1" applyAlignment="1">
      <alignment vertical="center"/>
    </xf>
    <xf numFmtId="0" fontId="14" fillId="2" borderId="58" xfId="1" applyFont="1" applyFill="1" applyBorder="1" applyAlignment="1">
      <alignment vertical="center"/>
    </xf>
    <xf numFmtId="164" fontId="19" fillId="2" borderId="21" xfId="1" applyNumberFormat="1" applyFont="1" applyFill="1" applyBorder="1" applyAlignment="1">
      <alignment horizontal="right" vertical="center"/>
    </xf>
    <xf numFmtId="0" fontId="14" fillId="2" borderId="20" xfId="1" applyFont="1" applyFill="1" applyBorder="1" applyAlignment="1">
      <alignment vertical="center"/>
    </xf>
    <xf numFmtId="3" fontId="14" fillId="2" borderId="19" xfId="1" applyNumberFormat="1" applyFont="1" applyFill="1" applyBorder="1" applyAlignment="1">
      <alignment horizontal="right" vertical="center"/>
    </xf>
    <xf numFmtId="3" fontId="22" fillId="3" borderId="59" xfId="1" applyNumberFormat="1" applyFont="1" applyFill="1" applyBorder="1" applyAlignment="1">
      <alignment horizontal="right" vertical="center"/>
    </xf>
    <xf numFmtId="0" fontId="14" fillId="2" borderId="19" xfId="1" applyFont="1" applyFill="1" applyBorder="1" applyAlignment="1">
      <alignment vertical="center"/>
    </xf>
    <xf numFmtId="0" fontId="14" fillId="2" borderId="24" xfId="1" applyFont="1" applyFill="1" applyBorder="1" applyAlignment="1">
      <alignment vertical="center"/>
    </xf>
    <xf numFmtId="0" fontId="14" fillId="2" borderId="17" xfId="1" applyFont="1" applyFill="1" applyBorder="1" applyAlignment="1">
      <alignment vertical="center"/>
    </xf>
    <xf numFmtId="3" fontId="14" fillId="2" borderId="23" xfId="1" applyNumberFormat="1" applyFont="1" applyFill="1" applyBorder="1" applyAlignment="1">
      <alignment horizontal="right" vertical="center"/>
    </xf>
    <xf numFmtId="3" fontId="14" fillId="2" borderId="17" xfId="1" applyNumberFormat="1" applyFont="1" applyFill="1" applyBorder="1" applyAlignment="1">
      <alignment horizontal="right" vertical="center"/>
    </xf>
    <xf numFmtId="3" fontId="22" fillId="3" borderId="38" xfId="1" applyNumberFormat="1" applyFont="1" applyFill="1" applyBorder="1" applyAlignment="1">
      <alignment horizontal="right" vertical="center"/>
    </xf>
    <xf numFmtId="0" fontId="14" fillId="2" borderId="60" xfId="1" applyFont="1" applyFill="1" applyBorder="1" applyAlignment="1">
      <alignment vertical="center"/>
    </xf>
    <xf numFmtId="0" fontId="14" fillId="2" borderId="61" xfId="1" applyFont="1" applyFill="1" applyBorder="1" applyAlignment="1">
      <alignment vertical="center"/>
    </xf>
    <xf numFmtId="0" fontId="14" fillId="2" borderId="1" xfId="1" applyFont="1" applyFill="1" applyBorder="1" applyAlignment="1">
      <alignment vertical="center"/>
    </xf>
    <xf numFmtId="0" fontId="14" fillId="2" borderId="3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9" fillId="2" borderId="44" xfId="1" applyFont="1" applyFill="1" applyBorder="1" applyAlignment="1">
      <alignment vertical="center"/>
    </xf>
    <xf numFmtId="3" fontId="9" fillId="2" borderId="2" xfId="1" applyNumberFormat="1" applyFont="1" applyFill="1" applyBorder="1" applyAlignment="1">
      <alignment horizontal="right" vertical="center"/>
    </xf>
    <xf numFmtId="164" fontId="19" fillId="2" borderId="3" xfId="1" applyNumberFormat="1" applyFont="1" applyFill="1" applyBorder="1" applyAlignment="1">
      <alignment horizontal="right" vertical="center"/>
    </xf>
    <xf numFmtId="164" fontId="19" fillId="2" borderId="62" xfId="1" applyNumberFormat="1" applyFont="1" applyFill="1" applyBorder="1" applyAlignment="1">
      <alignment horizontal="right" vertical="center"/>
    </xf>
    <xf numFmtId="3" fontId="23" fillId="3" borderId="63" xfId="1" applyNumberFormat="1" applyFont="1" applyFill="1" applyBorder="1" applyAlignment="1">
      <alignment horizontal="right" vertical="center"/>
    </xf>
    <xf numFmtId="164" fontId="19" fillId="2" borderId="4" xfId="1" applyNumberFormat="1" applyFont="1" applyFill="1" applyBorder="1" applyAlignment="1">
      <alignment horizontal="right" vertical="center"/>
    </xf>
    <xf numFmtId="0" fontId="14" fillId="0" borderId="22" xfId="1" applyFont="1" applyFill="1" applyBorder="1" applyAlignment="1">
      <alignment vertical="center"/>
    </xf>
    <xf numFmtId="0" fontId="14" fillId="0" borderId="11" xfId="1" applyFont="1" applyFill="1" applyBorder="1" applyAlignment="1">
      <alignment vertical="center"/>
    </xf>
    <xf numFmtId="0" fontId="14" fillId="2" borderId="6" xfId="1" applyFont="1" applyFill="1" applyBorder="1" applyAlignment="1">
      <alignment vertical="center"/>
    </xf>
    <xf numFmtId="0" fontId="14" fillId="2" borderId="12" xfId="1" applyFont="1" applyFill="1" applyBorder="1" applyAlignment="1">
      <alignment vertical="center"/>
    </xf>
    <xf numFmtId="0" fontId="14" fillId="2" borderId="32" xfId="1" applyFont="1" applyFill="1" applyBorder="1" applyAlignment="1">
      <alignment vertical="center"/>
    </xf>
    <xf numFmtId="3" fontId="9" fillId="2" borderId="19" xfId="1" applyNumberFormat="1" applyFont="1" applyFill="1" applyBorder="1" applyAlignment="1">
      <alignment horizontal="right" vertical="center"/>
    </xf>
    <xf numFmtId="164" fontId="19" fillId="2" borderId="20" xfId="1" applyNumberFormat="1" applyFont="1" applyFill="1" applyBorder="1" applyAlignment="1">
      <alignment horizontal="right" vertical="center"/>
    </xf>
    <xf numFmtId="3" fontId="23" fillId="3" borderId="59" xfId="1" applyNumberFormat="1" applyFont="1" applyFill="1" applyBorder="1" applyAlignment="1">
      <alignment horizontal="right" vertical="center"/>
    </xf>
    <xf numFmtId="164" fontId="19" fillId="2" borderId="13" xfId="1" applyNumberFormat="1" applyFont="1" applyFill="1" applyBorder="1" applyAlignment="1">
      <alignment horizontal="right" vertical="center"/>
    </xf>
    <xf numFmtId="0" fontId="14" fillId="0" borderId="24" xfId="1" applyFont="1" applyFill="1" applyBorder="1" applyAlignment="1">
      <alignment vertical="center"/>
    </xf>
    <xf numFmtId="0" fontId="14" fillId="2" borderId="64" xfId="1" applyFont="1" applyFill="1" applyBorder="1" applyAlignment="1">
      <alignment vertical="center"/>
    </xf>
    <xf numFmtId="3" fontId="9" fillId="2" borderId="17" xfId="1" applyNumberFormat="1" applyFont="1" applyFill="1" applyBorder="1" applyAlignment="1">
      <alignment horizontal="right" vertical="center"/>
    </xf>
    <xf numFmtId="0" fontId="14" fillId="0" borderId="17" xfId="1" applyFont="1" applyFill="1" applyBorder="1" applyAlignment="1">
      <alignment vertical="center"/>
    </xf>
    <xf numFmtId="0" fontId="14" fillId="0" borderId="34" xfId="1" applyFont="1" applyFill="1" applyBorder="1" applyAlignment="1">
      <alignment vertical="center"/>
    </xf>
    <xf numFmtId="0" fontId="14" fillId="2" borderId="65" xfId="1" applyFont="1" applyFill="1" applyBorder="1" applyAlignment="1">
      <alignment vertical="center"/>
    </xf>
    <xf numFmtId="0" fontId="14" fillId="2" borderId="44" xfId="1" applyFont="1" applyFill="1" applyBorder="1" applyAlignment="1">
      <alignment vertical="center"/>
    </xf>
    <xf numFmtId="3" fontId="9" fillId="0" borderId="2" xfId="4" applyNumberFormat="1" applyFont="1" applyFill="1" applyBorder="1" applyAlignment="1">
      <alignment horizontal="right" vertical="center"/>
    </xf>
    <xf numFmtId="3" fontId="23" fillId="3" borderId="63" xfId="4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3" fontId="9" fillId="0" borderId="11" xfId="1" applyNumberFormat="1" applyFont="1" applyFill="1" applyBorder="1" applyAlignment="1">
      <alignment horizontal="right" vertical="center"/>
    </xf>
    <xf numFmtId="164" fontId="19" fillId="0" borderId="12" xfId="1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 applyAlignment="1">
      <alignment horizontal="right" vertical="center"/>
    </xf>
    <xf numFmtId="3" fontId="28" fillId="3" borderId="56" xfId="1" applyNumberFormat="1" applyFont="1" applyFill="1" applyBorder="1" applyAlignment="1">
      <alignment horizontal="right" vertical="center"/>
    </xf>
    <xf numFmtId="0" fontId="14" fillId="0" borderId="61" xfId="1" applyFont="1" applyFill="1" applyBorder="1" applyAlignment="1">
      <alignment vertical="center"/>
    </xf>
    <xf numFmtId="3" fontId="9" fillId="0" borderId="23" xfId="1" applyNumberFormat="1" applyFont="1" applyFill="1" applyBorder="1" applyAlignment="1">
      <alignment horizontal="right" vertical="center"/>
    </xf>
    <xf numFmtId="164" fontId="19" fillId="0" borderId="24" xfId="1" applyNumberFormat="1" applyFont="1" applyFill="1" applyBorder="1" applyAlignment="1">
      <alignment horizontal="right" vertical="center"/>
    </xf>
    <xf numFmtId="164" fontId="19" fillId="0" borderId="18" xfId="1" applyNumberFormat="1" applyFont="1" applyFill="1" applyBorder="1" applyAlignment="1">
      <alignment horizontal="right" vertical="center"/>
    </xf>
    <xf numFmtId="0" fontId="14" fillId="2" borderId="6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3" fontId="9" fillId="0" borderId="19" xfId="1" applyNumberFormat="1" applyFont="1" applyFill="1" applyBorder="1" applyAlignment="1">
      <alignment horizontal="right" vertical="center"/>
    </xf>
    <xf numFmtId="164" fontId="19" fillId="0" borderId="20" xfId="1" applyNumberFormat="1" applyFont="1" applyFill="1" applyBorder="1" applyAlignment="1">
      <alignment horizontal="right" vertical="center"/>
    </xf>
    <xf numFmtId="164" fontId="19" fillId="0" borderId="67" xfId="1" applyNumberFormat="1" applyFont="1" applyFill="1" applyBorder="1" applyAlignment="1">
      <alignment horizontal="right" vertical="center"/>
    </xf>
    <xf numFmtId="0" fontId="14" fillId="0" borderId="68" xfId="1" applyFont="1" applyFill="1" applyBorder="1" applyAlignment="1">
      <alignment vertical="center"/>
    </xf>
    <xf numFmtId="0" fontId="24" fillId="2" borderId="46" xfId="1" applyFont="1" applyFill="1" applyBorder="1" applyAlignment="1">
      <alignment vertical="center" wrapText="1"/>
    </xf>
    <xf numFmtId="0" fontId="21" fillId="2" borderId="46" xfId="1" applyFont="1" applyFill="1" applyBorder="1" applyAlignment="1">
      <alignment vertical="center"/>
    </xf>
    <xf numFmtId="0" fontId="21" fillId="2" borderId="40" xfId="1" applyFont="1" applyFill="1" applyBorder="1" applyAlignment="1">
      <alignment vertical="center" wrapText="1"/>
    </xf>
    <xf numFmtId="0" fontId="29" fillId="2" borderId="36" xfId="1" applyFont="1" applyFill="1" applyBorder="1" applyAlignment="1">
      <alignment vertical="center"/>
    </xf>
    <xf numFmtId="0" fontId="29" fillId="2" borderId="0" xfId="1" applyFont="1" applyFill="1" applyBorder="1" applyAlignment="1">
      <alignment vertical="center"/>
    </xf>
    <xf numFmtId="0" fontId="30" fillId="2" borderId="0" xfId="1" applyFont="1" applyFill="1" applyBorder="1" applyAlignment="1">
      <alignment vertical="center"/>
    </xf>
    <xf numFmtId="3" fontId="29" fillId="2" borderId="0" xfId="1" applyNumberFormat="1" applyFont="1" applyFill="1" applyBorder="1" applyAlignment="1">
      <alignment horizontal="right" vertical="center"/>
    </xf>
    <xf numFmtId="164" fontId="29" fillId="2" borderId="0" xfId="1" applyNumberFormat="1" applyFont="1" applyFill="1" applyBorder="1" applyAlignment="1">
      <alignment horizontal="right" vertical="center"/>
    </xf>
    <xf numFmtId="0" fontId="29" fillId="2" borderId="0" xfId="1" applyFont="1" applyFill="1" applyBorder="1" applyAlignment="1">
      <alignment horizontal="right" vertical="center"/>
    </xf>
    <xf numFmtId="3" fontId="29" fillId="3" borderId="49" xfId="1" applyNumberFormat="1" applyFont="1" applyFill="1" applyBorder="1" applyAlignment="1">
      <alignment horizontal="right" vertical="center"/>
    </xf>
    <xf numFmtId="0" fontId="29" fillId="2" borderId="50" xfId="1" applyFont="1" applyFill="1" applyBorder="1" applyAlignment="1">
      <alignment horizontal="right" vertical="center"/>
    </xf>
    <xf numFmtId="0" fontId="31" fillId="0" borderId="0" xfId="1" applyFont="1" applyFill="1" applyAlignment="1">
      <alignment vertical="center"/>
    </xf>
    <xf numFmtId="3" fontId="24" fillId="2" borderId="14" xfId="1" applyNumberFormat="1" applyFont="1" applyFill="1" applyBorder="1" applyAlignment="1">
      <alignment vertical="center"/>
    </xf>
    <xf numFmtId="3" fontId="24" fillId="2" borderId="11" xfId="1" applyNumberFormat="1" applyFont="1" applyFill="1" applyBorder="1" applyAlignment="1">
      <alignment vertical="center"/>
    </xf>
    <xf numFmtId="0" fontId="11" fillId="2" borderId="12" xfId="1" applyFont="1" applyFill="1" applyBorder="1" applyAlignment="1">
      <alignment vertical="center"/>
    </xf>
    <xf numFmtId="3" fontId="12" fillId="2" borderId="9" xfId="1" applyNumberFormat="1" applyFont="1" applyFill="1" applyBorder="1" applyAlignment="1">
      <alignment vertical="center"/>
    </xf>
    <xf numFmtId="0" fontId="12" fillId="2" borderId="9" xfId="1" applyFont="1" applyFill="1" applyBorder="1" applyAlignment="1">
      <alignment vertical="center"/>
    </xf>
    <xf numFmtId="3" fontId="11" fillId="2" borderId="11" xfId="1" applyNumberFormat="1" applyFont="1" applyFill="1" applyBorder="1" applyAlignment="1">
      <alignment horizontal="right" vertical="center"/>
    </xf>
    <xf numFmtId="164" fontId="25" fillId="2" borderId="10" xfId="1" applyNumberFormat="1" applyFont="1" applyFill="1" applyBorder="1" applyAlignment="1">
      <alignment horizontal="right" vertical="center"/>
    </xf>
    <xf numFmtId="164" fontId="26" fillId="2" borderId="12" xfId="1" applyNumberFormat="1" applyFont="1" applyFill="1" applyBorder="1" applyAlignment="1">
      <alignment horizontal="right" vertical="center"/>
    </xf>
    <xf numFmtId="3" fontId="32" fillId="3" borderId="56" xfId="1" applyNumberFormat="1" applyFont="1" applyFill="1" applyBorder="1" applyAlignment="1">
      <alignment horizontal="right" vertical="center"/>
    </xf>
    <xf numFmtId="164" fontId="26" fillId="2" borderId="15" xfId="1" applyNumberFormat="1" applyFont="1" applyFill="1" applyBorder="1" applyAlignment="1">
      <alignment horizontal="right" vertical="center"/>
    </xf>
    <xf numFmtId="0" fontId="21" fillId="2" borderId="22" xfId="1" applyFont="1" applyFill="1" applyBorder="1" applyAlignment="1">
      <alignment vertical="center"/>
    </xf>
    <xf numFmtId="0" fontId="21" fillId="2" borderId="23" xfId="1" applyFont="1" applyFill="1" applyBorder="1" applyAlignment="1">
      <alignment vertical="center"/>
    </xf>
    <xf numFmtId="0" fontId="9" fillId="2" borderId="24" xfId="1" applyFont="1" applyFill="1" applyBorder="1" applyAlignment="1">
      <alignment vertical="center"/>
    </xf>
    <xf numFmtId="0" fontId="11" fillId="2" borderId="17" xfId="1" applyFont="1" applyFill="1" applyBorder="1" applyAlignment="1">
      <alignment vertical="center"/>
    </xf>
    <xf numFmtId="164" fontId="25" fillId="2" borderId="18" xfId="1" applyNumberFormat="1" applyFont="1" applyFill="1" applyBorder="1" applyAlignment="1">
      <alignment horizontal="right" vertical="center"/>
    </xf>
    <xf numFmtId="164" fontId="25" fillId="2" borderId="24" xfId="1" applyNumberFormat="1" applyFont="1" applyFill="1" applyBorder="1" applyAlignment="1">
      <alignment horizontal="right" vertical="center"/>
    </xf>
    <xf numFmtId="3" fontId="12" fillId="3" borderId="38" xfId="1" applyNumberFormat="1" applyFont="1" applyFill="1" applyBorder="1" applyAlignment="1">
      <alignment horizontal="right" vertical="center"/>
    </xf>
    <xf numFmtId="164" fontId="25" fillId="2" borderId="21" xfId="1" applyNumberFormat="1" applyFont="1" applyFill="1" applyBorder="1" applyAlignment="1">
      <alignment horizontal="right" vertical="center"/>
    </xf>
    <xf numFmtId="0" fontId="11" fillId="2" borderId="22" xfId="1" applyFont="1" applyFill="1" applyBorder="1" applyAlignment="1">
      <alignment vertical="center"/>
    </xf>
    <xf numFmtId="0" fontId="11" fillId="2" borderId="23" xfId="1" applyFont="1" applyFill="1" applyBorder="1" applyAlignment="1">
      <alignment vertical="center"/>
    </xf>
    <xf numFmtId="3" fontId="11" fillId="2" borderId="23" xfId="1" applyNumberFormat="1" applyFont="1" applyFill="1" applyBorder="1" applyAlignment="1">
      <alignment horizontal="right" vertical="center"/>
    </xf>
    <xf numFmtId="164" fontId="26" fillId="2" borderId="24" xfId="1" applyNumberFormat="1" applyFont="1" applyFill="1" applyBorder="1" applyAlignment="1">
      <alignment horizontal="right" vertical="center"/>
    </xf>
    <xf numFmtId="3" fontId="33" fillId="4" borderId="38" xfId="1" applyNumberFormat="1" applyFont="1" applyFill="1" applyBorder="1" applyAlignment="1">
      <alignment horizontal="right" vertical="center"/>
    </xf>
    <xf numFmtId="164" fontId="26" fillId="2" borderId="21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right" vertical="center"/>
    </xf>
    <xf numFmtId="0" fontId="10" fillId="0" borderId="0" xfId="4" applyFont="1" applyFill="1" applyAlignment="1">
      <alignment vertical="center"/>
    </xf>
    <xf numFmtId="164" fontId="9" fillId="0" borderId="0" xfId="1" applyNumberFormat="1" applyFont="1" applyFill="1" applyAlignment="1">
      <alignment vertical="center"/>
    </xf>
    <xf numFmtId="164" fontId="9" fillId="0" borderId="0" xfId="1" applyNumberFormat="1" applyFont="1" applyFill="1" applyAlignment="1">
      <alignment horizontal="right" vertical="center"/>
    </xf>
    <xf numFmtId="0" fontId="35" fillId="0" borderId="0" xfId="1" applyFont="1" applyFill="1" applyAlignment="1">
      <alignment vertical="center"/>
    </xf>
    <xf numFmtId="0" fontId="9" fillId="2" borderId="30" xfId="1" applyFont="1" applyFill="1" applyBorder="1" applyAlignment="1">
      <alignment vertical="center"/>
    </xf>
    <xf numFmtId="3" fontId="9" fillId="3" borderId="38" xfId="1" applyNumberFormat="1" applyFont="1" applyFill="1" applyBorder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10" fillId="0" borderId="0" xfId="0" applyFont="1"/>
    <xf numFmtId="0" fontId="4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/>
    <xf numFmtId="3" fontId="8" fillId="0" borderId="0" xfId="15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/>
    </xf>
    <xf numFmtId="3" fontId="8" fillId="0" borderId="0" xfId="15" applyNumberFormat="1" applyFont="1" applyFill="1" applyBorder="1" applyAlignment="1">
      <alignment horizontal="right" vertical="center" wrapText="1"/>
    </xf>
    <xf numFmtId="3" fontId="9" fillId="0" borderId="0" xfId="0" applyNumberFormat="1" applyFont="1" applyBorder="1" applyAlignment="1">
      <alignment vertical="center"/>
    </xf>
    <xf numFmtId="0" fontId="41" fillId="0" borderId="0" xfId="16" applyFont="1" applyAlignment="1">
      <alignment vertical="center"/>
    </xf>
    <xf numFmtId="0" fontId="9" fillId="0" borderId="0" xfId="16" applyFont="1" applyAlignment="1">
      <alignment vertical="center"/>
    </xf>
    <xf numFmtId="0" fontId="36" fillId="0" borderId="0" xfId="5" applyFont="1" applyAlignment="1">
      <alignment vertical="center"/>
    </xf>
    <xf numFmtId="0" fontId="36" fillId="0" borderId="0" xfId="5" applyFont="1" applyAlignment="1">
      <alignment vertical="center" wrapText="1"/>
    </xf>
    <xf numFmtId="0" fontId="40" fillId="0" borderId="0" xfId="16" applyFont="1" applyAlignment="1">
      <alignment vertical="center"/>
    </xf>
    <xf numFmtId="0" fontId="10" fillId="0" borderId="0" xfId="0" applyFont="1" applyAlignment="1">
      <alignment vertical="center"/>
    </xf>
    <xf numFmtId="167" fontId="9" fillId="0" borderId="0" xfId="16" applyNumberFormat="1" applyFont="1" applyAlignment="1">
      <alignment vertical="center"/>
    </xf>
    <xf numFmtId="0" fontId="36" fillId="0" borderId="0" xfId="0" applyFont="1"/>
    <xf numFmtId="0" fontId="56" fillId="0" borderId="0" xfId="0" applyFont="1"/>
    <xf numFmtId="0" fontId="0" fillId="0" borderId="0" xfId="0" applyAlignment="1">
      <alignment horizontal="center"/>
    </xf>
    <xf numFmtId="0" fontId="57" fillId="0" borderId="0" xfId="0" applyFont="1"/>
    <xf numFmtId="3" fontId="57" fillId="0" borderId="0" xfId="0" applyNumberFormat="1" applyFont="1"/>
    <xf numFmtId="168" fontId="9" fillId="0" borderId="0" xfId="16" applyNumberFormat="1" applyFont="1" applyAlignment="1">
      <alignment vertical="center"/>
    </xf>
    <xf numFmtId="0" fontId="40" fillId="0" borderId="0" xfId="0" applyFont="1"/>
    <xf numFmtId="0" fontId="59" fillId="0" borderId="0" xfId="0" applyFont="1"/>
    <xf numFmtId="0" fontId="0" fillId="0" borderId="0" xfId="0" applyAlignment="1">
      <alignment wrapText="1"/>
    </xf>
    <xf numFmtId="0" fontId="14" fillId="0" borderId="24" xfId="1" applyFont="1" applyFill="1" applyBorder="1" applyAlignment="1">
      <alignment horizontal="left" vertical="center"/>
    </xf>
    <xf numFmtId="0" fontId="14" fillId="0" borderId="17" xfId="1" applyFont="1" applyFill="1" applyBorder="1" applyAlignment="1">
      <alignment horizontal="left" vertical="center"/>
    </xf>
    <xf numFmtId="0" fontId="14" fillId="0" borderId="18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3" fillId="0" borderId="0" xfId="17" applyFont="1" applyAlignment="1">
      <alignment vertical="center"/>
    </xf>
    <xf numFmtId="0" fontId="37" fillId="0" borderId="0" xfId="17" applyFont="1" applyAlignment="1">
      <alignment vertical="center"/>
    </xf>
    <xf numFmtId="166" fontId="23" fillId="0" borderId="0" xfId="17" applyNumberFormat="1" applyFont="1" applyAlignment="1">
      <alignment vertical="center"/>
    </xf>
    <xf numFmtId="3" fontId="23" fillId="0" borderId="0" xfId="17" applyNumberFormat="1" applyFont="1" applyAlignment="1">
      <alignment vertical="center"/>
    </xf>
    <xf numFmtId="3" fontId="38" fillId="0" borderId="0" xfId="17" applyNumberFormat="1" applyFont="1" applyAlignment="1">
      <alignment horizontal="right" vertical="center" indent="1"/>
    </xf>
    <xf numFmtId="0" fontId="23" fillId="0" borderId="0" xfId="17" applyFont="1"/>
    <xf numFmtId="0" fontId="39" fillId="0" borderId="0" xfId="17" applyFont="1" applyAlignment="1">
      <alignment vertical="center"/>
    </xf>
    <xf numFmtId="0" fontId="44" fillId="0" borderId="0" xfId="17" applyFont="1" applyAlignment="1">
      <alignment horizontal="center" vertical="center"/>
    </xf>
    <xf numFmtId="0" fontId="42" fillId="0" borderId="0" xfId="17" applyFont="1" applyAlignment="1">
      <alignment horizontal="left" vertical="center"/>
    </xf>
    <xf numFmtId="0" fontId="45" fillId="0" borderId="0" xfId="17" applyFont="1" applyFill="1" applyAlignment="1"/>
    <xf numFmtId="0" fontId="23" fillId="0" borderId="0" xfId="17" applyFont="1" applyFill="1"/>
    <xf numFmtId="0" fontId="32" fillId="0" borderId="0" xfId="17" applyFont="1" applyAlignment="1">
      <alignment horizontal="left" vertical="center" wrapText="1"/>
    </xf>
    <xf numFmtId="0" fontId="37" fillId="0" borderId="0" xfId="17" applyFont="1" applyFill="1"/>
    <xf numFmtId="0" fontId="37" fillId="0" borderId="0" xfId="17" applyFont="1"/>
    <xf numFmtId="0" fontId="37" fillId="0" borderId="0" xfId="17" applyFont="1" applyBorder="1" applyAlignment="1">
      <alignment horizontal="left"/>
    </xf>
    <xf numFmtId="169" fontId="37" fillId="0" borderId="0" xfId="17" applyNumberFormat="1" applyFont="1" applyBorder="1" applyAlignment="1">
      <alignment horizontal="right"/>
    </xf>
    <xf numFmtId="0" fontId="38" fillId="0" borderId="0" xfId="17" applyFont="1" applyAlignment="1">
      <alignment horizontal="right" indent="1"/>
    </xf>
    <xf numFmtId="0" fontId="60" fillId="0" borderId="0" xfId="17" applyFont="1" applyFill="1" applyAlignment="1">
      <alignment horizontal="center" wrapText="1"/>
    </xf>
    <xf numFmtId="0" fontId="60" fillId="0" borderId="0" xfId="17" applyFont="1" applyFill="1" applyAlignment="1">
      <alignment horizontal="center"/>
    </xf>
    <xf numFmtId="0" fontId="37" fillId="0" borderId="0" xfId="17" applyFont="1" applyAlignment="1">
      <alignment horizontal="center"/>
    </xf>
    <xf numFmtId="0" fontId="34" fillId="0" borderId="0" xfId="17" applyFont="1"/>
    <xf numFmtId="0" fontId="34" fillId="0" borderId="0" xfId="17" applyFont="1" applyAlignment="1">
      <alignment horizontal="center"/>
    </xf>
    <xf numFmtId="0" fontId="34" fillId="0" borderId="0" xfId="17" applyFont="1" applyFill="1"/>
    <xf numFmtId="0" fontId="32" fillId="0" borderId="0" xfId="17" applyFont="1"/>
    <xf numFmtId="0" fontId="23" fillId="0" borderId="0" xfId="17" applyFont="1" applyAlignment="1">
      <alignment horizontal="center"/>
    </xf>
    <xf numFmtId="0" fontId="46" fillId="0" borderId="0" xfId="18" applyFont="1" applyAlignment="1">
      <alignment vertical="center"/>
    </xf>
    <xf numFmtId="0" fontId="2" fillId="0" borderId="0" xfId="18" applyFont="1" applyAlignment="1">
      <alignment vertical="center"/>
    </xf>
    <xf numFmtId="0" fontId="23" fillId="0" borderId="0" xfId="18" applyFont="1" applyAlignment="1">
      <alignment vertical="center"/>
    </xf>
    <xf numFmtId="0" fontId="37" fillId="0" borderId="24" xfId="18" applyFont="1" applyBorder="1" applyAlignment="1">
      <alignment vertical="center"/>
    </xf>
    <xf numFmtId="0" fontId="37" fillId="0" borderId="17" xfId="18" applyFont="1" applyBorder="1" applyAlignment="1">
      <alignment vertical="center"/>
    </xf>
    <xf numFmtId="0" fontId="37" fillId="0" borderId="18" xfId="18" applyFont="1" applyBorder="1" applyAlignment="1">
      <alignment vertical="center"/>
    </xf>
    <xf numFmtId="3" fontId="37" fillId="0" borderId="23" xfId="18" applyNumberFormat="1" applyFont="1" applyBorder="1" applyAlignment="1">
      <alignment vertical="center"/>
    </xf>
    <xf numFmtId="0" fontId="37" fillId="0" borderId="0" xfId="18" applyFont="1" applyAlignment="1">
      <alignment vertical="center"/>
    </xf>
    <xf numFmtId="165" fontId="37" fillId="0" borderId="23" xfId="18" applyNumberFormat="1" applyFont="1" applyBorder="1" applyAlignment="1">
      <alignment horizontal="right" vertical="center"/>
    </xf>
    <xf numFmtId="0" fontId="37" fillId="0" borderId="0" xfId="18" applyFont="1" applyBorder="1" applyAlignment="1">
      <alignment vertical="center"/>
    </xf>
    <xf numFmtId="0" fontId="47" fillId="0" borderId="0" xfId="18" applyFont="1" applyBorder="1" applyAlignment="1">
      <alignment vertical="center"/>
    </xf>
    <xf numFmtId="165" fontId="37" fillId="0" borderId="0" xfId="18" applyNumberFormat="1" applyFont="1" applyBorder="1" applyAlignment="1">
      <alignment horizontal="right" vertical="center"/>
    </xf>
    <xf numFmtId="0" fontId="38" fillId="0" borderId="0" xfId="18" applyFont="1" applyAlignment="1">
      <alignment horizontal="center" vertical="center"/>
    </xf>
    <xf numFmtId="0" fontId="37" fillId="0" borderId="0" xfId="18" applyFont="1" applyAlignment="1">
      <alignment horizontal="right" vertical="center"/>
    </xf>
    <xf numFmtId="1" fontId="37" fillId="0" borderId="0" xfId="18" applyNumberFormat="1" applyFont="1" applyFill="1" applyAlignment="1">
      <alignment vertical="center"/>
    </xf>
    <xf numFmtId="1" fontId="37" fillId="0" borderId="0" xfId="18" applyNumberFormat="1" applyFont="1" applyAlignment="1">
      <alignment vertical="center"/>
    </xf>
    <xf numFmtId="1" fontId="38" fillId="0" borderId="0" xfId="18" applyNumberFormat="1" applyFont="1" applyFill="1" applyAlignment="1">
      <alignment vertical="center"/>
    </xf>
    <xf numFmtId="0" fontId="38" fillId="0" borderId="0" xfId="18" applyFont="1" applyFill="1" applyAlignment="1">
      <alignment vertical="center"/>
    </xf>
    <xf numFmtId="0" fontId="48" fillId="0" borderId="0" xfId="18" applyFont="1" applyFill="1" applyAlignment="1">
      <alignment vertical="center"/>
    </xf>
    <xf numFmtId="0" fontId="48" fillId="0" borderId="0" xfId="18" applyFont="1" applyAlignment="1">
      <alignment vertical="center"/>
    </xf>
    <xf numFmtId="164" fontId="49" fillId="0" borderId="0" xfId="18" applyNumberFormat="1" applyFont="1" applyAlignment="1">
      <alignment vertical="center"/>
    </xf>
    <xf numFmtId="0" fontId="50" fillId="0" borderId="0" xfId="18" applyFont="1" applyAlignment="1">
      <alignment vertical="center"/>
    </xf>
    <xf numFmtId="0" fontId="43" fillId="0" borderId="0" xfId="17" applyFont="1" applyAlignment="1">
      <alignment vertical="center"/>
    </xf>
    <xf numFmtId="0" fontId="53" fillId="0" borderId="0" xfId="17" applyFont="1" applyAlignment="1">
      <alignment vertical="center"/>
    </xf>
    <xf numFmtId="0" fontId="54" fillId="0" borderId="0" xfId="17" applyFont="1" applyAlignment="1">
      <alignment vertical="center"/>
    </xf>
    <xf numFmtId="0" fontId="55" fillId="0" borderId="0" xfId="17" applyFont="1" applyAlignment="1">
      <alignment vertical="center"/>
    </xf>
    <xf numFmtId="0" fontId="37" fillId="0" borderId="0" xfId="17" applyFont="1" applyAlignment="1">
      <alignment horizontal="right" vertical="center" indent="1"/>
    </xf>
    <xf numFmtId="0" fontId="37" fillId="0" borderId="8" xfId="17" applyFont="1" applyBorder="1" applyAlignment="1">
      <alignment vertical="center"/>
    </xf>
    <xf numFmtId="0" fontId="37" fillId="0" borderId="9" xfId="17" applyFont="1" applyBorder="1" applyAlignment="1">
      <alignment vertical="center"/>
    </xf>
    <xf numFmtId="3" fontId="37" fillId="0" borderId="15" xfId="17" applyNumberFormat="1" applyFont="1" applyBorder="1" applyAlignment="1">
      <alignment horizontal="right" vertical="center" indent="1"/>
    </xf>
    <xf numFmtId="0" fontId="37" fillId="0" borderId="60" xfId="17" applyFont="1" applyBorder="1" applyAlignment="1">
      <alignment vertical="center"/>
    </xf>
    <xf numFmtId="0" fontId="37" fillId="0" borderId="61" xfId="17" applyFont="1" applyBorder="1" applyAlignment="1">
      <alignment vertical="center"/>
    </xf>
    <xf numFmtId="0" fontId="37" fillId="0" borderId="67" xfId="17" applyFont="1" applyBorder="1" applyAlignment="1">
      <alignment vertical="center"/>
    </xf>
    <xf numFmtId="3" fontId="37" fillId="0" borderId="13" xfId="17" applyNumberFormat="1" applyFont="1" applyFill="1" applyBorder="1" applyAlignment="1">
      <alignment horizontal="right" vertical="center" indent="1"/>
    </xf>
    <xf numFmtId="3" fontId="55" fillId="0" borderId="0" xfId="17" applyNumberFormat="1" applyFont="1" applyAlignment="1">
      <alignment vertical="center"/>
    </xf>
    <xf numFmtId="0" fontId="37" fillId="0" borderId="75" xfId="17" applyFont="1" applyBorder="1" applyAlignment="1">
      <alignment vertical="center"/>
    </xf>
    <xf numFmtId="0" fontId="37" fillId="0" borderId="52" xfId="17" applyFont="1" applyBorder="1" applyAlignment="1">
      <alignment vertical="center"/>
    </xf>
    <xf numFmtId="0" fontId="37" fillId="0" borderId="0" xfId="17" applyFont="1" applyBorder="1" applyAlignment="1">
      <alignment vertical="center"/>
    </xf>
    <xf numFmtId="0" fontId="37" fillId="0" borderId="0" xfId="17" applyFont="1" applyBorder="1" applyAlignment="1">
      <alignment vertical="center" wrapText="1"/>
    </xf>
    <xf numFmtId="0" fontId="37" fillId="0" borderId="0" xfId="17" applyFont="1" applyBorder="1" applyAlignment="1">
      <alignment horizontal="center" vertical="center" wrapText="1"/>
    </xf>
    <xf numFmtId="165" fontId="37" fillId="0" borderId="0" xfId="17" applyNumberFormat="1" applyFont="1" applyAlignment="1">
      <alignment vertical="center"/>
    </xf>
    <xf numFmtId="3" fontId="37" fillId="0" borderId="0" xfId="17" applyNumberFormat="1" applyFont="1" applyAlignment="1">
      <alignment vertical="center"/>
    </xf>
    <xf numFmtId="3" fontId="37" fillId="0" borderId="29" xfId="17" applyNumberFormat="1" applyFont="1" applyBorder="1" applyAlignment="1">
      <alignment horizontal="right" vertical="center" indent="1"/>
    </xf>
    <xf numFmtId="165" fontId="23" fillId="0" borderId="0" xfId="17" applyNumberFormat="1" applyFont="1" applyAlignment="1">
      <alignment vertical="center"/>
    </xf>
    <xf numFmtId="3" fontId="9" fillId="0" borderId="0" xfId="16" applyNumberFormat="1" applyFont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center" vertical="center"/>
    </xf>
    <xf numFmtId="10" fontId="9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0" fillId="0" borderId="0" xfId="19"/>
    <xf numFmtId="0" fontId="9" fillId="0" borderId="0" xfId="19" applyFont="1"/>
    <xf numFmtId="0" fontId="41" fillId="0" borderId="0" xfId="7" applyFont="1" applyFill="1" applyBorder="1" applyAlignment="1">
      <alignment vertical="center"/>
    </xf>
    <xf numFmtId="0" fontId="10" fillId="0" borderId="0" xfId="7" applyFont="1" applyFill="1" applyBorder="1" applyAlignment="1">
      <alignment vertical="center"/>
    </xf>
    <xf numFmtId="0" fontId="42" fillId="0" borderId="0" xfId="4" applyFont="1" applyFill="1" applyBorder="1" applyAlignment="1">
      <alignment vertical="center"/>
    </xf>
    <xf numFmtId="0" fontId="41" fillId="0" borderId="0" xfId="7" applyFont="1" applyFill="1" applyBorder="1" applyAlignment="1">
      <alignment vertical="center" wrapText="1"/>
    </xf>
    <xf numFmtId="0" fontId="41" fillId="9" borderId="100" xfId="7" applyFont="1" applyFill="1" applyBorder="1" applyAlignment="1">
      <alignment horizontal="center" vertical="center"/>
    </xf>
    <xf numFmtId="0" fontId="41" fillId="9" borderId="101" xfId="7" applyFont="1" applyFill="1" applyBorder="1" applyAlignment="1">
      <alignment horizontal="center" vertical="center"/>
    </xf>
    <xf numFmtId="0" fontId="41" fillId="9" borderId="102" xfId="7" applyFont="1" applyFill="1" applyBorder="1" applyAlignment="1">
      <alignment horizontal="center" vertical="center"/>
    </xf>
    <xf numFmtId="0" fontId="61" fillId="9" borderId="103" xfId="7" applyFont="1" applyFill="1" applyBorder="1" applyAlignment="1">
      <alignment horizontal="center" vertical="center" wrapText="1"/>
    </xf>
    <xf numFmtId="0" fontId="61" fillId="9" borderId="103" xfId="7" applyFont="1" applyFill="1" applyBorder="1" applyAlignment="1">
      <alignment vertical="center" wrapText="1"/>
    </xf>
    <xf numFmtId="0" fontId="61" fillId="9" borderId="46" xfId="7" applyFont="1" applyFill="1" applyBorder="1" applyAlignment="1">
      <alignment vertical="center" wrapText="1"/>
    </xf>
    <xf numFmtId="0" fontId="61" fillId="9" borderId="40" xfId="7" applyFont="1" applyFill="1" applyBorder="1" applyAlignment="1">
      <alignment vertical="center" wrapText="1"/>
    </xf>
    <xf numFmtId="0" fontId="61" fillId="9" borderId="41" xfId="7" applyFont="1" applyFill="1" applyBorder="1" applyAlignment="1">
      <alignment vertical="center" wrapText="1"/>
    </xf>
    <xf numFmtId="164" fontId="61" fillId="9" borderId="62" xfId="8" applyNumberFormat="1" applyFont="1" applyFill="1" applyBorder="1" applyAlignment="1" applyProtection="1">
      <alignment horizontal="right" vertical="center"/>
    </xf>
    <xf numFmtId="164" fontId="41" fillId="0" borderId="65" xfId="7" applyNumberFormat="1" applyFont="1" applyFill="1" applyBorder="1" applyAlignment="1">
      <alignment horizontal="center" vertical="center"/>
    </xf>
    <xf numFmtId="164" fontId="41" fillId="0" borderId="44" xfId="7" applyNumberFormat="1" applyFont="1" applyFill="1" applyBorder="1" applyAlignment="1">
      <alignment horizontal="center" vertical="center"/>
    </xf>
    <xf numFmtId="164" fontId="61" fillId="0" borderId="3" xfId="7" applyNumberFormat="1" applyFont="1" applyFill="1" applyBorder="1" applyAlignment="1">
      <alignment horizontal="center" vertical="center"/>
    </xf>
    <xf numFmtId="164" fontId="61" fillId="11" borderId="82" xfId="8" applyNumberFormat="1" applyFont="1" applyFill="1" applyBorder="1" applyAlignment="1" applyProtection="1">
      <alignment horizontal="right" vertical="center"/>
    </xf>
    <xf numFmtId="164" fontId="61" fillId="0" borderId="3" xfId="8" applyNumberFormat="1" applyFont="1" applyFill="1" applyBorder="1" applyAlignment="1" applyProtection="1">
      <alignment horizontal="right" vertical="center"/>
    </xf>
    <xf numFmtId="164" fontId="61" fillId="0" borderId="44" xfId="8" applyNumberFormat="1" applyFont="1" applyFill="1" applyBorder="1" applyAlignment="1" applyProtection="1">
      <alignment horizontal="right" vertical="center"/>
    </xf>
    <xf numFmtId="164" fontId="61" fillId="6" borderId="10" xfId="8" applyNumberFormat="1" applyFont="1" applyFill="1" applyBorder="1" applyAlignment="1" applyProtection="1">
      <alignment horizontal="right" vertical="center"/>
    </xf>
    <xf numFmtId="0" fontId="41" fillId="6" borderId="104" xfId="7" applyFont="1" applyFill="1" applyBorder="1" applyAlignment="1">
      <alignment horizontal="center" vertical="center" wrapText="1"/>
    </xf>
    <xf numFmtId="0" fontId="41" fillId="6" borderId="105" xfId="7" applyFont="1" applyFill="1" applyBorder="1" applyAlignment="1">
      <alignment horizontal="center" vertical="center" wrapText="1"/>
    </xf>
    <xf numFmtId="164" fontId="61" fillId="6" borderId="106" xfId="8" applyNumberFormat="1" applyFont="1" applyFill="1" applyBorder="1" applyAlignment="1" applyProtection="1">
      <alignment horizontal="right" vertical="center"/>
    </xf>
    <xf numFmtId="0" fontId="41" fillId="6" borderId="12" xfId="7" applyFont="1" applyFill="1" applyBorder="1" applyAlignment="1">
      <alignment horizontal="center" vertical="center" wrapText="1"/>
    </xf>
    <xf numFmtId="164" fontId="61" fillId="6" borderId="54" xfId="8" applyNumberFormat="1" applyFont="1" applyFill="1" applyBorder="1" applyAlignment="1" applyProtection="1">
      <alignment horizontal="right" vertical="center"/>
    </xf>
    <xf numFmtId="164" fontId="61" fillId="6" borderId="107" xfId="8" applyNumberFormat="1" applyFont="1" applyFill="1" applyBorder="1" applyAlignment="1" applyProtection="1">
      <alignment horizontal="right" vertical="center"/>
    </xf>
    <xf numFmtId="164" fontId="61" fillId="6" borderId="8" xfId="8" applyNumberFormat="1" applyFont="1" applyFill="1" applyBorder="1" applyAlignment="1" applyProtection="1">
      <alignment horizontal="right" vertical="center"/>
    </xf>
    <xf numFmtId="164" fontId="61" fillId="6" borderId="9" xfId="8" applyNumberFormat="1" applyFont="1" applyFill="1" applyBorder="1" applyAlignment="1" applyProtection="1">
      <alignment horizontal="right" vertical="center"/>
    </xf>
    <xf numFmtId="3" fontId="41" fillId="0" borderId="0" xfId="7" applyNumberFormat="1" applyFont="1" applyFill="1" applyBorder="1" applyAlignment="1">
      <alignment horizontal="center" vertical="center" wrapText="1"/>
    </xf>
    <xf numFmtId="0" fontId="41" fillId="0" borderId="0" xfId="7" applyFont="1" applyFill="1" applyBorder="1" applyAlignment="1">
      <alignment horizontal="center" vertical="center" wrapText="1"/>
    </xf>
    <xf numFmtId="176" fontId="41" fillId="0" borderId="0" xfId="7" applyNumberFormat="1" applyFont="1" applyFill="1" applyBorder="1" applyAlignment="1">
      <alignment horizontal="center" vertical="center" wrapText="1"/>
    </xf>
    <xf numFmtId="49" fontId="41" fillId="0" borderId="36" xfId="7" applyNumberFormat="1" applyFont="1" applyFill="1" applyBorder="1" applyAlignment="1" applyProtection="1">
      <alignment horizontal="center" vertical="center"/>
    </xf>
    <xf numFmtId="49" fontId="61" fillId="0" borderId="50" xfId="7" applyNumberFormat="1" applyFont="1" applyFill="1" applyBorder="1" applyAlignment="1" applyProtection="1">
      <alignment horizontal="left" vertical="center"/>
    </xf>
    <xf numFmtId="3" fontId="41" fillId="6" borderId="36" xfId="7" applyNumberFormat="1" applyFont="1" applyFill="1" applyBorder="1" applyAlignment="1" applyProtection="1">
      <alignment horizontal="right" vertical="center"/>
    </xf>
    <xf numFmtId="164" fontId="61" fillId="6" borderId="37" xfId="8" applyNumberFormat="1" applyFont="1" applyFill="1" applyBorder="1" applyAlignment="1" applyProtection="1">
      <alignment horizontal="right" vertical="center"/>
    </xf>
    <xf numFmtId="164" fontId="61" fillId="6" borderId="35" xfId="7" applyNumberFormat="1" applyFont="1" applyFill="1" applyBorder="1" applyAlignment="1" applyProtection="1">
      <alignment horizontal="left" vertical="center"/>
    </xf>
    <xf numFmtId="173" fontId="61" fillId="6" borderId="35" xfId="8" applyNumberFormat="1" applyFont="1" applyFill="1" applyBorder="1" applyAlignment="1" applyProtection="1">
      <alignment horizontal="right" vertical="center"/>
    </xf>
    <xf numFmtId="173" fontId="41" fillId="6" borderId="35" xfId="7" applyNumberFormat="1" applyFont="1" applyFill="1" applyBorder="1" applyAlignment="1">
      <alignment vertical="center"/>
    </xf>
    <xf numFmtId="164" fontId="61" fillId="6" borderId="50" xfId="8" applyNumberFormat="1" applyFont="1" applyFill="1" applyBorder="1" applyAlignment="1" applyProtection="1">
      <alignment horizontal="right" vertical="center"/>
    </xf>
    <xf numFmtId="173" fontId="61" fillId="6" borderId="36" xfId="8" applyNumberFormat="1" applyFont="1" applyFill="1" applyBorder="1" applyAlignment="1" applyProtection="1">
      <alignment horizontal="right" vertical="center"/>
    </xf>
    <xf numFmtId="173" fontId="61" fillId="6" borderId="0" xfId="8" applyNumberFormat="1" applyFont="1" applyFill="1" applyBorder="1" applyAlignment="1" applyProtection="1">
      <alignment horizontal="right" vertical="center"/>
    </xf>
    <xf numFmtId="174" fontId="41" fillId="5" borderId="108" xfId="8" applyNumberFormat="1" applyFont="1" applyFill="1" applyBorder="1" applyAlignment="1" applyProtection="1">
      <alignment horizontal="right" vertical="center"/>
    </xf>
    <xf numFmtId="171" fontId="41" fillId="5" borderId="110" xfId="7" applyNumberFormat="1" applyFont="1" applyFill="1" applyBorder="1" applyAlignment="1">
      <alignment vertical="center"/>
    </xf>
    <xf numFmtId="170" fontId="41" fillId="0" borderId="0" xfId="7" applyNumberFormat="1" applyFont="1" applyFill="1" applyBorder="1" applyAlignment="1">
      <alignment vertical="center"/>
    </xf>
    <xf numFmtId="177" fontId="41" fillId="0" borderId="0" xfId="7" applyNumberFormat="1" applyFont="1" applyFill="1" applyBorder="1" applyAlignment="1">
      <alignment vertical="center"/>
    </xf>
    <xf numFmtId="164" fontId="61" fillId="6" borderId="35" xfId="8" applyNumberFormat="1" applyFont="1" applyFill="1" applyBorder="1" applyAlignment="1" applyProtection="1">
      <alignment horizontal="right" vertical="center"/>
    </xf>
    <xf numFmtId="0" fontId="41" fillId="6" borderId="35" xfId="7" applyFont="1" applyFill="1" applyBorder="1" applyAlignment="1">
      <alignment vertical="center"/>
    </xf>
    <xf numFmtId="164" fontId="61" fillId="6" borderId="36" xfId="8" applyNumberFormat="1" applyFont="1" applyFill="1" applyBorder="1" applyAlignment="1" applyProtection="1">
      <alignment horizontal="right" vertical="center"/>
    </xf>
    <xf numFmtId="164" fontId="61" fillId="6" borderId="0" xfId="8" applyNumberFormat="1" applyFont="1" applyFill="1" applyBorder="1" applyAlignment="1" applyProtection="1">
      <alignment horizontal="right" vertical="center"/>
    </xf>
    <xf numFmtId="164" fontId="62" fillId="6" borderId="35" xfId="8" applyNumberFormat="1" applyFont="1" applyFill="1" applyBorder="1" applyAlignment="1" applyProtection="1">
      <alignment horizontal="right" vertical="center"/>
    </xf>
    <xf numFmtId="3" fontId="41" fillId="6" borderId="36" xfId="7" applyNumberFormat="1" applyFont="1" applyFill="1" applyBorder="1" applyAlignment="1">
      <alignment horizontal="right" vertical="center"/>
    </xf>
    <xf numFmtId="49" fontId="41" fillId="0" borderId="39" xfId="7" applyNumberFormat="1" applyFont="1" applyFill="1" applyBorder="1" applyAlignment="1" applyProtection="1">
      <alignment horizontal="center" vertical="center"/>
    </xf>
    <xf numFmtId="49" fontId="61" fillId="0" borderId="99" xfId="7" applyNumberFormat="1" applyFont="1" applyFill="1" applyBorder="1" applyAlignment="1" applyProtection="1">
      <alignment horizontal="left" vertical="center"/>
    </xf>
    <xf numFmtId="3" fontId="41" fillId="6" borderId="39" xfId="7" applyNumberFormat="1" applyFont="1" applyFill="1" applyBorder="1" applyAlignment="1" applyProtection="1">
      <alignment horizontal="right" vertical="center"/>
    </xf>
    <xf numFmtId="164" fontId="61" fillId="6" borderId="41" xfId="8" applyNumberFormat="1" applyFont="1" applyFill="1" applyBorder="1" applyAlignment="1" applyProtection="1">
      <alignment horizontal="right" vertical="center"/>
    </xf>
    <xf numFmtId="164" fontId="61" fillId="6" borderId="46" xfId="7" applyNumberFormat="1" applyFont="1" applyFill="1" applyBorder="1" applyAlignment="1" applyProtection="1">
      <alignment horizontal="left" vertical="center"/>
    </xf>
    <xf numFmtId="49" fontId="61" fillId="6" borderId="46" xfId="7" applyNumberFormat="1" applyFont="1" applyFill="1" applyBorder="1" applyAlignment="1" applyProtection="1">
      <alignment horizontal="left" vertical="center"/>
    </xf>
    <xf numFmtId="164" fontId="61" fillId="6" borderId="99" xfId="8" applyNumberFormat="1" applyFont="1" applyFill="1" applyBorder="1" applyAlignment="1" applyProtection="1">
      <alignment horizontal="right" vertical="center"/>
    </xf>
    <xf numFmtId="164" fontId="61" fillId="6" borderId="39" xfId="8" applyNumberFormat="1" applyFont="1" applyFill="1" applyBorder="1" applyAlignment="1" applyProtection="1">
      <alignment horizontal="right" vertical="center"/>
    </xf>
    <xf numFmtId="164" fontId="61" fillId="6" borderId="40" xfId="8" applyNumberFormat="1" applyFont="1" applyFill="1" applyBorder="1" applyAlignment="1" applyProtection="1">
      <alignment horizontal="right" vertical="center"/>
    </xf>
    <xf numFmtId="174" fontId="41" fillId="5" borderId="100" xfId="8" applyNumberFormat="1" applyFont="1" applyFill="1" applyBorder="1" applyAlignment="1" applyProtection="1">
      <alignment horizontal="right" vertical="center"/>
    </xf>
    <xf numFmtId="171" fontId="41" fillId="5" borderId="111" xfId="7" applyNumberFormat="1" applyFont="1" applyFill="1" applyBorder="1" applyAlignment="1">
      <alignment vertical="center"/>
    </xf>
    <xf numFmtId="0" fontId="10" fillId="0" borderId="0" xfId="13" applyFill="1" applyBorder="1"/>
    <xf numFmtId="49" fontId="61" fillId="0" borderId="16" xfId="7" applyNumberFormat="1" applyFont="1" applyFill="1" applyBorder="1" applyAlignment="1" applyProtection="1">
      <alignment horizontal="center" vertical="center"/>
    </xf>
    <xf numFmtId="49" fontId="61" fillId="0" borderId="55" xfId="7" applyNumberFormat="1" applyFont="1" applyFill="1" applyBorder="1" applyAlignment="1" applyProtection="1">
      <alignment horizontal="left" vertical="center"/>
    </xf>
    <xf numFmtId="178" fontId="41" fillId="6" borderId="24" xfId="7" applyNumberFormat="1" applyFont="1" applyFill="1" applyBorder="1" applyAlignment="1" applyProtection="1">
      <alignment horizontal="right" vertical="center"/>
    </xf>
    <xf numFmtId="164" fontId="41" fillId="6" borderId="18" xfId="7" applyNumberFormat="1" applyFont="1" applyFill="1" applyBorder="1" applyAlignment="1" applyProtection="1">
      <alignment horizontal="right" vertical="center"/>
    </xf>
    <xf numFmtId="165" fontId="41" fillId="6" borderId="112" xfId="7" applyNumberFormat="1" applyFont="1" applyFill="1" applyBorder="1" applyAlignment="1" applyProtection="1">
      <alignment horizontal="right" vertical="center"/>
    </xf>
    <xf numFmtId="165" fontId="41" fillId="6" borderId="113" xfId="7" applyNumberFormat="1" applyFont="1" applyFill="1" applyBorder="1" applyAlignment="1" applyProtection="1">
      <alignment horizontal="right" vertical="center"/>
    </xf>
    <xf numFmtId="164" fontId="41" fillId="6" borderId="114" xfId="8" applyNumberFormat="1" applyFont="1" applyFill="1" applyBorder="1" applyAlignment="1" applyProtection="1">
      <alignment horizontal="right" vertical="center"/>
    </xf>
    <xf numFmtId="3" fontId="41" fillId="6" borderId="69" xfId="7" applyNumberFormat="1" applyFont="1" applyFill="1" applyBorder="1" applyAlignment="1">
      <alignment vertical="center"/>
    </xf>
    <xf numFmtId="3" fontId="41" fillId="6" borderId="68" xfId="7" applyNumberFormat="1" applyFont="1" applyFill="1" applyBorder="1" applyAlignment="1">
      <alignment vertical="center"/>
    </xf>
    <xf numFmtId="178" fontId="41" fillId="6" borderId="68" xfId="7" applyNumberFormat="1" applyFont="1" applyFill="1" applyBorder="1" applyAlignment="1" applyProtection="1">
      <alignment horizontal="right" vertical="center"/>
    </xf>
    <xf numFmtId="164" fontId="41" fillId="6" borderId="70" xfId="7" applyNumberFormat="1" applyFont="1" applyFill="1" applyBorder="1" applyAlignment="1" applyProtection="1">
      <alignment horizontal="right" vertical="center"/>
    </xf>
    <xf numFmtId="49" fontId="41" fillId="0" borderId="81" xfId="7" applyNumberFormat="1" applyFont="1" applyFill="1" applyBorder="1" applyAlignment="1" applyProtection="1">
      <alignment horizontal="center" vertical="center"/>
    </xf>
    <xf numFmtId="49" fontId="61" fillId="0" borderId="115" xfId="7" applyNumberFormat="1" applyFont="1" applyFill="1" applyBorder="1" applyAlignment="1" applyProtection="1">
      <alignment horizontal="left" vertical="center"/>
    </xf>
    <xf numFmtId="178" fontId="41" fillId="6" borderId="35" xfId="7" applyNumberFormat="1" applyFont="1" applyFill="1" applyBorder="1" applyAlignment="1" applyProtection="1">
      <alignment horizontal="right" vertical="center"/>
    </xf>
    <xf numFmtId="164" fontId="41" fillId="6" borderId="37" xfId="8" applyNumberFormat="1" applyFont="1" applyFill="1" applyBorder="1" applyAlignment="1" applyProtection="1">
      <alignment horizontal="right" vertical="center"/>
    </xf>
    <xf numFmtId="165" fontId="41" fillId="6" borderId="116" xfId="7" applyNumberFormat="1" applyFont="1" applyFill="1" applyBorder="1" applyAlignment="1" applyProtection="1">
      <alignment horizontal="right" vertical="center"/>
    </xf>
    <xf numFmtId="165" fontId="41" fillId="6" borderId="109" xfId="7" applyNumberFormat="1" applyFont="1" applyFill="1" applyBorder="1" applyAlignment="1" applyProtection="1">
      <alignment horizontal="right" vertical="center"/>
    </xf>
    <xf numFmtId="164" fontId="41" fillId="6" borderId="117" xfId="8" applyNumberFormat="1" applyFont="1" applyFill="1" applyBorder="1" applyAlignment="1" applyProtection="1">
      <alignment horizontal="right" vertical="center"/>
    </xf>
    <xf numFmtId="164" fontId="41" fillId="6" borderId="70" xfId="8" applyNumberFormat="1" applyFont="1" applyFill="1" applyBorder="1" applyAlignment="1" applyProtection="1">
      <alignment horizontal="right" vertical="center"/>
    </xf>
    <xf numFmtId="0" fontId="39" fillId="5" borderId="23" xfId="7" applyFont="1" applyFill="1" applyBorder="1" applyAlignment="1">
      <alignment vertical="center"/>
    </xf>
    <xf numFmtId="3" fontId="41" fillId="6" borderId="35" xfId="7" applyNumberFormat="1" applyFont="1" applyFill="1" applyBorder="1" applyAlignment="1">
      <alignment vertical="center"/>
    </xf>
    <xf numFmtId="3" fontId="41" fillId="6" borderId="0" xfId="7" applyNumberFormat="1" applyFont="1" applyFill="1" applyBorder="1" applyAlignment="1">
      <alignment vertical="center"/>
    </xf>
    <xf numFmtId="178" fontId="41" fillId="6" borderId="0" xfId="7" applyNumberFormat="1" applyFont="1" applyFill="1" applyBorder="1" applyAlignment="1" applyProtection="1">
      <alignment horizontal="right" vertical="center"/>
    </xf>
    <xf numFmtId="49" fontId="41" fillId="0" borderId="60" xfId="7" applyNumberFormat="1" applyFont="1" applyFill="1" applyBorder="1" applyAlignment="1" applyProtection="1">
      <alignment horizontal="center" vertical="center"/>
    </xf>
    <xf numFmtId="49" fontId="61" fillId="0" borderId="118" xfId="7" applyNumberFormat="1" applyFont="1" applyFill="1" applyBorder="1" applyAlignment="1" applyProtection="1">
      <alignment horizontal="left" vertical="center"/>
    </xf>
    <xf numFmtId="178" fontId="41" fillId="6" borderId="20" xfId="7" applyNumberFormat="1" applyFont="1" applyFill="1" applyBorder="1" applyAlignment="1" applyProtection="1">
      <alignment horizontal="right" vertical="center"/>
    </xf>
    <xf numFmtId="164" fontId="41" fillId="6" borderId="67" xfId="8" applyNumberFormat="1" applyFont="1" applyFill="1" applyBorder="1" applyAlignment="1" applyProtection="1">
      <alignment horizontal="right" vertical="center"/>
    </xf>
    <xf numFmtId="165" fontId="41" fillId="6" borderId="119" xfId="7" applyNumberFormat="1" applyFont="1" applyFill="1" applyBorder="1" applyAlignment="1" applyProtection="1">
      <alignment horizontal="right" vertical="center"/>
    </xf>
    <xf numFmtId="165" fontId="41" fillId="6" borderId="120" xfId="7" applyNumberFormat="1" applyFont="1" applyFill="1" applyBorder="1" applyAlignment="1" applyProtection="1">
      <alignment horizontal="right" vertical="center"/>
    </xf>
    <xf numFmtId="164" fontId="41" fillId="6" borderId="121" xfId="8" applyNumberFormat="1" applyFont="1" applyFill="1" applyBorder="1" applyAlignment="1" applyProtection="1">
      <alignment horizontal="right" vertical="center"/>
    </xf>
    <xf numFmtId="3" fontId="41" fillId="6" borderId="20" xfId="7" applyNumberFormat="1" applyFont="1" applyFill="1" applyBorder="1" applyAlignment="1">
      <alignment vertical="center"/>
    </xf>
    <xf numFmtId="3" fontId="41" fillId="6" borderId="61" xfId="7" applyNumberFormat="1" applyFont="1" applyFill="1" applyBorder="1" applyAlignment="1">
      <alignment vertical="center"/>
    </xf>
    <xf numFmtId="178" fontId="41" fillId="6" borderId="61" xfId="7" applyNumberFormat="1" applyFont="1" applyFill="1" applyBorder="1" applyAlignment="1" applyProtection="1">
      <alignment horizontal="right" vertical="center"/>
    </xf>
    <xf numFmtId="0" fontId="10" fillId="0" borderId="61" xfId="7" applyFont="1" applyFill="1" applyBorder="1" applyAlignment="1">
      <alignment vertical="center"/>
    </xf>
    <xf numFmtId="49" fontId="61" fillId="0" borderId="23" xfId="7" applyNumberFormat="1" applyFont="1" applyFill="1" applyBorder="1" applyAlignment="1" applyProtection="1">
      <alignment horizontal="left" vertical="center"/>
    </xf>
    <xf numFmtId="178" fontId="41" fillId="0" borderId="0" xfId="7" applyNumberFormat="1" applyFont="1" applyFill="1" applyBorder="1" applyAlignment="1" applyProtection="1">
      <alignment horizontal="right" vertical="center"/>
    </xf>
    <xf numFmtId="164" fontId="41" fillId="0" borderId="0" xfId="7" applyNumberFormat="1" applyFont="1" applyFill="1" applyBorder="1" applyAlignment="1" applyProtection="1">
      <alignment horizontal="right" vertical="center"/>
    </xf>
    <xf numFmtId="49" fontId="61" fillId="0" borderId="58" xfId="7" applyNumberFormat="1" applyFont="1" applyFill="1" applyBorder="1" applyAlignment="1" applyProtection="1">
      <alignment horizontal="left" vertical="center"/>
    </xf>
    <xf numFmtId="164" fontId="41" fillId="0" borderId="0" xfId="8" applyNumberFormat="1" applyFont="1" applyFill="1" applyBorder="1" applyAlignment="1" applyProtection="1">
      <alignment horizontal="right" vertical="center"/>
    </xf>
    <xf numFmtId="49" fontId="61" fillId="0" borderId="64" xfId="7" applyNumberFormat="1" applyFont="1" applyFill="1" applyBorder="1" applyAlignment="1" applyProtection="1">
      <alignment horizontal="left" vertical="center"/>
    </xf>
    <xf numFmtId="49" fontId="61" fillId="0" borderId="19" xfId="7" applyNumberFormat="1" applyFont="1" applyFill="1" applyBorder="1" applyAlignment="1" applyProtection="1">
      <alignment horizontal="left" vertical="center"/>
    </xf>
    <xf numFmtId="165" fontId="10" fillId="0" borderId="0" xfId="7" applyNumberFormat="1" applyFont="1" applyFill="1" applyBorder="1" applyAlignment="1">
      <alignment vertical="center"/>
    </xf>
    <xf numFmtId="0" fontId="10" fillId="0" borderId="17" xfId="7" applyFont="1" applyFill="1" applyBorder="1" applyAlignment="1">
      <alignment vertical="center"/>
    </xf>
    <xf numFmtId="49" fontId="61" fillId="0" borderId="17" xfId="7" applyNumberFormat="1" applyFont="1" applyFill="1" applyBorder="1" applyAlignment="1" applyProtection="1">
      <alignment horizontal="left" vertical="center"/>
    </xf>
    <xf numFmtId="179" fontId="41" fillId="6" borderId="112" xfId="7" applyNumberFormat="1" applyFont="1" applyFill="1" applyBorder="1" applyAlignment="1" applyProtection="1">
      <alignment horizontal="right" vertical="center"/>
    </xf>
    <xf numFmtId="179" fontId="41" fillId="6" borderId="113" xfId="7" applyNumberFormat="1" applyFont="1" applyFill="1" applyBorder="1" applyAlignment="1" applyProtection="1">
      <alignment horizontal="right" vertical="center"/>
    </xf>
    <xf numFmtId="178" fontId="41" fillId="6" borderId="113" xfId="7" applyNumberFormat="1" applyFont="1" applyFill="1" applyBorder="1" applyAlignment="1" applyProtection="1">
      <alignment horizontal="right" vertical="center"/>
    </xf>
    <xf numFmtId="49" fontId="61" fillId="0" borderId="68" xfId="7" applyNumberFormat="1" applyFont="1" applyFill="1" applyBorder="1" applyAlignment="1" applyProtection="1">
      <alignment horizontal="left" vertical="center"/>
    </xf>
    <xf numFmtId="179" fontId="41" fillId="6" borderId="116" xfId="7" applyNumberFormat="1" applyFont="1" applyFill="1" applyBorder="1" applyAlignment="1" applyProtection="1">
      <alignment horizontal="right" vertical="center"/>
    </xf>
    <xf numFmtId="179" fontId="41" fillId="6" borderId="109" xfId="7" applyNumberFormat="1" applyFont="1" applyFill="1" applyBorder="1" applyAlignment="1" applyProtection="1">
      <alignment horizontal="right" vertical="center"/>
    </xf>
    <xf numFmtId="178" fontId="41" fillId="6" borderId="109" xfId="7" applyNumberFormat="1" applyFont="1" applyFill="1" applyBorder="1" applyAlignment="1" applyProtection="1">
      <alignment horizontal="right" vertical="center"/>
    </xf>
    <xf numFmtId="49" fontId="61" fillId="0" borderId="0" xfId="7" applyNumberFormat="1" applyFont="1" applyFill="1" applyBorder="1" applyAlignment="1" applyProtection="1">
      <alignment horizontal="left" vertical="center"/>
    </xf>
    <xf numFmtId="49" fontId="61" fillId="0" borderId="61" xfId="7" applyNumberFormat="1" applyFont="1" applyFill="1" applyBorder="1" applyAlignment="1" applyProtection="1">
      <alignment horizontal="left" vertical="center"/>
    </xf>
    <xf numFmtId="179" fontId="41" fillId="6" borderId="119" xfId="7" applyNumberFormat="1" applyFont="1" applyFill="1" applyBorder="1" applyAlignment="1" applyProtection="1">
      <alignment horizontal="right" vertical="center"/>
    </xf>
    <xf numFmtId="179" fontId="41" fillId="6" borderId="120" xfId="7" applyNumberFormat="1" applyFont="1" applyFill="1" applyBorder="1" applyAlignment="1" applyProtection="1">
      <alignment horizontal="right" vertical="center"/>
    </xf>
    <xf numFmtId="178" fontId="41" fillId="6" borderId="120" xfId="7" applyNumberFormat="1" applyFont="1" applyFill="1" applyBorder="1" applyAlignment="1" applyProtection="1">
      <alignment horizontal="right" vertical="center"/>
    </xf>
    <xf numFmtId="10" fontId="41" fillId="0" borderId="0" xfId="7" applyNumberFormat="1" applyFont="1" applyFill="1" applyBorder="1" applyAlignment="1">
      <alignment vertical="center"/>
    </xf>
    <xf numFmtId="0" fontId="10" fillId="0" borderId="0" xfId="7" applyFill="1" applyBorder="1" applyAlignment="1">
      <alignment vertical="center"/>
    </xf>
    <xf numFmtId="0" fontId="10" fillId="0" borderId="68" xfId="7" applyFont="1" applyFill="1" applyBorder="1" applyAlignment="1">
      <alignment vertical="center"/>
    </xf>
    <xf numFmtId="179" fontId="41" fillId="0" borderId="0" xfId="7" applyNumberFormat="1" applyFont="1" applyFill="1" applyBorder="1" applyAlignment="1" applyProtection="1">
      <alignment horizontal="right" vertical="center"/>
    </xf>
    <xf numFmtId="166" fontId="10" fillId="0" borderId="0" xfId="7" applyNumberFormat="1" applyFont="1" applyFill="1" applyBorder="1" applyAlignment="1">
      <alignment vertical="center"/>
    </xf>
    <xf numFmtId="168" fontId="63" fillId="0" borderId="0" xfId="7" applyNumberFormat="1" applyFont="1" applyFill="1" applyBorder="1" applyAlignment="1">
      <alignment horizontal="center" vertical="center"/>
    </xf>
    <xf numFmtId="168" fontId="64" fillId="0" borderId="0" xfId="7" applyNumberFormat="1" applyFont="1" applyFill="1" applyBorder="1" applyAlignment="1">
      <alignment horizontal="center" vertical="center"/>
    </xf>
    <xf numFmtId="0" fontId="2" fillId="0" borderId="0" xfId="18"/>
    <xf numFmtId="0" fontId="65" fillId="0" borderId="0" xfId="18" applyFont="1"/>
    <xf numFmtId="0" fontId="2" fillId="0" borderId="0" xfId="18" applyBorder="1"/>
    <xf numFmtId="3" fontId="2" fillId="0" borderId="0" xfId="18" applyNumberFormat="1"/>
    <xf numFmtId="0" fontId="2" fillId="0" borderId="0" xfId="18" applyAlignment="1">
      <alignment horizontal="right"/>
    </xf>
    <xf numFmtId="0" fontId="0" fillId="0" borderId="0" xfId="0" applyFont="1" applyBorder="1" applyAlignment="1">
      <alignment horizontal="right" vertical="center" indent="1"/>
    </xf>
    <xf numFmtId="0" fontId="0" fillId="0" borderId="0" xfId="0" applyFont="1" applyAlignment="1">
      <alignment horizontal="right" vertical="center"/>
    </xf>
    <xf numFmtId="0" fontId="11" fillId="7" borderId="2" xfId="1" applyFont="1" applyFill="1" applyBorder="1" applyAlignment="1">
      <alignment horizontal="center" vertical="center" wrapText="1"/>
    </xf>
    <xf numFmtId="3" fontId="8" fillId="7" borderId="12" xfId="1" applyNumberFormat="1" applyFont="1" applyFill="1" applyBorder="1" applyAlignment="1">
      <alignment horizontal="center" vertical="center"/>
    </xf>
    <xf numFmtId="3" fontId="8" fillId="7" borderId="24" xfId="1" applyNumberFormat="1" applyFont="1" applyFill="1" applyBorder="1" applyAlignment="1">
      <alignment horizontal="center" vertical="center"/>
    </xf>
    <xf numFmtId="4" fontId="8" fillId="7" borderId="27" xfId="1" applyNumberFormat="1" applyFont="1" applyFill="1" applyBorder="1" applyAlignment="1">
      <alignment horizontal="center" vertical="center"/>
    </xf>
    <xf numFmtId="3" fontId="8" fillId="7" borderId="11" xfId="1" applyNumberFormat="1" applyFont="1" applyFill="1" applyBorder="1" applyAlignment="1">
      <alignment horizontal="center" vertical="center"/>
    </xf>
    <xf numFmtId="3" fontId="8" fillId="7" borderId="19" xfId="1" applyNumberFormat="1" applyFont="1" applyFill="1" applyBorder="1" applyAlignment="1">
      <alignment horizontal="center" vertical="center"/>
    </xf>
    <xf numFmtId="3" fontId="8" fillId="7" borderId="26" xfId="1" applyNumberFormat="1" applyFont="1" applyFill="1" applyBorder="1" applyAlignment="1">
      <alignment horizontal="center" vertical="center"/>
    </xf>
    <xf numFmtId="174" fontId="12" fillId="0" borderId="0" xfId="1" applyNumberFormat="1" applyFont="1" applyFill="1" applyAlignment="1">
      <alignment vertical="center"/>
    </xf>
    <xf numFmtId="174" fontId="9" fillId="0" borderId="0" xfId="1" applyNumberFormat="1" applyFont="1" applyFill="1" applyAlignment="1">
      <alignment vertical="center"/>
    </xf>
    <xf numFmtId="174" fontId="14" fillId="0" borderId="0" xfId="1" applyNumberFormat="1" applyFont="1" applyFill="1" applyAlignment="1">
      <alignment vertical="center"/>
    </xf>
    <xf numFmtId="0" fontId="1" fillId="0" borderId="0" xfId="22"/>
    <xf numFmtId="0" fontId="1" fillId="0" borderId="65" xfId="22" applyFill="1" applyBorder="1"/>
    <xf numFmtId="0" fontId="1" fillId="0" borderId="3" xfId="22" applyFill="1" applyBorder="1"/>
    <xf numFmtId="0" fontId="1" fillId="6" borderId="8" xfId="22" applyFill="1" applyBorder="1"/>
    <xf numFmtId="0" fontId="1" fillId="6" borderId="12" xfId="22" applyFill="1" applyBorder="1"/>
    <xf numFmtId="173" fontId="1" fillId="6" borderId="108" xfId="22" applyNumberFormat="1" applyFill="1" applyBorder="1"/>
    <xf numFmtId="173" fontId="1" fillId="6" borderId="109" xfId="22" applyNumberFormat="1" applyFill="1" applyBorder="1"/>
    <xf numFmtId="0" fontId="1" fillId="6" borderId="108" xfId="22" applyFill="1" applyBorder="1"/>
    <xf numFmtId="0" fontId="1" fillId="6" borderId="109" xfId="22" applyFill="1" applyBorder="1"/>
    <xf numFmtId="0" fontId="1" fillId="6" borderId="100" xfId="22" applyFill="1" applyBorder="1"/>
    <xf numFmtId="0" fontId="1" fillId="6" borderId="101" xfId="22" applyFill="1" applyBorder="1"/>
    <xf numFmtId="0" fontId="1" fillId="0" borderId="0" xfId="22" applyFill="1" applyBorder="1"/>
    <xf numFmtId="174" fontId="61" fillId="10" borderId="122" xfId="8" applyNumberFormat="1" applyFont="1" applyFill="1" applyBorder="1" applyAlignment="1">
      <alignment horizontal="right" vertical="center"/>
    </xf>
    <xf numFmtId="3" fontId="43" fillId="10" borderId="82" xfId="23" applyNumberFormat="1" applyFont="1" applyFill="1" applyBorder="1" applyAlignment="1">
      <alignment vertical="center"/>
    </xf>
    <xf numFmtId="0" fontId="61" fillId="10" borderId="29" xfId="7" applyFont="1" applyFill="1" applyBorder="1" applyAlignment="1">
      <alignment horizontal="center" vertical="center" wrapText="1"/>
    </xf>
    <xf numFmtId="174" fontId="61" fillId="5" borderId="60" xfId="8" applyNumberFormat="1" applyFont="1" applyFill="1" applyBorder="1" applyAlignment="1" applyProtection="1">
      <alignment horizontal="right" vertical="center"/>
    </xf>
    <xf numFmtId="164" fontId="61" fillId="9" borderId="44" xfId="8" applyNumberFormat="1" applyFont="1" applyFill="1" applyBorder="1" applyAlignment="1" applyProtection="1">
      <alignment horizontal="right" vertical="center"/>
    </xf>
    <xf numFmtId="0" fontId="61" fillId="10" borderId="25" xfId="7" applyFont="1" applyFill="1" applyBorder="1" applyAlignment="1">
      <alignment horizontal="center" vertical="center" wrapText="1"/>
    </xf>
    <xf numFmtId="175" fontId="61" fillId="5" borderId="13" xfId="8" applyNumberFormat="1" applyFont="1" applyFill="1" applyBorder="1" applyAlignment="1" applyProtection="1">
      <alignment horizontal="right" vertical="center"/>
    </xf>
    <xf numFmtId="0" fontId="67" fillId="0" borderId="0" xfId="4" applyFont="1" applyFill="1" applyAlignment="1">
      <alignment horizontal="right" vertical="center"/>
    </xf>
    <xf numFmtId="1" fontId="17" fillId="7" borderId="125" xfId="1" applyNumberFormat="1" applyFont="1" applyFill="1" applyBorder="1" applyAlignment="1">
      <alignment horizontal="center" vertical="center"/>
    </xf>
    <xf numFmtId="3" fontId="20" fillId="7" borderId="124" xfId="1" applyNumberFormat="1" applyFont="1" applyFill="1" applyBorder="1" applyAlignment="1">
      <alignment horizontal="center" vertical="center"/>
    </xf>
    <xf numFmtId="3" fontId="22" fillId="7" borderId="124" xfId="1" applyNumberFormat="1" applyFont="1" applyFill="1" applyBorder="1" applyAlignment="1">
      <alignment horizontal="center" vertical="center"/>
    </xf>
    <xf numFmtId="3" fontId="23" fillId="7" borderId="126" xfId="1" applyNumberFormat="1" applyFont="1" applyFill="1" applyBorder="1" applyAlignment="1">
      <alignment vertical="center"/>
    </xf>
    <xf numFmtId="3" fontId="23" fillId="7" borderId="127" xfId="1" applyNumberFormat="1" applyFont="1" applyFill="1" applyBorder="1" applyAlignment="1">
      <alignment vertical="center"/>
    </xf>
    <xf numFmtId="3" fontId="27" fillId="7" borderId="125" xfId="1" applyNumberFormat="1" applyFont="1" applyFill="1" applyBorder="1" applyAlignment="1">
      <alignment horizontal="right" vertical="center"/>
    </xf>
    <xf numFmtId="3" fontId="20" fillId="7" borderId="124" xfId="1" applyNumberFormat="1" applyFont="1" applyFill="1" applyBorder="1" applyAlignment="1">
      <alignment horizontal="right" vertical="center"/>
    </xf>
    <xf numFmtId="3" fontId="23" fillId="7" borderId="126" xfId="1" applyNumberFormat="1" applyFont="1" applyFill="1" applyBorder="1" applyAlignment="1">
      <alignment horizontal="right" vertical="center"/>
    </xf>
    <xf numFmtId="3" fontId="23" fillId="7" borderId="128" xfId="1" applyNumberFormat="1" applyFont="1" applyFill="1" applyBorder="1" applyAlignment="1">
      <alignment horizontal="right" vertical="center"/>
    </xf>
    <xf numFmtId="3" fontId="23" fillId="7" borderId="127" xfId="1" applyNumberFormat="1" applyFont="1" applyFill="1" applyBorder="1" applyAlignment="1">
      <alignment horizontal="right" vertical="center"/>
    </xf>
    <xf numFmtId="3" fontId="23" fillId="7" borderId="129" xfId="1" applyNumberFormat="1" applyFont="1" applyFill="1" applyBorder="1" applyAlignment="1">
      <alignment horizontal="right" vertical="center"/>
    </xf>
    <xf numFmtId="3" fontId="22" fillId="7" borderId="130" xfId="1" applyNumberFormat="1" applyFont="1" applyFill="1" applyBorder="1" applyAlignment="1">
      <alignment horizontal="right" vertical="center"/>
    </xf>
    <xf numFmtId="3" fontId="22" fillId="7" borderId="128" xfId="1" applyNumberFormat="1" applyFont="1" applyFill="1" applyBorder="1" applyAlignment="1">
      <alignment horizontal="right" vertical="center"/>
    </xf>
    <xf numFmtId="3" fontId="23" fillId="7" borderId="131" xfId="1" applyNumberFormat="1" applyFont="1" applyFill="1" applyBorder="1" applyAlignment="1">
      <alignment horizontal="right" vertical="center"/>
    </xf>
    <xf numFmtId="3" fontId="23" fillId="7" borderId="130" xfId="1" applyNumberFormat="1" applyFont="1" applyFill="1" applyBorder="1" applyAlignment="1">
      <alignment horizontal="right" vertical="center"/>
    </xf>
    <xf numFmtId="3" fontId="23" fillId="7" borderId="131" xfId="4" applyNumberFormat="1" applyFont="1" applyFill="1" applyBorder="1" applyAlignment="1">
      <alignment horizontal="right" vertical="center"/>
    </xf>
    <xf numFmtId="3" fontId="28" fillId="7" borderId="129" xfId="1" applyNumberFormat="1" applyFont="1" applyFill="1" applyBorder="1" applyAlignment="1">
      <alignment horizontal="right" vertical="center"/>
    </xf>
    <xf numFmtId="3" fontId="29" fillId="7" borderId="124" xfId="1" applyNumberFormat="1" applyFont="1" applyFill="1" applyBorder="1" applyAlignment="1">
      <alignment horizontal="right" vertical="center"/>
    </xf>
    <xf numFmtId="3" fontId="32" fillId="7" borderId="129" xfId="1" applyNumberFormat="1" applyFont="1" applyFill="1" applyBorder="1" applyAlignment="1">
      <alignment horizontal="right" vertical="center"/>
    </xf>
    <xf numFmtId="3" fontId="12" fillId="7" borderId="128" xfId="1" applyNumberFormat="1" applyFont="1" applyFill="1" applyBorder="1" applyAlignment="1">
      <alignment horizontal="right" vertical="center"/>
    </xf>
    <xf numFmtId="3" fontId="9" fillId="7" borderId="128" xfId="1" applyNumberFormat="1" applyFont="1" applyFill="1" applyBorder="1" applyAlignment="1">
      <alignment horizontal="right" vertical="center"/>
    </xf>
    <xf numFmtId="3" fontId="33" fillId="8" borderId="128" xfId="1" applyNumberFormat="1" applyFont="1" applyFill="1" applyBorder="1" applyAlignment="1">
      <alignment horizontal="right" vertical="center"/>
    </xf>
    <xf numFmtId="10" fontId="10" fillId="0" borderId="0" xfId="19" applyNumberFormat="1" applyAlignment="1">
      <alignment vertical="center"/>
    </xf>
    <xf numFmtId="0" fontId="10" fillId="0" borderId="0" xfId="19" applyAlignment="1">
      <alignment vertical="center"/>
    </xf>
    <xf numFmtId="172" fontId="10" fillId="0" borderId="0" xfId="19" applyNumberFormat="1" applyAlignment="1">
      <alignment vertical="center"/>
    </xf>
    <xf numFmtId="3" fontId="60" fillId="0" borderId="0" xfId="17" applyNumberFormat="1" applyFont="1" applyFill="1" applyAlignment="1">
      <alignment vertical="center"/>
    </xf>
    <xf numFmtId="0" fontId="60" fillId="0" borderId="0" xfId="17" applyFont="1" applyFill="1" applyAlignment="1">
      <alignment vertical="center"/>
    </xf>
    <xf numFmtId="0" fontId="9" fillId="0" borderId="39" xfId="16" applyFont="1" applyBorder="1" applyAlignment="1">
      <alignment vertical="center"/>
    </xf>
    <xf numFmtId="0" fontId="39" fillId="0" borderId="32" xfId="16" applyFont="1" applyBorder="1" applyAlignment="1">
      <alignment horizontal="centerContinuous" vertical="center"/>
    </xf>
    <xf numFmtId="0" fontId="39" fillId="0" borderId="33" xfId="16" applyFont="1" applyBorder="1" applyAlignment="1">
      <alignment horizontal="centerContinuous" vertical="center"/>
    </xf>
    <xf numFmtId="0" fontId="39" fillId="0" borderId="26" xfId="16" applyFont="1" applyBorder="1" applyAlignment="1">
      <alignment horizontal="center" vertical="center" wrapText="1"/>
    </xf>
    <xf numFmtId="0" fontId="23" fillId="0" borderId="14" xfId="17" applyFont="1" applyBorder="1" applyAlignment="1">
      <alignment horizontal="center" vertical="center" wrapText="1"/>
    </xf>
    <xf numFmtId="171" fontId="9" fillId="0" borderId="15" xfId="20" applyNumberFormat="1" applyFont="1" applyFill="1" applyBorder="1" applyAlignment="1">
      <alignment horizontal="right" vertical="center" indent="1"/>
    </xf>
    <xf numFmtId="0" fontId="23" fillId="0" borderId="22" xfId="17" applyFont="1" applyBorder="1" applyAlignment="1">
      <alignment horizontal="center" vertical="center" wrapText="1"/>
    </xf>
    <xf numFmtId="10" fontId="9" fillId="0" borderId="23" xfId="20" applyNumberFormat="1" applyFont="1" applyFill="1" applyBorder="1" applyAlignment="1">
      <alignment horizontal="right" vertical="center" indent="1"/>
    </xf>
    <xf numFmtId="171" fontId="9" fillId="0" borderId="21" xfId="20" applyNumberFormat="1" applyFont="1" applyFill="1" applyBorder="1" applyAlignment="1">
      <alignment horizontal="right" vertical="center" indent="1"/>
    </xf>
    <xf numFmtId="0" fontId="23" fillId="0" borderId="25" xfId="17" applyFont="1" applyBorder="1" applyAlignment="1">
      <alignment horizontal="center" vertical="center" wrapText="1"/>
    </xf>
    <xf numFmtId="171" fontId="9" fillId="0" borderId="29" xfId="20" applyNumberFormat="1" applyFont="1" applyFill="1" applyBorder="1" applyAlignment="1">
      <alignment horizontal="right" vertical="center" indent="1"/>
    </xf>
    <xf numFmtId="0" fontId="8" fillId="0" borderId="65" xfId="19" applyFont="1" applyFill="1" applyBorder="1" applyAlignment="1">
      <alignment vertical="center"/>
    </xf>
    <xf numFmtId="10" fontId="17" fillId="0" borderId="41" xfId="20" applyNumberFormat="1" applyFont="1" applyFill="1" applyBorder="1" applyAlignment="1">
      <alignment horizontal="right" vertical="center" indent="1"/>
    </xf>
    <xf numFmtId="171" fontId="17" fillId="0" borderId="99" xfId="20" applyNumberFormat="1" applyFont="1" applyFill="1" applyBorder="1" applyAlignment="1">
      <alignment horizontal="right" vertical="center" indent="1"/>
    </xf>
    <xf numFmtId="0" fontId="17" fillId="0" borderId="1" xfId="17" applyFont="1" applyBorder="1" applyAlignment="1">
      <alignment horizontal="center" vertical="center"/>
    </xf>
    <xf numFmtId="0" fontId="8" fillId="0" borderId="4" xfId="19" applyFont="1" applyBorder="1" applyAlignment="1">
      <alignment horizontal="center" vertical="center" wrapText="1"/>
    </xf>
    <xf numFmtId="0" fontId="23" fillId="0" borderId="0" xfId="18" applyFont="1"/>
    <xf numFmtId="3" fontId="23" fillId="0" borderId="23" xfId="18" applyNumberFormat="1" applyFont="1" applyBorder="1" applyAlignment="1">
      <alignment horizontal="right" vertical="center" indent="1"/>
    </xf>
    <xf numFmtId="10" fontId="23" fillId="0" borderId="23" xfId="18" applyNumberFormat="1" applyFont="1" applyBorder="1" applyAlignment="1">
      <alignment horizontal="right" vertical="center" indent="1"/>
    </xf>
    <xf numFmtId="0" fontId="23" fillId="0" borderId="0" xfId="18" applyFont="1" applyAlignment="1">
      <alignment horizontal="right" vertical="center" indent="1"/>
    </xf>
    <xf numFmtId="3" fontId="23" fillId="6" borderId="23" xfId="18" applyNumberFormat="1" applyFont="1" applyFill="1" applyBorder="1" applyAlignment="1">
      <alignment horizontal="right" vertical="center" indent="1"/>
    </xf>
    <xf numFmtId="3" fontId="23" fillId="0" borderId="58" xfId="18" applyNumberFormat="1" applyFont="1" applyBorder="1" applyAlignment="1">
      <alignment horizontal="right" vertical="center" indent="1"/>
    </xf>
    <xf numFmtId="3" fontId="23" fillId="6" borderId="58" xfId="18" applyNumberFormat="1" applyFont="1" applyFill="1" applyBorder="1" applyAlignment="1">
      <alignment horizontal="right" vertical="center" indent="1"/>
    </xf>
    <xf numFmtId="10" fontId="17" fillId="0" borderId="2" xfId="18" applyNumberFormat="1" applyFont="1" applyBorder="1" applyAlignment="1">
      <alignment horizontal="right" vertical="center" indent="1"/>
    </xf>
    <xf numFmtId="3" fontId="17" fillId="0" borderId="2" xfId="18" applyNumberFormat="1" applyFont="1" applyBorder="1" applyAlignment="1">
      <alignment horizontal="right" vertical="center" indent="1"/>
    </xf>
    <xf numFmtId="0" fontId="23" fillId="0" borderId="44" xfId="18" applyFont="1" applyBorder="1" applyAlignment="1">
      <alignment horizontal="right" vertical="center" indent="1"/>
    </xf>
    <xf numFmtId="3" fontId="17" fillId="0" borderId="2" xfId="18" applyNumberFormat="1" applyFont="1" applyFill="1" applyBorder="1" applyAlignment="1">
      <alignment horizontal="right" vertical="center" indent="1"/>
    </xf>
    <xf numFmtId="3" fontId="23" fillId="0" borderId="2" xfId="18" applyNumberFormat="1" applyFont="1" applyBorder="1" applyAlignment="1">
      <alignment horizontal="right" vertical="center" indent="1"/>
    </xf>
    <xf numFmtId="3" fontId="17" fillId="6" borderId="2" xfId="18" applyNumberFormat="1" applyFont="1" applyFill="1" applyBorder="1" applyAlignment="1">
      <alignment horizontal="right" vertical="center" indent="1"/>
    </xf>
    <xf numFmtId="3" fontId="17" fillId="0" borderId="4" xfId="18" applyNumberFormat="1" applyFont="1" applyBorder="1" applyAlignment="1">
      <alignment horizontal="right" vertical="center" indent="1"/>
    </xf>
    <xf numFmtId="3" fontId="23" fillId="0" borderId="83" xfId="17" applyNumberFormat="1" applyFont="1" applyBorder="1" applyAlignment="1">
      <alignment horizontal="right" vertical="center" wrapText="1" indent="1"/>
    </xf>
    <xf numFmtId="3" fontId="23" fillId="0" borderId="84" xfId="17" applyNumberFormat="1" applyFont="1" applyBorder="1" applyAlignment="1">
      <alignment horizontal="right" vertical="center" wrapText="1" indent="1"/>
    </xf>
    <xf numFmtId="3" fontId="23" fillId="0" borderId="85" xfId="17" applyNumberFormat="1" applyFont="1" applyBorder="1" applyAlignment="1">
      <alignment horizontal="right" vertical="center" wrapText="1" indent="1"/>
    </xf>
    <xf numFmtId="0" fontId="8" fillId="0" borderId="1" xfId="17" applyFont="1" applyBorder="1" applyAlignment="1">
      <alignment vertical="center"/>
    </xf>
    <xf numFmtId="3" fontId="17" fillId="0" borderId="86" xfId="17" applyNumberFormat="1" applyFont="1" applyBorder="1" applyAlignment="1">
      <alignment horizontal="right" vertical="center" indent="1"/>
    </xf>
    <xf numFmtId="10" fontId="9" fillId="0" borderId="58" xfId="20" applyNumberFormat="1" applyFont="1" applyFill="1" applyBorder="1" applyAlignment="1">
      <alignment horizontal="right" vertical="center" indent="1"/>
    </xf>
    <xf numFmtId="0" fontId="8" fillId="0" borderId="1" xfId="17" applyFont="1" applyBorder="1" applyAlignment="1">
      <alignment horizontal="center" vertical="center" wrapText="1"/>
    </xf>
    <xf numFmtId="3" fontId="17" fillId="0" borderId="4" xfId="17" applyNumberFormat="1" applyFont="1" applyBorder="1" applyAlignment="1">
      <alignment horizontal="center" vertical="center" wrapText="1"/>
    </xf>
    <xf numFmtId="0" fontId="17" fillId="0" borderId="27" xfId="17" applyFont="1" applyFill="1" applyBorder="1" applyAlignment="1">
      <alignment horizontal="center" vertical="center" wrapText="1"/>
    </xf>
    <xf numFmtId="49" fontId="68" fillId="0" borderId="66" xfId="17" applyNumberFormat="1" applyFont="1" applyFill="1" applyBorder="1" applyAlignment="1">
      <alignment horizontal="center" vertical="center"/>
    </xf>
    <xf numFmtId="3" fontId="9" fillId="0" borderId="20" xfId="7" applyNumberFormat="1" applyFont="1" applyFill="1" applyBorder="1" applyAlignment="1">
      <alignment horizontal="right" vertical="center" indent="1"/>
    </xf>
    <xf numFmtId="3" fontId="17" fillId="0" borderId="73" xfId="17" applyNumberFormat="1" applyFont="1" applyBorder="1" applyAlignment="1">
      <alignment horizontal="right" vertical="center" indent="1"/>
    </xf>
    <xf numFmtId="49" fontId="68" fillId="0" borderId="22" xfId="17" applyNumberFormat="1" applyFont="1" applyFill="1" applyBorder="1" applyAlignment="1">
      <alignment horizontal="center" vertical="center"/>
    </xf>
    <xf numFmtId="3" fontId="9" fillId="0" borderId="24" xfId="7" applyNumberFormat="1" applyFont="1" applyFill="1" applyBorder="1" applyAlignment="1">
      <alignment horizontal="right" vertical="center" indent="1"/>
    </xf>
    <xf numFmtId="3" fontId="9" fillId="0" borderId="24" xfId="17" applyNumberFormat="1" applyFont="1" applyFill="1" applyBorder="1" applyAlignment="1">
      <alignment horizontal="right" vertical="center" indent="1"/>
    </xf>
    <xf numFmtId="3" fontId="17" fillId="0" borderId="73" xfId="17" quotePrefix="1" applyNumberFormat="1" applyFont="1" applyBorder="1" applyAlignment="1">
      <alignment horizontal="right" vertical="center" indent="1"/>
    </xf>
    <xf numFmtId="49" fontId="68" fillId="0" borderId="57" xfId="17" applyNumberFormat="1" applyFont="1" applyFill="1" applyBorder="1" applyAlignment="1">
      <alignment horizontal="center" vertical="center"/>
    </xf>
    <xf numFmtId="3" fontId="23" fillId="0" borderId="69" xfId="17" applyNumberFormat="1" applyFont="1" applyFill="1" applyBorder="1" applyAlignment="1">
      <alignment horizontal="right" vertical="center" indent="1"/>
    </xf>
    <xf numFmtId="0" fontId="17" fillId="0" borderId="65" xfId="17" applyFont="1" applyBorder="1" applyAlignment="1">
      <alignment vertical="center"/>
    </xf>
    <xf numFmtId="3" fontId="17" fillId="0" borderId="3" xfId="17" applyNumberFormat="1" applyFont="1" applyFill="1" applyBorder="1" applyAlignment="1">
      <alignment horizontal="right" vertical="center" indent="1"/>
    </xf>
    <xf numFmtId="3" fontId="17" fillId="0" borderId="78" xfId="17" applyNumberFormat="1" applyFont="1" applyBorder="1" applyAlignment="1">
      <alignment horizontal="right" vertical="center" indent="1"/>
    </xf>
    <xf numFmtId="0" fontId="17" fillId="0" borderId="27" xfId="18" applyFont="1" applyFill="1" applyBorder="1" applyAlignment="1">
      <alignment horizontal="center" vertical="center" wrapText="1"/>
    </xf>
    <xf numFmtId="49" fontId="68" fillId="0" borderId="66" xfId="18" applyNumberFormat="1" applyFont="1" applyFill="1" applyBorder="1" applyAlignment="1">
      <alignment horizontal="center" vertical="center"/>
    </xf>
    <xf numFmtId="3" fontId="9" fillId="0" borderId="20" xfId="18" applyNumberFormat="1" applyFont="1" applyBorder="1" applyAlignment="1">
      <alignment horizontal="right" vertical="center" indent="1"/>
    </xf>
    <xf numFmtId="3" fontId="8" fillId="0" borderId="13" xfId="18" applyNumberFormat="1" applyFont="1" applyBorder="1" applyAlignment="1">
      <alignment horizontal="right" vertical="center" indent="1"/>
    </xf>
    <xf numFmtId="49" fontId="68" fillId="0" borderId="22" xfId="18" applyNumberFormat="1" applyFont="1" applyFill="1" applyBorder="1" applyAlignment="1">
      <alignment horizontal="center" vertical="center"/>
    </xf>
    <xf numFmtId="3" fontId="9" fillId="0" borderId="24" xfId="18" applyNumberFormat="1" applyFont="1" applyBorder="1" applyAlignment="1">
      <alignment horizontal="right" vertical="center" indent="1"/>
    </xf>
    <xf numFmtId="3" fontId="8" fillId="0" borderId="21" xfId="18" applyNumberFormat="1" applyFont="1" applyBorder="1" applyAlignment="1">
      <alignment horizontal="right" vertical="center" indent="1"/>
    </xf>
    <xf numFmtId="49" fontId="68" fillId="0" borderId="57" xfId="18" applyNumberFormat="1" applyFont="1" applyFill="1" applyBorder="1" applyAlignment="1">
      <alignment horizontal="center" vertical="center"/>
    </xf>
    <xf numFmtId="3" fontId="9" fillId="0" borderId="69" xfId="18" applyNumberFormat="1" applyFont="1" applyBorder="1" applyAlignment="1">
      <alignment horizontal="right" vertical="center" indent="1"/>
    </xf>
    <xf numFmtId="3" fontId="8" fillId="0" borderId="77" xfId="18" applyNumberFormat="1" applyFont="1" applyBorder="1" applyAlignment="1">
      <alignment horizontal="right" vertical="center" indent="1"/>
    </xf>
    <xf numFmtId="0" fontId="17" fillId="0" borderId="1" xfId="18" applyFont="1" applyFill="1" applyBorder="1" applyAlignment="1">
      <alignment horizontal="center" vertical="center"/>
    </xf>
    <xf numFmtId="3" fontId="8" fillId="0" borderId="2" xfId="18" applyNumberFormat="1" applyFont="1" applyFill="1" applyBorder="1" applyAlignment="1">
      <alignment horizontal="right" vertical="center" indent="1"/>
    </xf>
    <xf numFmtId="3" fontId="8" fillId="0" borderId="4" xfId="18" applyNumberFormat="1" applyFont="1" applyFill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3" fillId="0" borderId="91" xfId="17" applyFont="1" applyBorder="1" applyAlignment="1">
      <alignment horizontal="center" vertical="center" wrapText="1"/>
    </xf>
    <xf numFmtId="3" fontId="23" fillId="0" borderId="90" xfId="17" applyNumberFormat="1" applyFont="1" applyBorder="1" applyAlignment="1">
      <alignment horizontal="right" vertical="center" indent="1"/>
    </xf>
    <xf numFmtId="0" fontId="23" fillId="0" borderId="87" xfId="17" applyFont="1" applyBorder="1" applyAlignment="1">
      <alignment horizontal="center" vertical="center" wrapText="1"/>
    </xf>
    <xf numFmtId="3" fontId="23" fillId="0" borderId="88" xfId="17" applyNumberFormat="1" applyFont="1" applyBorder="1" applyAlignment="1">
      <alignment horizontal="right" vertical="center" indent="1"/>
    </xf>
    <xf numFmtId="3" fontId="23" fillId="0" borderId="84" xfId="17" applyNumberFormat="1" applyFont="1" applyBorder="1" applyAlignment="1">
      <alignment horizontal="right" vertical="center" indent="1"/>
    </xf>
    <xf numFmtId="0" fontId="23" fillId="0" borderId="89" xfId="17" applyFont="1" applyBorder="1" applyAlignment="1">
      <alignment horizontal="center" vertical="center" wrapText="1"/>
    </xf>
    <xf numFmtId="3" fontId="23" fillId="0" borderId="85" xfId="17" applyNumberFormat="1" applyFont="1" applyBorder="1" applyAlignment="1">
      <alignment horizontal="right" vertical="center" indent="1"/>
    </xf>
    <xf numFmtId="3" fontId="8" fillId="0" borderId="4" xfId="17" applyNumberFormat="1" applyFont="1" applyBorder="1" applyAlignment="1">
      <alignment horizontal="right" vertical="center" indent="1"/>
    </xf>
    <xf numFmtId="0" fontId="9" fillId="0" borderId="66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3" fontId="9" fillId="0" borderId="67" xfId="0" applyNumberFormat="1" applyFont="1" applyBorder="1" applyAlignment="1">
      <alignment horizontal="right" indent="1"/>
    </xf>
    <xf numFmtId="3" fontId="9" fillId="0" borderId="19" xfId="0" applyNumberFormat="1" applyFont="1" applyBorder="1" applyAlignment="1">
      <alignment horizontal="right" indent="1"/>
    </xf>
    <xf numFmtId="164" fontId="9" fillId="0" borderId="19" xfId="0" applyNumberFormat="1" applyFont="1" applyBorder="1" applyAlignment="1">
      <alignment horizontal="right" indent="1"/>
    </xf>
    <xf numFmtId="164" fontId="9" fillId="0" borderId="20" xfId="0" applyNumberFormat="1" applyFont="1" applyBorder="1" applyAlignment="1">
      <alignment horizontal="right" indent="1"/>
    </xf>
    <xf numFmtId="3" fontId="9" fillId="0" borderId="73" xfId="0" applyNumberFormat="1" applyFont="1" applyBorder="1" applyAlignment="1">
      <alignment horizontal="right" indent="1"/>
    </xf>
    <xf numFmtId="3" fontId="9" fillId="0" borderId="18" xfId="0" applyNumberFormat="1" applyFont="1" applyBorder="1" applyAlignment="1">
      <alignment horizontal="right" indent="1"/>
    </xf>
    <xf numFmtId="3" fontId="9" fillId="0" borderId="23" xfId="0" applyNumberFormat="1" applyFont="1" applyBorder="1" applyAlignment="1">
      <alignment horizontal="right" indent="1"/>
    </xf>
    <xf numFmtId="164" fontId="9" fillId="0" borderId="23" xfId="0" applyNumberFormat="1" applyFont="1" applyBorder="1" applyAlignment="1">
      <alignment horizontal="right" indent="1"/>
    </xf>
    <xf numFmtId="164" fontId="9" fillId="0" borderId="24" xfId="0" applyNumberFormat="1" applyFont="1" applyBorder="1" applyAlignment="1">
      <alignment horizontal="right" indent="1"/>
    </xf>
    <xf numFmtId="3" fontId="9" fillId="0" borderId="74" xfId="0" applyNumberFormat="1" applyFont="1" applyBorder="1" applyAlignment="1">
      <alignment horizontal="right" indent="1"/>
    </xf>
    <xf numFmtId="3" fontId="9" fillId="0" borderId="70" xfId="0" applyNumberFormat="1" applyFont="1" applyBorder="1" applyAlignment="1">
      <alignment horizontal="right" indent="1"/>
    </xf>
    <xf numFmtId="3" fontId="9" fillId="0" borderId="58" xfId="0" applyNumberFormat="1" applyFont="1" applyBorder="1" applyAlignment="1">
      <alignment horizontal="right" indent="1"/>
    </xf>
    <xf numFmtId="164" fontId="9" fillId="0" borderId="58" xfId="0" applyNumberFormat="1" applyFont="1" applyBorder="1" applyAlignment="1">
      <alignment horizontal="right" indent="1"/>
    </xf>
    <xf numFmtId="164" fontId="9" fillId="0" borderId="69" xfId="0" applyNumberFormat="1" applyFont="1" applyBorder="1" applyAlignment="1">
      <alignment horizontal="right" indent="1"/>
    </xf>
    <xf numFmtId="3" fontId="9" fillId="0" borderId="76" xfId="0" applyNumberFormat="1" applyFont="1" applyBorder="1" applyAlignment="1">
      <alignment horizontal="right" indent="1"/>
    </xf>
    <xf numFmtId="0" fontId="9" fillId="0" borderId="65" xfId="17" applyFont="1" applyBorder="1" applyAlignment="1">
      <alignment vertical="center"/>
    </xf>
    <xf numFmtId="10" fontId="9" fillId="0" borderId="0" xfId="19" applyNumberFormat="1" applyFont="1" applyAlignment="1">
      <alignment horizontal="right" indent="1"/>
    </xf>
    <xf numFmtId="171" fontId="9" fillId="0" borderId="0" xfId="19" applyNumberFormat="1" applyFont="1" applyAlignment="1">
      <alignment horizontal="right" indent="1"/>
    </xf>
    <xf numFmtId="0" fontId="10" fillId="0" borderId="0" xfId="19" applyFont="1"/>
    <xf numFmtId="0" fontId="51" fillId="0" borderId="0" xfId="19" applyFont="1"/>
    <xf numFmtId="0" fontId="10" fillId="0" borderId="0" xfId="19" applyFont="1" applyAlignment="1">
      <alignment horizontal="right"/>
    </xf>
    <xf numFmtId="10" fontId="10" fillId="0" borderId="0" xfId="19" applyNumberFormat="1" applyFont="1" applyAlignment="1">
      <alignment vertical="center"/>
    </xf>
    <xf numFmtId="173" fontId="10" fillId="0" borderId="0" xfId="19" applyNumberFormat="1" applyFont="1" applyAlignment="1">
      <alignment vertical="center"/>
    </xf>
    <xf numFmtId="3" fontId="23" fillId="0" borderId="19" xfId="18" applyNumberFormat="1" applyFont="1" applyBorder="1" applyAlignment="1">
      <alignment horizontal="right" vertical="center" indent="1"/>
    </xf>
    <xf numFmtId="10" fontId="23" fillId="0" borderId="19" xfId="18" applyNumberFormat="1" applyFont="1" applyBorder="1" applyAlignment="1">
      <alignment horizontal="right" vertical="center" indent="1"/>
    </xf>
    <xf numFmtId="0" fontId="23" fillId="0" borderId="26" xfId="18" applyFont="1" applyBorder="1" applyAlignment="1">
      <alignment horizontal="center"/>
    </xf>
    <xf numFmtId="3" fontId="23" fillId="6" borderId="19" xfId="18" applyNumberFormat="1" applyFont="1" applyFill="1" applyBorder="1" applyAlignment="1">
      <alignment horizontal="right" vertical="center" indent="1"/>
    </xf>
    <xf numFmtId="0" fontId="17" fillId="0" borderId="0" xfId="18" applyFont="1"/>
    <xf numFmtId="3" fontId="17" fillId="0" borderId="0" xfId="18" applyNumberFormat="1" applyFont="1"/>
    <xf numFmtId="0" fontId="44" fillId="0" borderId="0" xfId="18" applyFont="1"/>
    <xf numFmtId="0" fontId="23" fillId="0" borderId="132" xfId="5" applyFont="1" applyBorder="1" applyAlignment="1">
      <alignment horizontal="center" vertical="center" wrapText="1"/>
    </xf>
    <xf numFmtId="3" fontId="9" fillId="0" borderId="19" xfId="16" applyNumberFormat="1" applyFont="1" applyBorder="1" applyAlignment="1">
      <alignment horizontal="right" vertical="center" indent="1"/>
    </xf>
    <xf numFmtId="3" fontId="9" fillId="0" borderId="13" xfId="16" applyNumberFormat="1" applyFont="1" applyFill="1" applyBorder="1" applyAlignment="1">
      <alignment horizontal="right" vertical="center" indent="1"/>
    </xf>
    <xf numFmtId="0" fontId="23" fillId="0" borderId="133" xfId="5" applyFont="1" applyBorder="1" applyAlignment="1">
      <alignment horizontal="center" vertical="center" wrapText="1"/>
    </xf>
    <xf numFmtId="0" fontId="23" fillId="0" borderId="134" xfId="5" applyFont="1" applyBorder="1" applyAlignment="1">
      <alignment horizontal="center" vertical="center" wrapText="1"/>
    </xf>
    <xf numFmtId="3" fontId="9" fillId="0" borderId="64" xfId="16" applyNumberFormat="1" applyFont="1" applyBorder="1" applyAlignment="1">
      <alignment horizontal="right" vertical="center" indent="1"/>
    </xf>
    <xf numFmtId="3" fontId="8" fillId="0" borderId="2" xfId="16" applyNumberFormat="1" applyFont="1" applyBorder="1" applyAlignment="1">
      <alignment horizontal="right" vertical="center" indent="1"/>
    </xf>
    <xf numFmtId="3" fontId="8" fillId="0" borderId="4" xfId="16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vertical="center"/>
    </xf>
    <xf numFmtId="0" fontId="9" fillId="0" borderId="65" xfId="16" applyFont="1" applyBorder="1" applyAlignment="1">
      <alignment vertical="center"/>
    </xf>
    <xf numFmtId="0" fontId="9" fillId="0" borderId="44" xfId="16" applyFont="1" applyBorder="1" applyAlignment="1">
      <alignment vertical="center"/>
    </xf>
    <xf numFmtId="4" fontId="9" fillId="0" borderId="82" xfId="16" applyNumberFormat="1" applyFont="1" applyBorder="1" applyAlignment="1">
      <alignment horizontal="right" vertical="center" indent="1"/>
    </xf>
    <xf numFmtId="3" fontId="9" fillId="0" borderId="78" xfId="16" applyNumberFormat="1" applyFont="1" applyBorder="1" applyAlignment="1">
      <alignment horizontal="right" vertical="center" indent="1"/>
    </xf>
    <xf numFmtId="3" fontId="9" fillId="0" borderId="78" xfId="16" applyNumberFormat="1" applyFont="1" applyFill="1" applyBorder="1" applyAlignment="1">
      <alignment horizontal="right" vertical="center" indent="1"/>
    </xf>
    <xf numFmtId="0" fontId="9" fillId="0" borderId="1" xfId="0" applyFont="1" applyBorder="1" applyAlignment="1"/>
    <xf numFmtId="0" fontId="8" fillId="0" borderId="4" xfId="0" applyFont="1" applyBorder="1" applyAlignment="1">
      <alignment horizontal="left" vertical="center" indent="1"/>
    </xf>
    <xf numFmtId="0" fontId="23" fillId="0" borderId="24" xfId="17" applyFont="1" applyBorder="1" applyAlignment="1"/>
    <xf numFmtId="0" fontId="23" fillId="0" borderId="17" xfId="17" applyFont="1" applyBorder="1" applyAlignment="1"/>
    <xf numFmtId="0" fontId="23" fillId="0" borderId="18" xfId="17" applyFont="1" applyBorder="1" applyAlignment="1"/>
    <xf numFmtId="3" fontId="23" fillId="0" borderId="23" xfId="17" applyNumberFormat="1" applyFont="1" applyBorder="1"/>
    <xf numFmtId="169" fontId="23" fillId="0" borderId="23" xfId="17" applyNumberFormat="1" applyFont="1" applyBorder="1" applyAlignment="1">
      <alignment horizontal="right"/>
    </xf>
    <xf numFmtId="3" fontId="8" fillId="0" borderId="62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164" fontId="8" fillId="0" borderId="2" xfId="0" applyNumberFormat="1" applyFont="1" applyBorder="1" applyAlignment="1">
      <alignment horizontal="right" indent="1"/>
    </xf>
    <xf numFmtId="164" fontId="8" fillId="0" borderId="3" xfId="0" applyNumberFormat="1" applyFont="1" applyBorder="1" applyAlignment="1">
      <alignment horizontal="right" indent="1"/>
    </xf>
    <xf numFmtId="3" fontId="8" fillId="0" borderId="78" xfId="0" applyNumberFormat="1" applyFont="1" applyBorder="1" applyAlignment="1">
      <alignment horizontal="right" indent="1"/>
    </xf>
    <xf numFmtId="2" fontId="8" fillId="0" borderId="79" xfId="0" applyNumberFormat="1" applyFont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/>
    </xf>
    <xf numFmtId="49" fontId="8" fillId="0" borderId="26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7" fillId="0" borderId="65" xfId="18" applyFont="1" applyBorder="1" applyAlignment="1">
      <alignment vertical="center"/>
    </xf>
    <xf numFmtId="3" fontId="8" fillId="0" borderId="80" xfId="0" applyNumberFormat="1" applyFont="1" applyFill="1" applyBorder="1" applyAlignment="1">
      <alignment horizontal="right" indent="1"/>
    </xf>
    <xf numFmtId="0" fontId="9" fillId="0" borderId="13" xfId="16" applyFont="1" applyBorder="1" applyAlignment="1">
      <alignment horizontal="left" vertical="center" indent="1"/>
    </xf>
    <xf numFmtId="0" fontId="9" fillId="0" borderId="21" xfId="16" applyFont="1" applyBorder="1" applyAlignment="1">
      <alignment horizontal="left" vertical="center" indent="1"/>
    </xf>
    <xf numFmtId="0" fontId="9" fillId="0" borderId="77" xfId="16" applyFont="1" applyBorder="1" applyAlignment="1">
      <alignment horizontal="left" vertical="center" indent="1"/>
    </xf>
    <xf numFmtId="3" fontId="23" fillId="0" borderId="135" xfId="17" applyNumberFormat="1" applyFont="1" applyBorder="1" applyAlignment="1">
      <alignment horizontal="right" vertical="center" wrapText="1" indent="1"/>
    </xf>
    <xf numFmtId="3" fontId="23" fillId="0" borderId="136" xfId="17" applyNumberFormat="1" applyFont="1" applyBorder="1" applyAlignment="1">
      <alignment horizontal="right" vertical="center" wrapText="1" indent="1"/>
    </xf>
    <xf numFmtId="3" fontId="23" fillId="0" borderId="137" xfId="17" applyNumberFormat="1" applyFont="1" applyBorder="1" applyAlignment="1">
      <alignment horizontal="right" vertical="center" wrapText="1" indent="1"/>
    </xf>
    <xf numFmtId="3" fontId="8" fillId="0" borderId="62" xfId="17" applyNumberFormat="1" applyFont="1" applyBorder="1" applyAlignment="1">
      <alignment horizontal="right" vertical="center" indent="1"/>
    </xf>
    <xf numFmtId="0" fontId="23" fillId="0" borderId="138" xfId="17" applyFont="1" applyBorder="1" applyAlignment="1">
      <alignment horizontal="left" vertical="center" wrapText="1" indent="1"/>
    </xf>
    <xf numFmtId="0" fontId="23" fillId="0" borderId="84" xfId="17" applyFont="1" applyBorder="1" applyAlignment="1">
      <alignment horizontal="left" vertical="center" wrapText="1" indent="1"/>
    </xf>
    <xf numFmtId="0" fontId="23" fillId="0" borderId="85" xfId="17" applyFont="1" applyBorder="1" applyAlignment="1">
      <alignment horizontal="left" vertical="center" wrapText="1" indent="1"/>
    </xf>
    <xf numFmtId="0" fontId="39" fillId="0" borderId="42" xfId="16" applyFont="1" applyBorder="1" applyAlignment="1">
      <alignment horizontal="center" vertical="center" wrapText="1"/>
    </xf>
    <xf numFmtId="3" fontId="9" fillId="0" borderId="67" xfId="16" applyNumberFormat="1" applyFont="1" applyBorder="1" applyAlignment="1">
      <alignment horizontal="right" vertical="center" indent="1"/>
    </xf>
    <xf numFmtId="3" fontId="9" fillId="0" borderId="37" xfId="16" applyNumberFormat="1" applyFont="1" applyBorder="1" applyAlignment="1">
      <alignment horizontal="right" vertical="center" indent="1"/>
    </xf>
    <xf numFmtId="3" fontId="8" fillId="0" borderId="62" xfId="16" applyNumberFormat="1" applyFont="1" applyBorder="1" applyAlignment="1">
      <alignment horizontal="right" vertical="center" indent="1"/>
    </xf>
    <xf numFmtId="0" fontId="8" fillId="0" borderId="4" xfId="16" applyFont="1" applyBorder="1" applyAlignment="1">
      <alignment horizontal="left" vertical="center" indent="1"/>
    </xf>
    <xf numFmtId="0" fontId="8" fillId="0" borderId="4" xfId="17" applyFont="1" applyBorder="1" applyAlignment="1">
      <alignment horizontal="left" vertical="center" indent="1"/>
    </xf>
    <xf numFmtId="0" fontId="8" fillId="0" borderId="82" xfId="0" applyFont="1" applyBorder="1" applyAlignment="1">
      <alignment horizontal="right" vertical="center" wrapText="1" indent="1"/>
    </xf>
    <xf numFmtId="3" fontId="23" fillId="0" borderId="55" xfId="0" applyNumberFormat="1" applyFont="1" applyBorder="1" applyAlignment="1">
      <alignment horizontal="right" vertical="center" indent="1"/>
    </xf>
    <xf numFmtId="3" fontId="23" fillId="2" borderId="55" xfId="0" applyNumberFormat="1" applyFont="1" applyFill="1" applyBorder="1" applyAlignment="1">
      <alignment horizontal="right" vertical="center" indent="1"/>
    </xf>
    <xf numFmtId="3" fontId="23" fillId="2" borderId="115" xfId="0" applyNumberFormat="1" applyFont="1" applyFill="1" applyBorder="1" applyAlignment="1">
      <alignment horizontal="right" vertical="center" indent="1"/>
    </xf>
    <xf numFmtId="3" fontId="8" fillId="2" borderId="82" xfId="0" applyNumberFormat="1" applyFont="1" applyFill="1" applyBorder="1" applyAlignment="1">
      <alignment horizontal="right" vertical="center" indent="1"/>
    </xf>
    <xf numFmtId="0" fontId="8" fillId="0" borderId="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indent="1"/>
    </xf>
    <xf numFmtId="0" fontId="9" fillId="2" borderId="21" xfId="0" applyFont="1" applyFill="1" applyBorder="1" applyAlignment="1">
      <alignment horizontal="left" vertical="center" indent="1"/>
    </xf>
    <xf numFmtId="0" fontId="68" fillId="0" borderId="77" xfId="18" applyFont="1" applyFill="1" applyBorder="1" applyAlignment="1">
      <alignment horizontal="left" vertical="center" indent="1"/>
    </xf>
    <xf numFmtId="0" fontId="17" fillId="0" borderId="42" xfId="18" applyFont="1" applyFill="1" applyBorder="1" applyAlignment="1">
      <alignment horizontal="center" vertical="center" wrapText="1"/>
    </xf>
    <xf numFmtId="3" fontId="9" fillId="0" borderId="67" xfId="18" applyNumberFormat="1" applyFont="1" applyBorder="1" applyAlignment="1">
      <alignment horizontal="right" vertical="center" indent="1"/>
    </xf>
    <xf numFmtId="3" fontId="9" fillId="0" borderId="18" xfId="18" applyNumberFormat="1" applyFont="1" applyBorder="1" applyAlignment="1">
      <alignment horizontal="right" vertical="center" indent="1"/>
    </xf>
    <xf numFmtId="3" fontId="9" fillId="0" borderId="70" xfId="18" applyNumberFormat="1" applyFont="1" applyBorder="1" applyAlignment="1">
      <alignment horizontal="right" vertical="center" indent="1"/>
    </xf>
    <xf numFmtId="3" fontId="8" fillId="0" borderId="62" xfId="18" applyNumberFormat="1" applyFont="1" applyFill="1" applyBorder="1" applyAlignment="1">
      <alignment horizontal="right" vertical="center" indent="1"/>
    </xf>
    <xf numFmtId="0" fontId="68" fillId="0" borderId="13" xfId="18" applyFont="1" applyFill="1" applyBorder="1" applyAlignment="1">
      <alignment horizontal="left" vertical="center" indent="1"/>
    </xf>
    <xf numFmtId="0" fontId="68" fillId="0" borderId="21" xfId="18" applyFont="1" applyFill="1" applyBorder="1" applyAlignment="1">
      <alignment horizontal="left" vertical="center" indent="1"/>
    </xf>
    <xf numFmtId="0" fontId="69" fillId="0" borderId="4" xfId="18" applyFont="1" applyFill="1" applyBorder="1" applyAlignment="1">
      <alignment horizontal="left" vertical="center" indent="1"/>
    </xf>
    <xf numFmtId="0" fontId="17" fillId="0" borderId="42" xfId="17" applyFont="1" applyFill="1" applyBorder="1" applyAlignment="1">
      <alignment horizontal="center" vertical="center" wrapText="1"/>
    </xf>
    <xf numFmtId="3" fontId="9" fillId="0" borderId="67" xfId="7" applyNumberFormat="1" applyFont="1" applyFill="1" applyBorder="1" applyAlignment="1">
      <alignment horizontal="right" vertical="center" indent="1"/>
    </xf>
    <xf numFmtId="3" fontId="9" fillId="0" borderId="18" xfId="7" applyNumberFormat="1" applyFont="1" applyFill="1" applyBorder="1" applyAlignment="1">
      <alignment horizontal="right" vertical="center" indent="1"/>
    </xf>
    <xf numFmtId="3" fontId="9" fillId="0" borderId="18" xfId="17" applyNumberFormat="1" applyFont="1" applyFill="1" applyBorder="1" applyAlignment="1">
      <alignment horizontal="right" vertical="center" indent="1"/>
    </xf>
    <xf numFmtId="3" fontId="23" fillId="0" borderId="70" xfId="17" applyNumberFormat="1" applyFont="1" applyFill="1" applyBorder="1" applyAlignment="1">
      <alignment horizontal="right" vertical="center" indent="1"/>
    </xf>
    <xf numFmtId="3" fontId="17" fillId="0" borderId="62" xfId="17" applyNumberFormat="1" applyFont="1" applyFill="1" applyBorder="1" applyAlignment="1">
      <alignment horizontal="right" vertical="center" indent="1"/>
    </xf>
    <xf numFmtId="0" fontId="68" fillId="0" borderId="13" xfId="17" applyFont="1" applyFill="1" applyBorder="1" applyAlignment="1">
      <alignment horizontal="left" vertical="center" indent="1"/>
    </xf>
    <xf numFmtId="0" fontId="68" fillId="0" borderId="21" xfId="17" applyFont="1" applyFill="1" applyBorder="1" applyAlignment="1">
      <alignment horizontal="left" vertical="center" indent="1"/>
    </xf>
    <xf numFmtId="0" fontId="68" fillId="0" borderId="77" xfId="17" applyFont="1" applyFill="1" applyBorder="1" applyAlignment="1">
      <alignment horizontal="left" vertical="center" indent="1"/>
    </xf>
    <xf numFmtId="0" fontId="17" fillId="0" borderId="4" xfId="17" applyFont="1" applyBorder="1" applyAlignment="1">
      <alignment horizontal="left" vertical="center" indent="1"/>
    </xf>
    <xf numFmtId="0" fontId="8" fillId="0" borderId="62" xfId="17" applyFont="1" applyBorder="1" applyAlignment="1">
      <alignment horizontal="center" vertical="center" wrapText="1"/>
    </xf>
    <xf numFmtId="3" fontId="23" fillId="0" borderId="139" xfId="17" applyNumberFormat="1" applyFont="1" applyBorder="1" applyAlignment="1">
      <alignment horizontal="right" vertical="center" wrapText="1" indent="1"/>
    </xf>
    <xf numFmtId="0" fontId="8" fillId="0" borderId="4" xfId="17" applyFont="1" applyBorder="1" applyAlignment="1">
      <alignment horizontal="center" vertical="center" wrapText="1"/>
    </xf>
    <xf numFmtId="0" fontId="23" fillId="0" borderId="140" xfId="17" applyFont="1" applyBorder="1" applyAlignment="1">
      <alignment horizontal="center" vertical="center" wrapText="1"/>
    </xf>
    <xf numFmtId="0" fontId="23" fillId="0" borderId="141" xfId="17" applyFont="1" applyBorder="1" applyAlignment="1">
      <alignment horizontal="left" vertical="center" wrapText="1" indent="1"/>
    </xf>
    <xf numFmtId="0" fontId="23" fillId="0" borderId="42" xfId="18" applyFont="1" applyBorder="1" applyAlignment="1">
      <alignment horizontal="center"/>
    </xf>
    <xf numFmtId="10" fontId="9" fillId="0" borderId="67" xfId="20" applyNumberFormat="1" applyFont="1" applyFill="1" applyBorder="1" applyAlignment="1">
      <alignment horizontal="right" vertical="center" indent="1"/>
    </xf>
    <xf numFmtId="10" fontId="9" fillId="0" borderId="18" xfId="20" applyNumberFormat="1" applyFont="1" applyFill="1" applyBorder="1" applyAlignment="1">
      <alignment horizontal="right" vertical="center" indent="1"/>
    </xf>
    <xf numFmtId="10" fontId="9" fillId="0" borderId="70" xfId="20" applyNumberFormat="1" applyFont="1" applyFill="1" applyBorder="1" applyAlignment="1">
      <alignment horizontal="right" vertical="center" indent="1"/>
    </xf>
    <xf numFmtId="10" fontId="17" fillId="0" borderId="62" xfId="18" applyNumberFormat="1" applyFont="1" applyBorder="1" applyAlignment="1">
      <alignment horizontal="right" vertical="center" indent="1"/>
    </xf>
    <xf numFmtId="0" fontId="23" fillId="0" borderId="60" xfId="18" applyFont="1" applyBorder="1" applyAlignment="1">
      <alignment horizontal="center" vertical="center"/>
    </xf>
    <xf numFmtId="0" fontId="23" fillId="0" borderId="16" xfId="18" applyFont="1" applyBorder="1" applyAlignment="1">
      <alignment horizontal="center" vertical="center"/>
    </xf>
    <xf numFmtId="0" fontId="23" fillId="0" borderId="81" xfId="18" applyFont="1" applyBorder="1" applyAlignment="1">
      <alignment horizontal="center" vertical="center"/>
    </xf>
    <xf numFmtId="3" fontId="17" fillId="0" borderId="15" xfId="18" applyNumberFormat="1" applyFont="1" applyBorder="1" applyAlignment="1">
      <alignment horizontal="right" vertical="center" indent="1"/>
    </xf>
    <xf numFmtId="3" fontId="17" fillId="0" borderId="21" xfId="18" applyNumberFormat="1" applyFont="1" applyBorder="1" applyAlignment="1">
      <alignment horizontal="right" vertical="center" indent="1"/>
    </xf>
    <xf numFmtId="3" fontId="17" fillId="0" borderId="77" xfId="18" applyNumberFormat="1" applyFont="1" applyBorder="1" applyAlignment="1">
      <alignment horizontal="right" vertical="center" indent="1"/>
    </xf>
    <xf numFmtId="0" fontId="17" fillId="0" borderId="4" xfId="18" applyFont="1" applyBorder="1" applyAlignment="1">
      <alignment horizontal="left" vertical="center" indent="1"/>
    </xf>
    <xf numFmtId="0" fontId="8" fillId="0" borderId="62" xfId="19" applyFont="1" applyBorder="1" applyAlignment="1">
      <alignment horizontal="center" vertical="center" wrapText="1"/>
    </xf>
    <xf numFmtId="10" fontId="9" fillId="0" borderId="10" xfId="20" applyNumberFormat="1" applyFont="1" applyFill="1" applyBorder="1" applyAlignment="1">
      <alignment horizontal="right" vertical="center" indent="1"/>
    </xf>
    <xf numFmtId="10" fontId="9" fillId="0" borderId="42" xfId="20" applyNumberFormat="1" applyFont="1" applyFill="1" applyBorder="1" applyAlignment="1">
      <alignment horizontal="right" vertical="center" indent="1"/>
    </xf>
    <xf numFmtId="0" fontId="8" fillId="0" borderId="4" xfId="7" applyFont="1" applyFill="1" applyBorder="1" applyAlignment="1">
      <alignment horizontal="center" vertical="center" wrapText="1"/>
    </xf>
    <xf numFmtId="0" fontId="9" fillId="0" borderId="15" xfId="7" applyFont="1" applyFill="1" applyBorder="1" applyAlignment="1">
      <alignment horizontal="left" vertical="center" indent="1"/>
    </xf>
    <xf numFmtId="0" fontId="23" fillId="0" borderId="21" xfId="7" applyFont="1" applyFill="1" applyBorder="1" applyAlignment="1">
      <alignment horizontal="left" vertical="center" indent="1"/>
    </xf>
    <xf numFmtId="0" fontId="9" fillId="0" borderId="21" xfId="7" applyFont="1" applyFill="1" applyBorder="1" applyAlignment="1">
      <alignment horizontal="left" vertical="center" indent="1"/>
    </xf>
    <xf numFmtId="0" fontId="9" fillId="0" borderId="29" xfId="7" applyFont="1" applyFill="1" applyBorder="1" applyAlignment="1">
      <alignment horizontal="left" vertical="center" indent="1"/>
    </xf>
    <xf numFmtId="0" fontId="8" fillId="0" borderId="82" xfId="19" applyFont="1" applyBorder="1" applyAlignment="1">
      <alignment horizontal="left" vertical="center" indent="1"/>
    </xf>
    <xf numFmtId="3" fontId="49" fillId="0" borderId="0" xfId="18" applyNumberFormat="1" applyFont="1" applyFill="1" applyAlignment="1">
      <alignment horizontal="right" vertical="center" indent="1"/>
    </xf>
    <xf numFmtId="0" fontId="48" fillId="0" borderId="0" xfId="18" applyFont="1" applyFill="1" applyAlignment="1">
      <alignment horizontal="right" vertical="center" indent="1"/>
    </xf>
    <xf numFmtId="0" fontId="9" fillId="0" borderId="0" xfId="4" applyFont="1" applyFill="1" applyAlignment="1">
      <alignment horizontal="left" vertical="center" wrapText="1"/>
    </xf>
    <xf numFmtId="0" fontId="8" fillId="2" borderId="16" xfId="2" applyFont="1" applyFill="1" applyBorder="1" applyAlignment="1">
      <alignment horizontal="left" vertical="center" wrapText="1"/>
    </xf>
    <xf numFmtId="0" fontId="8" fillId="2" borderId="17" xfId="2" applyFont="1" applyFill="1" applyBorder="1" applyAlignment="1">
      <alignment horizontal="left" vertical="center" wrapText="1"/>
    </xf>
    <xf numFmtId="0" fontId="8" fillId="2" borderId="18" xfId="2" applyFont="1" applyFill="1" applyBorder="1" applyAlignment="1">
      <alignment horizontal="left" vertical="center" wrapText="1"/>
    </xf>
    <xf numFmtId="0" fontId="8" fillId="2" borderId="22" xfId="1" applyFont="1" applyFill="1" applyBorder="1" applyAlignment="1">
      <alignment horizontal="left" vertical="center" wrapText="1"/>
    </xf>
    <xf numFmtId="0" fontId="8" fillId="2" borderId="23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8" fillId="2" borderId="14" xfId="2" applyFont="1" applyFill="1" applyBorder="1" applyAlignment="1">
      <alignment horizontal="left" vertical="center" wrapText="1"/>
    </xf>
    <xf numFmtId="0" fontId="8" fillId="2" borderId="11" xfId="2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textRotation="90" wrapText="1"/>
    </xf>
    <xf numFmtId="0" fontId="8" fillId="0" borderId="34" xfId="1" applyFont="1" applyFill="1" applyBorder="1" applyAlignment="1">
      <alignment horizontal="center" vertical="center" textRotation="90" wrapText="1"/>
    </xf>
    <xf numFmtId="0" fontId="8" fillId="0" borderId="30" xfId="1" applyFont="1" applyFill="1" applyBorder="1" applyAlignment="1">
      <alignment horizontal="center" vertical="center" textRotation="90" wrapText="1"/>
    </xf>
    <xf numFmtId="0" fontId="8" fillId="0" borderId="35" xfId="1" applyFont="1" applyFill="1" applyBorder="1" applyAlignment="1">
      <alignment horizontal="center" vertical="center" textRotation="90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49" fontId="8" fillId="0" borderId="23" xfId="1" applyNumberFormat="1" applyFont="1" applyFill="1" applyBorder="1" applyAlignment="1">
      <alignment horizontal="center" vertical="center" wrapText="1"/>
    </xf>
    <xf numFmtId="49" fontId="8" fillId="0" borderId="26" xfId="1" applyNumberFormat="1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left" vertical="center" wrapText="1"/>
    </xf>
    <xf numFmtId="0" fontId="8" fillId="2" borderId="26" xfId="2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left" vertical="center" wrapText="1"/>
    </xf>
    <xf numFmtId="0" fontId="8" fillId="2" borderId="26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left" vertical="center"/>
    </xf>
    <xf numFmtId="10" fontId="15" fillId="0" borderId="33" xfId="1" applyNumberFormat="1" applyFont="1" applyFill="1" applyBorder="1" applyAlignment="1">
      <alignment horizontal="center" vertical="center" wrapText="1"/>
    </xf>
    <xf numFmtId="10" fontId="15" fillId="0" borderId="37" xfId="1" applyNumberFormat="1" applyFont="1" applyFill="1" applyBorder="1" applyAlignment="1">
      <alignment horizontal="center" vertical="center" wrapText="1"/>
    </xf>
    <xf numFmtId="10" fontId="15" fillId="0" borderId="41" xfId="1" applyNumberFormat="1" applyFont="1" applyFill="1" applyBorder="1" applyAlignment="1">
      <alignment horizontal="center" vertical="center" wrapText="1"/>
    </xf>
    <xf numFmtId="49" fontId="15" fillId="0" borderId="15" xfId="1" applyNumberFormat="1" applyFont="1" applyFill="1" applyBorder="1" applyAlignment="1">
      <alignment horizontal="center" vertical="center" wrapText="1"/>
    </xf>
    <xf numFmtId="49" fontId="15" fillId="0" borderId="21" xfId="1" applyNumberFormat="1" applyFont="1" applyFill="1" applyBorder="1" applyAlignment="1">
      <alignment horizontal="center" vertical="center" wrapText="1"/>
    </xf>
    <xf numFmtId="49" fontId="15" fillId="0" borderId="29" xfId="1" applyNumberFormat="1" applyFont="1" applyFill="1" applyBorder="1" applyAlignment="1">
      <alignment horizontal="center" vertical="center" wrapText="1"/>
    </xf>
    <xf numFmtId="1" fontId="8" fillId="0" borderId="3" xfId="1" applyNumberFormat="1" applyFont="1" applyFill="1" applyBorder="1" applyAlignment="1">
      <alignment horizontal="center" vertical="center"/>
    </xf>
    <xf numFmtId="1" fontId="8" fillId="0" borderId="44" xfId="1" applyNumberFormat="1" applyFont="1" applyFill="1" applyBorder="1" applyAlignment="1">
      <alignment horizontal="center" vertical="center"/>
    </xf>
    <xf numFmtId="49" fontId="15" fillId="0" borderId="7" xfId="1" applyNumberFormat="1" applyFont="1" applyFill="1" applyBorder="1" applyAlignment="1">
      <alignment horizontal="center" vertical="center" wrapText="1"/>
    </xf>
    <xf numFmtId="49" fontId="15" fillId="0" borderId="90" xfId="1" applyNumberFormat="1" applyFont="1" applyFill="1" applyBorder="1" applyAlignment="1">
      <alignment horizontal="center" vertical="center" wrapText="1"/>
    </xf>
    <xf numFmtId="49" fontId="15" fillId="0" borderId="48" xfId="1" applyNumberFormat="1" applyFont="1" applyFill="1" applyBorder="1" applyAlignment="1">
      <alignment horizontal="center" vertical="center" wrapText="1"/>
    </xf>
    <xf numFmtId="49" fontId="17" fillId="7" borderId="123" xfId="1" applyNumberFormat="1" applyFont="1" applyFill="1" applyBorder="1" applyAlignment="1">
      <alignment horizontal="center" vertical="center" wrapText="1"/>
    </xf>
    <xf numFmtId="49" fontId="17" fillId="7" borderId="124" xfId="1" applyNumberFormat="1" applyFont="1" applyFill="1" applyBorder="1" applyAlignment="1">
      <alignment horizontal="center" vertical="center" wrapText="1"/>
    </xf>
    <xf numFmtId="49" fontId="17" fillId="7" borderId="125" xfId="1" applyNumberFormat="1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49" fontId="17" fillId="3" borderId="93" xfId="1" applyNumberFormat="1" applyFont="1" applyFill="1" applyBorder="1" applyAlignment="1">
      <alignment horizontal="center" vertical="center" wrapText="1"/>
    </xf>
    <xf numFmtId="49" fontId="17" fillId="3" borderId="49" xfId="1" applyNumberFormat="1" applyFont="1" applyFill="1" applyBorder="1" applyAlignment="1">
      <alignment horizontal="center" vertical="center" wrapText="1"/>
    </xf>
    <xf numFmtId="49" fontId="17" fillId="3" borderId="47" xfId="1" applyNumberFormat="1" applyFont="1" applyFill="1" applyBorder="1" applyAlignment="1">
      <alignment horizontal="center" vertical="center" wrapText="1"/>
    </xf>
    <xf numFmtId="10" fontId="15" fillId="0" borderId="94" xfId="1" applyNumberFormat="1" applyFont="1" applyFill="1" applyBorder="1" applyAlignment="1">
      <alignment horizontal="center" vertical="center" wrapText="1"/>
    </xf>
    <xf numFmtId="10" fontId="15" fillId="0" borderId="96" xfId="1" applyNumberFormat="1" applyFont="1" applyFill="1" applyBorder="1" applyAlignment="1">
      <alignment horizontal="center" vertical="center" wrapText="1"/>
    </xf>
    <xf numFmtId="10" fontId="15" fillId="0" borderId="98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/>
    </xf>
    <xf numFmtId="0" fontId="21" fillId="2" borderId="3" xfId="1" applyFont="1" applyFill="1" applyBorder="1" applyAlignment="1">
      <alignment horizontal="left" vertical="center"/>
    </xf>
    <xf numFmtId="0" fontId="21" fillId="2" borderId="44" xfId="1" applyFont="1" applyFill="1" applyBorder="1" applyAlignment="1">
      <alignment horizontal="left" vertical="center"/>
    </xf>
    <xf numFmtId="10" fontId="15" fillId="0" borderId="6" xfId="1" applyNumberFormat="1" applyFont="1" applyFill="1" applyBorder="1" applyAlignment="1">
      <alignment horizontal="center" vertical="center" wrapText="1"/>
    </xf>
    <xf numFmtId="10" fontId="15" fillId="0" borderId="64" xfId="1" applyNumberFormat="1" applyFont="1" applyFill="1" applyBorder="1" applyAlignment="1">
      <alignment horizontal="center" vertical="center" wrapText="1"/>
    </xf>
    <xf numFmtId="10" fontId="15" fillId="0" borderId="45" xfId="1" applyNumberFormat="1" applyFont="1" applyFill="1" applyBorder="1" applyAlignment="1">
      <alignment horizontal="center" vertical="center" wrapText="1"/>
    </xf>
    <xf numFmtId="49" fontId="15" fillId="0" borderId="92" xfId="1" applyNumberFormat="1" applyFont="1" applyFill="1" applyBorder="1" applyAlignment="1">
      <alignment horizontal="center" vertical="center" wrapText="1"/>
    </xf>
    <xf numFmtId="49" fontId="15" fillId="0" borderId="95" xfId="1" applyNumberFormat="1" applyFont="1" applyFill="1" applyBorder="1" applyAlignment="1">
      <alignment horizontal="center" vertical="center" wrapText="1"/>
    </xf>
    <xf numFmtId="49" fontId="15" fillId="0" borderId="97" xfId="1" applyNumberFormat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/>
    </xf>
    <xf numFmtId="0" fontId="9" fillId="0" borderId="27" xfId="1" applyFont="1" applyFill="1" applyBorder="1" applyAlignment="1">
      <alignment horizontal="left" vertical="center"/>
    </xf>
    <xf numFmtId="0" fontId="9" fillId="0" borderId="52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1" fillId="2" borderId="24" xfId="1" applyFont="1" applyFill="1" applyBorder="1" applyAlignment="1">
      <alignment horizontal="left" vertical="center"/>
    </xf>
    <xf numFmtId="0" fontId="11" fillId="2" borderId="17" xfId="1" applyFont="1" applyFill="1" applyBorder="1" applyAlignment="1">
      <alignment horizontal="left" vertical="center"/>
    </xf>
    <xf numFmtId="0" fontId="21" fillId="2" borderId="46" xfId="1" applyFont="1" applyFill="1" applyBorder="1" applyAlignment="1">
      <alignment horizontal="left" vertical="center"/>
    </xf>
    <xf numFmtId="0" fontId="21" fillId="2" borderId="40" xfId="1" applyFont="1" applyFill="1" applyBorder="1" applyAlignment="1">
      <alignment horizontal="left" vertical="center"/>
    </xf>
    <xf numFmtId="0" fontId="14" fillId="0" borderId="24" xfId="1" applyFont="1" applyFill="1" applyBorder="1" applyAlignment="1">
      <alignment horizontal="left" vertical="center"/>
    </xf>
    <xf numFmtId="0" fontId="14" fillId="0" borderId="17" xfId="1" applyFont="1" applyFill="1" applyBorder="1" applyAlignment="1">
      <alignment horizontal="left" vertical="center"/>
    </xf>
    <xf numFmtId="0" fontId="14" fillId="0" borderId="18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61" fillId="9" borderId="6" xfId="7" applyFont="1" applyFill="1" applyBorder="1" applyAlignment="1">
      <alignment horizontal="center" vertical="center" wrapText="1"/>
    </xf>
    <xf numFmtId="0" fontId="61" fillId="9" borderId="30" xfId="7" applyFont="1" applyFill="1" applyBorder="1" applyAlignment="1">
      <alignment horizontal="center" vertical="center" wrapText="1"/>
    </xf>
    <xf numFmtId="0" fontId="61" fillId="9" borderId="45" xfId="7" applyFont="1" applyFill="1" applyBorder="1" applyAlignment="1">
      <alignment horizontal="center" vertical="center" wrapText="1"/>
    </xf>
    <xf numFmtId="164" fontId="61" fillId="9" borderId="11" xfId="8" applyNumberFormat="1" applyFont="1" applyFill="1" applyBorder="1" applyAlignment="1" applyProtection="1">
      <alignment horizontal="center" vertical="center" wrapText="1"/>
    </xf>
    <xf numFmtId="0" fontId="61" fillId="9" borderId="48" xfId="7" applyFont="1" applyFill="1" applyBorder="1" applyAlignment="1">
      <alignment horizontal="center" vertical="center" wrapText="1"/>
    </xf>
    <xf numFmtId="0" fontId="61" fillId="0" borderId="65" xfId="7" applyNumberFormat="1" applyFont="1" applyFill="1" applyBorder="1" applyAlignment="1" applyProtection="1">
      <alignment horizontal="left" vertical="center" wrapText="1"/>
    </xf>
    <xf numFmtId="0" fontId="61" fillId="0" borderId="82" xfId="7" applyNumberFormat="1" applyFont="1" applyFill="1" applyBorder="1" applyAlignment="1" applyProtection="1">
      <alignment horizontal="left" vertical="center" wrapText="1"/>
    </xf>
    <xf numFmtId="49" fontId="61" fillId="0" borderId="8" xfId="7" applyNumberFormat="1" applyFont="1" applyFill="1" applyBorder="1" applyAlignment="1" applyProtection="1">
      <alignment horizontal="center" vertical="center"/>
    </xf>
    <xf numFmtId="49" fontId="61" fillId="0" borderId="54" xfId="7" applyNumberFormat="1" applyFont="1" applyFill="1" applyBorder="1" applyAlignment="1" applyProtection="1">
      <alignment horizontal="center" vertical="center"/>
    </xf>
    <xf numFmtId="0" fontId="61" fillId="9" borderId="14" xfId="7" applyNumberFormat="1" applyFont="1" applyFill="1" applyBorder="1" applyAlignment="1" applyProtection="1">
      <alignment horizontal="center" vertical="center" wrapText="1"/>
    </xf>
    <xf numFmtId="0" fontId="61" fillId="9" borderId="11" xfId="7" applyNumberFormat="1" applyFont="1" applyFill="1" applyBorder="1" applyAlignment="1" applyProtection="1">
      <alignment horizontal="center" vertical="center" wrapText="1"/>
    </xf>
    <xf numFmtId="0" fontId="61" fillId="9" borderId="25" xfId="7" applyNumberFormat="1" applyFont="1" applyFill="1" applyBorder="1" applyAlignment="1" applyProtection="1">
      <alignment horizontal="center" vertical="center" wrapText="1"/>
    </xf>
    <xf numFmtId="0" fontId="61" fillId="9" borderId="26" xfId="7" applyNumberFormat="1" applyFont="1" applyFill="1" applyBorder="1" applyAlignment="1" applyProtection="1">
      <alignment horizontal="center" vertical="center" wrapText="1"/>
    </xf>
    <xf numFmtId="0" fontId="61" fillId="9" borderId="33" xfId="7" applyFont="1" applyFill="1" applyBorder="1" applyAlignment="1">
      <alignment horizontal="center" vertical="center" wrapText="1"/>
    </xf>
    <xf numFmtId="0" fontId="61" fillId="9" borderId="41" xfId="7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left" vertical="center" wrapText="1"/>
    </xf>
    <xf numFmtId="164" fontId="61" fillId="9" borderId="12" xfId="8" applyNumberFormat="1" applyFont="1" applyFill="1" applyBorder="1" applyAlignment="1" applyProtection="1">
      <alignment horizontal="center" vertical="center" wrapText="1"/>
    </xf>
    <xf numFmtId="164" fontId="61" fillId="9" borderId="9" xfId="8" applyNumberFormat="1" applyFont="1" applyFill="1" applyBorder="1" applyAlignment="1" applyProtection="1">
      <alignment horizontal="center" vertical="center" wrapText="1"/>
    </xf>
    <xf numFmtId="164" fontId="61" fillId="9" borderId="10" xfId="8" applyNumberFormat="1" applyFont="1" applyFill="1" applyBorder="1" applyAlignment="1" applyProtection="1">
      <alignment horizontal="center" vertical="center" wrapText="1"/>
    </xf>
    <xf numFmtId="164" fontId="61" fillId="9" borderId="26" xfId="8" applyNumberFormat="1" applyFont="1" applyFill="1" applyBorder="1" applyAlignment="1" applyProtection="1">
      <alignment horizontal="center" vertical="center" wrapText="1"/>
    </xf>
    <xf numFmtId="164" fontId="61" fillId="9" borderId="27" xfId="8" applyNumberFormat="1" applyFont="1" applyFill="1" applyBorder="1" applyAlignment="1" applyProtection="1">
      <alignment horizontal="center" vertical="center" wrapText="1"/>
    </xf>
    <xf numFmtId="0" fontId="61" fillId="10" borderId="8" xfId="7" applyFont="1" applyFill="1" applyBorder="1" applyAlignment="1">
      <alignment horizontal="center" vertical="center" wrapText="1"/>
    </xf>
    <xf numFmtId="0" fontId="61" fillId="10" borderId="54" xfId="7" applyFont="1" applyFill="1" applyBorder="1" applyAlignment="1">
      <alignment horizontal="center" vertical="center" wrapText="1"/>
    </xf>
    <xf numFmtId="0" fontId="17" fillId="0" borderId="10" xfId="18" applyFont="1" applyBorder="1" applyAlignment="1">
      <alignment horizontal="center"/>
    </xf>
    <xf numFmtId="0" fontId="17" fillId="0" borderId="11" xfId="18" applyFont="1" applyBorder="1" applyAlignment="1">
      <alignment horizontal="center"/>
    </xf>
    <xf numFmtId="0" fontId="17" fillId="0" borderId="15" xfId="18" applyFont="1" applyBorder="1" applyAlignment="1">
      <alignment horizontal="center" vertical="center"/>
    </xf>
    <xf numFmtId="0" fontId="17" fillId="0" borderId="29" xfId="18" applyFont="1" applyBorder="1" applyAlignment="1">
      <alignment horizontal="center" vertical="center"/>
    </xf>
    <xf numFmtId="0" fontId="17" fillId="0" borderId="5" xfId="18" applyFont="1" applyBorder="1" applyAlignment="1">
      <alignment horizontal="center" vertical="center"/>
    </xf>
    <xf numFmtId="0" fontId="17" fillId="0" borderId="53" xfId="18" applyFont="1" applyBorder="1" applyAlignment="1">
      <alignment horizontal="center" vertical="center"/>
    </xf>
    <xf numFmtId="0" fontId="17" fillId="0" borderId="7" xfId="18" applyFont="1" applyBorder="1" applyAlignment="1">
      <alignment horizontal="center" vertical="center"/>
    </xf>
    <xf numFmtId="0" fontId="17" fillId="0" borderId="48" xfId="18" applyFont="1" applyBorder="1" applyAlignment="1">
      <alignment horizontal="center" vertical="center"/>
    </xf>
    <xf numFmtId="0" fontId="2" fillId="0" borderId="8" xfId="18" applyBorder="1" applyAlignment="1">
      <alignment horizontal="center"/>
    </xf>
    <xf numFmtId="0" fontId="2" fillId="0" borderId="9" xfId="18" applyBorder="1" applyAlignment="1">
      <alignment horizontal="center"/>
    </xf>
    <xf numFmtId="0" fontId="2" fillId="0" borderId="54" xfId="18" applyBorder="1" applyAlignment="1">
      <alignment horizontal="center"/>
    </xf>
    <xf numFmtId="0" fontId="17" fillId="0" borderId="57" xfId="18" applyFont="1" applyBorder="1" applyAlignment="1">
      <alignment horizontal="center" vertical="center" wrapText="1"/>
    </xf>
    <xf numFmtId="0" fontId="17" fillId="0" borderId="53" xfId="18" applyFont="1" applyBorder="1" applyAlignment="1">
      <alignment horizontal="center" vertical="center" wrapText="1"/>
    </xf>
    <xf numFmtId="0" fontId="17" fillId="0" borderId="58" xfId="18" applyFont="1" applyBorder="1" applyAlignment="1">
      <alignment horizontal="center" vertical="center" wrapText="1"/>
    </xf>
    <xf numFmtId="0" fontId="17" fillId="0" borderId="45" xfId="18" applyFont="1" applyBorder="1" applyAlignment="1">
      <alignment horizontal="center" vertical="center" wrapText="1"/>
    </xf>
    <xf numFmtId="0" fontId="17" fillId="6" borderId="58" xfId="18" applyFont="1" applyFill="1" applyBorder="1" applyAlignment="1">
      <alignment horizontal="center" vertical="center" wrapText="1"/>
    </xf>
    <xf numFmtId="0" fontId="17" fillId="6" borderId="45" xfId="18" applyFont="1" applyFill="1" applyBorder="1" applyAlignment="1">
      <alignment horizontal="center" vertical="center" wrapText="1"/>
    </xf>
    <xf numFmtId="0" fontId="17" fillId="0" borderId="77" xfId="18" applyFont="1" applyBorder="1" applyAlignment="1">
      <alignment horizontal="center" vertical="center" wrapText="1"/>
    </xf>
    <xf numFmtId="0" fontId="17" fillId="0" borderId="48" xfId="18" applyFont="1" applyBorder="1" applyAlignment="1">
      <alignment horizontal="center" vertical="center" wrapText="1"/>
    </xf>
    <xf numFmtId="0" fontId="42" fillId="0" borderId="0" xfId="17" applyFont="1" applyAlignment="1">
      <alignment horizontal="left" vertical="center"/>
    </xf>
    <xf numFmtId="0" fontId="58" fillId="0" borderId="0" xfId="17" applyFont="1" applyAlignment="1">
      <alignment horizontal="left" vertical="center" wrapText="1"/>
    </xf>
    <xf numFmtId="0" fontId="32" fillId="0" borderId="0" xfId="17" applyFont="1" applyAlignment="1">
      <alignment horizontal="left" vertical="center" wrapText="1"/>
    </xf>
    <xf numFmtId="0" fontId="45" fillId="0" borderId="0" xfId="17" applyFont="1" applyAlignment="1">
      <alignment horizontal="center" vertical="center" wrapText="1"/>
    </xf>
    <xf numFmtId="0" fontId="17" fillId="0" borderId="14" xfId="17" applyFont="1" applyBorder="1" applyAlignment="1">
      <alignment horizontal="center" vertical="center" wrapText="1"/>
    </xf>
    <xf numFmtId="0" fontId="17" fillId="0" borderId="25" xfId="17" applyFont="1" applyBorder="1" applyAlignment="1">
      <alignment horizontal="center" vertical="center" wrapText="1"/>
    </xf>
    <xf numFmtId="0" fontId="17" fillId="0" borderId="15" xfId="17" applyFont="1" applyBorder="1" applyAlignment="1">
      <alignment horizontal="center" vertical="center" wrapText="1"/>
    </xf>
    <xf numFmtId="0" fontId="17" fillId="0" borderId="29" xfId="17" applyFont="1" applyBorder="1" applyAlignment="1">
      <alignment horizontal="center" vertical="center" wrapText="1"/>
    </xf>
    <xf numFmtId="0" fontId="17" fillId="0" borderId="10" xfId="17" applyFont="1" applyFill="1" applyBorder="1" applyAlignment="1">
      <alignment horizontal="center" vertical="center" wrapText="1"/>
    </xf>
    <xf numFmtId="0" fontId="17" fillId="0" borderId="12" xfId="17" applyFont="1" applyFill="1" applyBorder="1" applyAlignment="1">
      <alignment horizontal="center" vertical="center" wrapText="1"/>
    </xf>
    <xf numFmtId="0" fontId="17" fillId="0" borderId="71" xfId="17" applyFont="1" applyBorder="1" applyAlignment="1">
      <alignment horizontal="center" vertical="center" wrapText="1"/>
    </xf>
    <xf numFmtId="0" fontId="17" fillId="0" borderId="72" xfId="17" applyFont="1" applyBorder="1" applyAlignment="1">
      <alignment horizontal="center" vertical="center" wrapText="1"/>
    </xf>
    <xf numFmtId="0" fontId="32" fillId="0" borderId="0" xfId="17" applyFont="1" applyAlignment="1">
      <alignment horizontal="center" vertical="center" wrapText="1"/>
    </xf>
    <xf numFmtId="0" fontId="17" fillId="0" borderId="14" xfId="18" applyFont="1" applyBorder="1" applyAlignment="1">
      <alignment horizontal="center" vertical="center" wrapText="1"/>
    </xf>
    <xf numFmtId="0" fontId="17" fillId="0" borderId="25" xfId="18" applyFont="1" applyBorder="1" applyAlignment="1">
      <alignment horizontal="center" vertical="center" wrapText="1"/>
    </xf>
    <xf numFmtId="0" fontId="17" fillId="0" borderId="15" xfId="18" applyFont="1" applyBorder="1" applyAlignment="1">
      <alignment horizontal="center" vertical="center" wrapText="1"/>
    </xf>
    <xf numFmtId="0" fontId="17" fillId="0" borderId="29" xfId="18" applyFont="1" applyBorder="1" applyAlignment="1">
      <alignment horizontal="center" vertical="center" wrapText="1"/>
    </xf>
    <xf numFmtId="0" fontId="17" fillId="0" borderId="10" xfId="18" applyFont="1" applyFill="1" applyBorder="1" applyAlignment="1">
      <alignment horizontal="center" vertical="center" wrapText="1"/>
    </xf>
    <xf numFmtId="0" fontId="17" fillId="0" borderId="12" xfId="18" applyFont="1" applyFill="1" applyBorder="1" applyAlignment="1">
      <alignment horizontal="center" vertical="center" wrapText="1"/>
    </xf>
    <xf numFmtId="0" fontId="17" fillId="0" borderId="7" xfId="18" applyFont="1" applyBorder="1" applyAlignment="1">
      <alignment horizontal="center" vertical="center" wrapText="1"/>
    </xf>
    <xf numFmtId="0" fontId="8" fillId="0" borderId="31" xfId="16" applyFont="1" applyBorder="1" applyAlignment="1">
      <alignment horizontal="center" vertical="center"/>
    </xf>
    <xf numFmtId="0" fontId="8" fillId="0" borderId="39" xfId="16" applyFont="1" applyBorder="1" applyAlignment="1">
      <alignment horizontal="center" vertical="center"/>
    </xf>
    <xf numFmtId="0" fontId="39" fillId="0" borderId="7" xfId="16" applyFont="1" applyBorder="1" applyAlignment="1">
      <alignment horizontal="center" vertical="center"/>
    </xf>
    <xf numFmtId="0" fontId="39" fillId="0" borderId="48" xfId="16" applyFont="1" applyBorder="1" applyAlignment="1">
      <alignment horizontal="center" vertical="center"/>
    </xf>
    <xf numFmtId="0" fontId="39" fillId="0" borderId="7" xfId="16" applyFont="1" applyFill="1" applyBorder="1" applyAlignment="1">
      <alignment horizontal="center" vertical="center"/>
    </xf>
    <xf numFmtId="0" fontId="39" fillId="0" borderId="48" xfId="16" applyFont="1" applyFill="1" applyBorder="1" applyAlignment="1">
      <alignment horizontal="center" vertical="center"/>
    </xf>
    <xf numFmtId="0" fontId="17" fillId="0" borderId="10" xfId="17" applyFont="1" applyBorder="1" applyAlignment="1">
      <alignment horizontal="center" vertical="center" wrapText="1"/>
    </xf>
    <xf numFmtId="0" fontId="17" fillId="0" borderId="42" xfId="17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</cellXfs>
  <cellStyles count="24">
    <cellStyle name="Normální" xfId="0" builtinId="0"/>
    <cellStyle name="Normální 10" xfId="4"/>
    <cellStyle name="Normální 11" xfId="14"/>
    <cellStyle name="Normální 11 2" xfId="18"/>
    <cellStyle name="normální 14" xfId="3"/>
    <cellStyle name="normální 14 2" xfId="5"/>
    <cellStyle name="normální 14 2 2" xfId="17"/>
    <cellStyle name="normální 14 3" xfId="22"/>
    <cellStyle name="normální 15" xfId="11"/>
    <cellStyle name="normální 16" xfId="12"/>
    <cellStyle name="Normální 2" xfId="19"/>
    <cellStyle name="normální 2 2" xfId="6"/>
    <cellStyle name="normální 2 2 2" xfId="21"/>
    <cellStyle name="normální 2 2 3" xfId="23"/>
    <cellStyle name="normální 2 5" xfId="7"/>
    <cellStyle name="Normální 5" xfId="13"/>
    <cellStyle name="Normální 6 4 3" xfId="10"/>
    <cellStyle name="normální_Příloha 2" xfId="15"/>
    <cellStyle name="normální_Tab.1-bilance PV" xfId="2"/>
    <cellStyle name="normální_Tabulka 1-Bilanční-návrh 13.1.04" xfId="1"/>
    <cellStyle name="normální_Ubyt a strav 2002" xfId="16"/>
    <cellStyle name="procent 2" xfId="8"/>
    <cellStyle name="Procenta 3" xfId="9"/>
    <cellStyle name="Procenta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9525" cy="316624"/>
    <xdr:pic>
      <xdr:nvPicPr>
        <xdr:cNvPr id="2" name="Picture 1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9525" cy="31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9525" cy="316624"/>
    <xdr:pic>
      <xdr:nvPicPr>
        <xdr:cNvPr id="3" name="Picture 2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9525" cy="31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152400"/>
    <xdr:pic>
      <xdr:nvPicPr>
        <xdr:cNvPr id="4" name="Picture 3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6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152400"/>
    <xdr:pic>
      <xdr:nvPicPr>
        <xdr:cNvPr id="5" name="Picture 4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6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valasekp\Documents\1.%20Pracovn&#237;\2015\Rozpo&#269;et%202016\V&#253;po&#269;et%20rozpo&#269;tu%20na%20rok%202016\Modelov&#253;%20v&#253;po&#269;et%20rozpo&#269;tu%20V&#352;%20na%20rok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valasekp\Documents\1.%20Pracovn&#237;\2017\Rozpo&#269;et%202017\Data%20rozpo&#269;tu%20ke%20kontrole\071%20Upraven&#225;%20data%20na%20z&#225;klad&#283;%20kontroly\RO%20I\Rozpo&#269;tov&#253;%20okruh%20I%20-%20v&#253;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Bilance dle schvál RO"/>
      <sheetName val="1 Bilance pro výpočet"/>
      <sheetName val="2 Srovnání A+K"/>
      <sheetName val="3 Úpravy A+K"/>
      <sheetName val="Ukazatel A 2015"/>
      <sheetName val="Ukazatel A 2016"/>
      <sheetName val="Porovnání počtů"/>
      <sheetName val="limity 2016"/>
      <sheetName val="5 Ukaz K"/>
      <sheetName val="popis zdroj dat"/>
      <sheetName val="6 Ukaz C"/>
      <sheetName val="7 Ukaz. F - U3V "/>
      <sheetName val="8 Ukaz. F - SSP"/>
      <sheetName val="9 Ukaz I"/>
      <sheetName val="10 Ukaz J"/>
      <sheetName val="11 Ukaz U"/>
    </sheetNames>
    <sheetDataSet>
      <sheetData sheetId="0"/>
      <sheetData sheetId="1">
        <row r="49">
          <cell r="O49">
            <v>22000000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7">
          <cell r="G37">
            <v>17.95</v>
          </cell>
        </row>
      </sheetData>
      <sheetData sheetId="15">
        <row r="16">
          <cell r="D16">
            <v>5400.0266777715606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ovení podílů fixní 2017"/>
      <sheetName val="Výpočet RO I"/>
    </sheetNames>
    <sheetDataSet>
      <sheetData sheetId="0">
        <row r="7">
          <cell r="D7">
            <v>0.17703877581317168</v>
          </cell>
        </row>
        <row r="8">
          <cell r="D8">
            <v>3.0712588244683047E-2</v>
          </cell>
        </row>
        <row r="9">
          <cell r="D9">
            <v>2.4492280023581198E-2</v>
          </cell>
        </row>
        <row r="10">
          <cell r="D10">
            <v>0.11301912740144074</v>
          </cell>
        </row>
        <row r="11">
          <cell r="D11">
            <v>6.3058979479020852E-2</v>
          </cell>
        </row>
        <row r="12">
          <cell r="D12">
            <v>1.5642942800589969E-2</v>
          </cell>
        </row>
        <row r="13">
          <cell r="D13">
            <v>2.7781352018572514E-2</v>
          </cell>
        </row>
        <row r="14">
          <cell r="D14">
            <v>1.7118401559116831E-2</v>
          </cell>
        </row>
        <row r="15">
          <cell r="D15">
            <v>1.5324170618259388E-2</v>
          </cell>
        </row>
        <row r="16">
          <cell r="D16">
            <v>8.5683679149170758E-2</v>
          </cell>
        </row>
        <row r="17">
          <cell r="D17">
            <v>2.2777094818815707E-2</v>
          </cell>
        </row>
        <row r="18">
          <cell r="D18">
            <v>3.7281019509879151E-2</v>
          </cell>
        </row>
        <row r="19">
          <cell r="D19">
            <v>2.189139048998005E-2</v>
          </cell>
        </row>
        <row r="20">
          <cell r="D20">
            <v>2.6150055041374583E-2</v>
          </cell>
        </row>
        <row r="21">
          <cell r="D21">
            <v>6.9602045459460249E-2</v>
          </cell>
        </row>
        <row r="22">
          <cell r="D22">
            <v>5.0963662578561525E-2</v>
          </cell>
        </row>
        <row r="23">
          <cell r="D23">
            <v>3.1685136847760427E-2</v>
          </cell>
        </row>
        <row r="24">
          <cell r="D24">
            <v>3.6090463235188934E-2</v>
          </cell>
        </row>
        <row r="25">
          <cell r="D25">
            <v>5.0586558563841144E-2</v>
          </cell>
        </row>
        <row r="26">
          <cell r="D26">
            <v>2.9560713335700914E-2</v>
          </cell>
        </row>
        <row r="27">
          <cell r="D27">
            <v>1.772E-2</v>
          </cell>
        </row>
        <row r="28">
          <cell r="D28">
            <v>4.8399999999999997E-3</v>
          </cell>
        </row>
        <row r="29">
          <cell r="D29">
            <v>6.8000000000000005E-3</v>
          </cell>
        </row>
        <row r="30">
          <cell r="D30">
            <v>1.064E-2</v>
          </cell>
        </row>
        <row r="31">
          <cell r="D31">
            <v>5.5660047054840534E-3</v>
          </cell>
        </row>
        <row r="32">
          <cell r="D32">
            <v>7.9735583063461832E-3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6"/>
  <sheetViews>
    <sheetView zoomScaleNormal="100" workbookViewId="0">
      <selection activeCell="B85" sqref="B85"/>
    </sheetView>
  </sheetViews>
  <sheetFormatPr defaultRowHeight="12.75" x14ac:dyDescent="0.2"/>
  <cols>
    <col min="1" max="1" width="4" customWidth="1"/>
    <col min="2" max="2" width="64.28515625" customWidth="1"/>
  </cols>
  <sheetData>
    <row r="1" spans="1:2" ht="48.75" customHeight="1" x14ac:dyDescent="0.3">
      <c r="A1" s="239" t="s">
        <v>265</v>
      </c>
    </row>
    <row r="2" spans="1:2" ht="54.75" customHeight="1" x14ac:dyDescent="0.2"/>
    <row r="3" spans="1:2" x14ac:dyDescent="0.2">
      <c r="A3" s="240" t="s">
        <v>149</v>
      </c>
    </row>
    <row r="4" spans="1:2" x14ac:dyDescent="0.2">
      <c r="A4" s="240"/>
    </row>
    <row r="5" spans="1:2" x14ac:dyDescent="0.2">
      <c r="A5" s="235" t="s">
        <v>150</v>
      </c>
      <c r="B5" t="s">
        <v>159</v>
      </c>
    </row>
    <row r="6" spans="1:2" x14ac:dyDescent="0.2">
      <c r="A6" s="235" t="s">
        <v>151</v>
      </c>
      <c r="B6" t="s">
        <v>257</v>
      </c>
    </row>
    <row r="7" spans="1:2" x14ac:dyDescent="0.2">
      <c r="A7" s="235" t="s">
        <v>152</v>
      </c>
      <c r="B7" t="s">
        <v>258</v>
      </c>
    </row>
    <row r="8" spans="1:2" x14ac:dyDescent="0.2">
      <c r="A8" s="235" t="s">
        <v>153</v>
      </c>
      <c r="B8" t="s">
        <v>261</v>
      </c>
    </row>
    <row r="9" spans="1:2" x14ac:dyDescent="0.2">
      <c r="A9" s="235"/>
      <c r="B9" t="s">
        <v>262</v>
      </c>
    </row>
    <row r="10" spans="1:2" x14ac:dyDescent="0.2">
      <c r="A10" s="235" t="s">
        <v>154</v>
      </c>
      <c r="B10" t="s">
        <v>162</v>
      </c>
    </row>
    <row r="11" spans="1:2" ht="25.5" x14ac:dyDescent="0.2">
      <c r="A11" s="246" t="s">
        <v>155</v>
      </c>
      <c r="B11" s="241" t="s">
        <v>163</v>
      </c>
    </row>
    <row r="12" spans="1:2" ht="25.5" x14ac:dyDescent="0.2">
      <c r="A12" s="246" t="s">
        <v>156</v>
      </c>
      <c r="B12" s="241" t="s">
        <v>164</v>
      </c>
    </row>
    <row r="13" spans="1:2" x14ac:dyDescent="0.2">
      <c r="A13" s="235" t="s">
        <v>157</v>
      </c>
      <c r="B13" t="s">
        <v>165</v>
      </c>
    </row>
    <row r="14" spans="1:2" x14ac:dyDescent="0.2">
      <c r="A14" s="235" t="s">
        <v>158</v>
      </c>
      <c r="B14" t="s">
        <v>166</v>
      </c>
    </row>
    <row r="15" spans="1:2" x14ac:dyDescent="0.2">
      <c r="A15" s="235" t="s">
        <v>160</v>
      </c>
      <c r="B15" t="s">
        <v>167</v>
      </c>
    </row>
    <row r="16" spans="1:2" x14ac:dyDescent="0.2">
      <c r="A16" s="235" t="s">
        <v>161</v>
      </c>
      <c r="B16" t="s">
        <v>168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&amp;LČ. j.: MSMT-1404/2017-1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0"/>
  <sheetViews>
    <sheetView zoomScaleNormal="100" workbookViewId="0">
      <selection activeCell="I31" sqref="I31"/>
    </sheetView>
  </sheetViews>
  <sheetFormatPr defaultRowHeight="14.25" x14ac:dyDescent="0.2"/>
  <cols>
    <col min="1" max="1" width="10.140625" style="227" customWidth="1"/>
    <col min="2" max="2" width="61.140625" style="227" customWidth="1"/>
    <col min="3" max="3" width="12.7109375" style="227" customWidth="1"/>
    <col min="4" max="4" width="13.7109375" style="227" customWidth="1"/>
    <col min="5" max="5" width="14.7109375" style="227" customWidth="1"/>
    <col min="6" max="6" width="19.7109375" style="227" customWidth="1"/>
    <col min="7" max="7" width="15" style="227" customWidth="1"/>
    <col min="8" max="8" width="13.7109375" style="227" bestFit="1" customWidth="1"/>
    <col min="9" max="9" width="18.5703125" style="227" customWidth="1"/>
    <col min="10" max="11" width="9.28515625" style="227" bestFit="1" customWidth="1"/>
    <col min="12" max="12" width="10.140625" style="227" bestFit="1" customWidth="1"/>
    <col min="13" max="14" width="9.28515625" style="227" bestFit="1" customWidth="1"/>
    <col min="15" max="257" width="9.140625" style="227"/>
    <col min="258" max="258" width="13.7109375" style="227" customWidth="1"/>
    <col min="259" max="259" width="12.7109375" style="227" customWidth="1"/>
    <col min="260" max="260" width="13.7109375" style="227" customWidth="1"/>
    <col min="261" max="261" width="14.7109375" style="227" customWidth="1"/>
    <col min="262" max="262" width="19.7109375" style="227" customWidth="1"/>
    <col min="263" max="263" width="15" style="227" customWidth="1"/>
    <col min="264" max="264" width="13.7109375" style="227" bestFit="1" customWidth="1"/>
    <col min="265" max="265" width="15.42578125" style="227" customWidth="1"/>
    <col min="266" max="513" width="9.140625" style="227"/>
    <col min="514" max="514" width="13.7109375" style="227" customWidth="1"/>
    <col min="515" max="515" width="12.7109375" style="227" customWidth="1"/>
    <col min="516" max="516" width="13.7109375" style="227" customWidth="1"/>
    <col min="517" max="517" width="14.7109375" style="227" customWidth="1"/>
    <col min="518" max="518" width="19.7109375" style="227" customWidth="1"/>
    <col min="519" max="519" width="15" style="227" customWidth="1"/>
    <col min="520" max="520" width="13.7109375" style="227" bestFit="1" customWidth="1"/>
    <col min="521" max="521" width="15.42578125" style="227" customWidth="1"/>
    <col min="522" max="769" width="9.140625" style="227"/>
    <col min="770" max="770" width="13.7109375" style="227" customWidth="1"/>
    <col min="771" max="771" width="12.7109375" style="227" customWidth="1"/>
    <col min="772" max="772" width="13.7109375" style="227" customWidth="1"/>
    <col min="773" max="773" width="14.7109375" style="227" customWidth="1"/>
    <col min="774" max="774" width="19.7109375" style="227" customWidth="1"/>
    <col min="775" max="775" width="15" style="227" customWidth="1"/>
    <col min="776" max="776" width="13.7109375" style="227" bestFit="1" customWidth="1"/>
    <col min="777" max="777" width="15.42578125" style="227" customWidth="1"/>
    <col min="778" max="1025" width="9.140625" style="227"/>
    <col min="1026" max="1026" width="13.7109375" style="227" customWidth="1"/>
    <col min="1027" max="1027" width="12.7109375" style="227" customWidth="1"/>
    <col min="1028" max="1028" width="13.7109375" style="227" customWidth="1"/>
    <col min="1029" max="1029" width="14.7109375" style="227" customWidth="1"/>
    <col min="1030" max="1030" width="19.7109375" style="227" customWidth="1"/>
    <col min="1031" max="1031" width="15" style="227" customWidth="1"/>
    <col min="1032" max="1032" width="13.7109375" style="227" bestFit="1" customWidth="1"/>
    <col min="1033" max="1033" width="15.42578125" style="227" customWidth="1"/>
    <col min="1034" max="1281" width="9.140625" style="227"/>
    <col min="1282" max="1282" width="13.7109375" style="227" customWidth="1"/>
    <col min="1283" max="1283" width="12.7109375" style="227" customWidth="1"/>
    <col min="1284" max="1284" width="13.7109375" style="227" customWidth="1"/>
    <col min="1285" max="1285" width="14.7109375" style="227" customWidth="1"/>
    <col min="1286" max="1286" width="19.7109375" style="227" customWidth="1"/>
    <col min="1287" max="1287" width="15" style="227" customWidth="1"/>
    <col min="1288" max="1288" width="13.7109375" style="227" bestFit="1" customWidth="1"/>
    <col min="1289" max="1289" width="15.42578125" style="227" customWidth="1"/>
    <col min="1290" max="1537" width="9.140625" style="227"/>
    <col min="1538" max="1538" width="13.7109375" style="227" customWidth="1"/>
    <col min="1539" max="1539" width="12.7109375" style="227" customWidth="1"/>
    <col min="1540" max="1540" width="13.7109375" style="227" customWidth="1"/>
    <col min="1541" max="1541" width="14.7109375" style="227" customWidth="1"/>
    <col min="1542" max="1542" width="19.7109375" style="227" customWidth="1"/>
    <col min="1543" max="1543" width="15" style="227" customWidth="1"/>
    <col min="1544" max="1544" width="13.7109375" style="227" bestFit="1" customWidth="1"/>
    <col min="1545" max="1545" width="15.42578125" style="227" customWidth="1"/>
    <col min="1546" max="1793" width="9.140625" style="227"/>
    <col min="1794" max="1794" width="13.7109375" style="227" customWidth="1"/>
    <col min="1795" max="1795" width="12.7109375" style="227" customWidth="1"/>
    <col min="1796" max="1796" width="13.7109375" style="227" customWidth="1"/>
    <col min="1797" max="1797" width="14.7109375" style="227" customWidth="1"/>
    <col min="1798" max="1798" width="19.7109375" style="227" customWidth="1"/>
    <col min="1799" max="1799" width="15" style="227" customWidth="1"/>
    <col min="1800" max="1800" width="13.7109375" style="227" bestFit="1" customWidth="1"/>
    <col min="1801" max="1801" width="15.42578125" style="227" customWidth="1"/>
    <col min="1802" max="2049" width="9.140625" style="227"/>
    <col min="2050" max="2050" width="13.7109375" style="227" customWidth="1"/>
    <col min="2051" max="2051" width="12.7109375" style="227" customWidth="1"/>
    <col min="2052" max="2052" width="13.7109375" style="227" customWidth="1"/>
    <col min="2053" max="2053" width="14.7109375" style="227" customWidth="1"/>
    <col min="2054" max="2054" width="19.7109375" style="227" customWidth="1"/>
    <col min="2055" max="2055" width="15" style="227" customWidth="1"/>
    <col min="2056" max="2056" width="13.7109375" style="227" bestFit="1" customWidth="1"/>
    <col min="2057" max="2057" width="15.42578125" style="227" customWidth="1"/>
    <col min="2058" max="2305" width="9.140625" style="227"/>
    <col min="2306" max="2306" width="13.7109375" style="227" customWidth="1"/>
    <col min="2307" max="2307" width="12.7109375" style="227" customWidth="1"/>
    <col min="2308" max="2308" width="13.7109375" style="227" customWidth="1"/>
    <col min="2309" max="2309" width="14.7109375" style="227" customWidth="1"/>
    <col min="2310" max="2310" width="19.7109375" style="227" customWidth="1"/>
    <col min="2311" max="2311" width="15" style="227" customWidth="1"/>
    <col min="2312" max="2312" width="13.7109375" style="227" bestFit="1" customWidth="1"/>
    <col min="2313" max="2313" width="15.42578125" style="227" customWidth="1"/>
    <col min="2314" max="2561" width="9.140625" style="227"/>
    <col min="2562" max="2562" width="13.7109375" style="227" customWidth="1"/>
    <col min="2563" max="2563" width="12.7109375" style="227" customWidth="1"/>
    <col min="2564" max="2564" width="13.7109375" style="227" customWidth="1"/>
    <col min="2565" max="2565" width="14.7109375" style="227" customWidth="1"/>
    <col min="2566" max="2566" width="19.7109375" style="227" customWidth="1"/>
    <col min="2567" max="2567" width="15" style="227" customWidth="1"/>
    <col min="2568" max="2568" width="13.7109375" style="227" bestFit="1" customWidth="1"/>
    <col min="2569" max="2569" width="15.42578125" style="227" customWidth="1"/>
    <col min="2570" max="2817" width="9.140625" style="227"/>
    <col min="2818" max="2818" width="13.7109375" style="227" customWidth="1"/>
    <col min="2819" max="2819" width="12.7109375" style="227" customWidth="1"/>
    <col min="2820" max="2820" width="13.7109375" style="227" customWidth="1"/>
    <col min="2821" max="2821" width="14.7109375" style="227" customWidth="1"/>
    <col min="2822" max="2822" width="19.7109375" style="227" customWidth="1"/>
    <col min="2823" max="2823" width="15" style="227" customWidth="1"/>
    <col min="2824" max="2824" width="13.7109375" style="227" bestFit="1" customWidth="1"/>
    <col min="2825" max="2825" width="15.42578125" style="227" customWidth="1"/>
    <col min="2826" max="3073" width="9.140625" style="227"/>
    <col min="3074" max="3074" width="13.7109375" style="227" customWidth="1"/>
    <col min="3075" max="3075" width="12.7109375" style="227" customWidth="1"/>
    <col min="3076" max="3076" width="13.7109375" style="227" customWidth="1"/>
    <col min="3077" max="3077" width="14.7109375" style="227" customWidth="1"/>
    <col min="3078" max="3078" width="19.7109375" style="227" customWidth="1"/>
    <col min="3079" max="3079" width="15" style="227" customWidth="1"/>
    <col min="3080" max="3080" width="13.7109375" style="227" bestFit="1" customWidth="1"/>
    <col min="3081" max="3081" width="15.42578125" style="227" customWidth="1"/>
    <col min="3082" max="3329" width="9.140625" style="227"/>
    <col min="3330" max="3330" width="13.7109375" style="227" customWidth="1"/>
    <col min="3331" max="3331" width="12.7109375" style="227" customWidth="1"/>
    <col min="3332" max="3332" width="13.7109375" style="227" customWidth="1"/>
    <col min="3333" max="3333" width="14.7109375" style="227" customWidth="1"/>
    <col min="3334" max="3334" width="19.7109375" style="227" customWidth="1"/>
    <col min="3335" max="3335" width="15" style="227" customWidth="1"/>
    <col min="3336" max="3336" width="13.7109375" style="227" bestFit="1" customWidth="1"/>
    <col min="3337" max="3337" width="15.42578125" style="227" customWidth="1"/>
    <col min="3338" max="3585" width="9.140625" style="227"/>
    <col min="3586" max="3586" width="13.7109375" style="227" customWidth="1"/>
    <col min="3587" max="3587" width="12.7109375" style="227" customWidth="1"/>
    <col min="3588" max="3588" width="13.7109375" style="227" customWidth="1"/>
    <col min="3589" max="3589" width="14.7109375" style="227" customWidth="1"/>
    <col min="3590" max="3590" width="19.7109375" style="227" customWidth="1"/>
    <col min="3591" max="3591" width="15" style="227" customWidth="1"/>
    <col min="3592" max="3592" width="13.7109375" style="227" bestFit="1" customWidth="1"/>
    <col min="3593" max="3593" width="15.42578125" style="227" customWidth="1"/>
    <col min="3594" max="3841" width="9.140625" style="227"/>
    <col min="3842" max="3842" width="13.7109375" style="227" customWidth="1"/>
    <col min="3843" max="3843" width="12.7109375" style="227" customWidth="1"/>
    <col min="3844" max="3844" width="13.7109375" style="227" customWidth="1"/>
    <col min="3845" max="3845" width="14.7109375" style="227" customWidth="1"/>
    <col min="3846" max="3846" width="19.7109375" style="227" customWidth="1"/>
    <col min="3847" max="3847" width="15" style="227" customWidth="1"/>
    <col min="3848" max="3848" width="13.7109375" style="227" bestFit="1" customWidth="1"/>
    <col min="3849" max="3849" width="15.42578125" style="227" customWidth="1"/>
    <col min="3850" max="4097" width="9.140625" style="227"/>
    <col min="4098" max="4098" width="13.7109375" style="227" customWidth="1"/>
    <col min="4099" max="4099" width="12.7109375" style="227" customWidth="1"/>
    <col min="4100" max="4100" width="13.7109375" style="227" customWidth="1"/>
    <col min="4101" max="4101" width="14.7109375" style="227" customWidth="1"/>
    <col min="4102" max="4102" width="19.7109375" style="227" customWidth="1"/>
    <col min="4103" max="4103" width="15" style="227" customWidth="1"/>
    <col min="4104" max="4104" width="13.7109375" style="227" bestFit="1" customWidth="1"/>
    <col min="4105" max="4105" width="15.42578125" style="227" customWidth="1"/>
    <col min="4106" max="4353" width="9.140625" style="227"/>
    <col min="4354" max="4354" width="13.7109375" style="227" customWidth="1"/>
    <col min="4355" max="4355" width="12.7109375" style="227" customWidth="1"/>
    <col min="4356" max="4356" width="13.7109375" style="227" customWidth="1"/>
    <col min="4357" max="4357" width="14.7109375" style="227" customWidth="1"/>
    <col min="4358" max="4358" width="19.7109375" style="227" customWidth="1"/>
    <col min="4359" max="4359" width="15" style="227" customWidth="1"/>
    <col min="4360" max="4360" width="13.7109375" style="227" bestFit="1" customWidth="1"/>
    <col min="4361" max="4361" width="15.42578125" style="227" customWidth="1"/>
    <col min="4362" max="4609" width="9.140625" style="227"/>
    <col min="4610" max="4610" width="13.7109375" style="227" customWidth="1"/>
    <col min="4611" max="4611" width="12.7109375" style="227" customWidth="1"/>
    <col min="4612" max="4612" width="13.7109375" style="227" customWidth="1"/>
    <col min="4613" max="4613" width="14.7109375" style="227" customWidth="1"/>
    <col min="4614" max="4614" width="19.7109375" style="227" customWidth="1"/>
    <col min="4615" max="4615" width="15" style="227" customWidth="1"/>
    <col min="4616" max="4616" width="13.7109375" style="227" bestFit="1" customWidth="1"/>
    <col min="4617" max="4617" width="15.42578125" style="227" customWidth="1"/>
    <col min="4618" max="4865" width="9.140625" style="227"/>
    <col min="4866" max="4866" width="13.7109375" style="227" customWidth="1"/>
    <col min="4867" max="4867" width="12.7109375" style="227" customWidth="1"/>
    <col min="4868" max="4868" width="13.7109375" style="227" customWidth="1"/>
    <col min="4869" max="4869" width="14.7109375" style="227" customWidth="1"/>
    <col min="4870" max="4870" width="19.7109375" style="227" customWidth="1"/>
    <col min="4871" max="4871" width="15" style="227" customWidth="1"/>
    <col min="4872" max="4872" width="13.7109375" style="227" bestFit="1" customWidth="1"/>
    <col min="4873" max="4873" width="15.42578125" style="227" customWidth="1"/>
    <col min="4874" max="5121" width="9.140625" style="227"/>
    <col min="5122" max="5122" width="13.7109375" style="227" customWidth="1"/>
    <col min="5123" max="5123" width="12.7109375" style="227" customWidth="1"/>
    <col min="5124" max="5124" width="13.7109375" style="227" customWidth="1"/>
    <col min="5125" max="5125" width="14.7109375" style="227" customWidth="1"/>
    <col min="5126" max="5126" width="19.7109375" style="227" customWidth="1"/>
    <col min="5127" max="5127" width="15" style="227" customWidth="1"/>
    <col min="5128" max="5128" width="13.7109375" style="227" bestFit="1" customWidth="1"/>
    <col min="5129" max="5129" width="15.42578125" style="227" customWidth="1"/>
    <col min="5130" max="5377" width="9.140625" style="227"/>
    <col min="5378" max="5378" width="13.7109375" style="227" customWidth="1"/>
    <col min="5379" max="5379" width="12.7109375" style="227" customWidth="1"/>
    <col min="5380" max="5380" width="13.7109375" style="227" customWidth="1"/>
    <col min="5381" max="5381" width="14.7109375" style="227" customWidth="1"/>
    <col min="5382" max="5382" width="19.7109375" style="227" customWidth="1"/>
    <col min="5383" max="5383" width="15" style="227" customWidth="1"/>
    <col min="5384" max="5384" width="13.7109375" style="227" bestFit="1" customWidth="1"/>
    <col min="5385" max="5385" width="15.42578125" style="227" customWidth="1"/>
    <col min="5386" max="5633" width="9.140625" style="227"/>
    <col min="5634" max="5634" width="13.7109375" style="227" customWidth="1"/>
    <col min="5635" max="5635" width="12.7109375" style="227" customWidth="1"/>
    <col min="5636" max="5636" width="13.7109375" style="227" customWidth="1"/>
    <col min="5637" max="5637" width="14.7109375" style="227" customWidth="1"/>
    <col min="5638" max="5638" width="19.7109375" style="227" customWidth="1"/>
    <col min="5639" max="5639" width="15" style="227" customWidth="1"/>
    <col min="5640" max="5640" width="13.7109375" style="227" bestFit="1" customWidth="1"/>
    <col min="5641" max="5641" width="15.42578125" style="227" customWidth="1"/>
    <col min="5642" max="5889" width="9.140625" style="227"/>
    <col min="5890" max="5890" width="13.7109375" style="227" customWidth="1"/>
    <col min="5891" max="5891" width="12.7109375" style="227" customWidth="1"/>
    <col min="5892" max="5892" width="13.7109375" style="227" customWidth="1"/>
    <col min="5893" max="5893" width="14.7109375" style="227" customWidth="1"/>
    <col min="5894" max="5894" width="19.7109375" style="227" customWidth="1"/>
    <col min="5895" max="5895" width="15" style="227" customWidth="1"/>
    <col min="5896" max="5896" width="13.7109375" style="227" bestFit="1" customWidth="1"/>
    <col min="5897" max="5897" width="15.42578125" style="227" customWidth="1"/>
    <col min="5898" max="6145" width="9.140625" style="227"/>
    <col min="6146" max="6146" width="13.7109375" style="227" customWidth="1"/>
    <col min="6147" max="6147" width="12.7109375" style="227" customWidth="1"/>
    <col min="6148" max="6148" width="13.7109375" style="227" customWidth="1"/>
    <col min="6149" max="6149" width="14.7109375" style="227" customWidth="1"/>
    <col min="6150" max="6150" width="19.7109375" style="227" customWidth="1"/>
    <col min="6151" max="6151" width="15" style="227" customWidth="1"/>
    <col min="6152" max="6152" width="13.7109375" style="227" bestFit="1" customWidth="1"/>
    <col min="6153" max="6153" width="15.42578125" style="227" customWidth="1"/>
    <col min="6154" max="6401" width="9.140625" style="227"/>
    <col min="6402" max="6402" width="13.7109375" style="227" customWidth="1"/>
    <col min="6403" max="6403" width="12.7109375" style="227" customWidth="1"/>
    <col min="6404" max="6404" width="13.7109375" style="227" customWidth="1"/>
    <col min="6405" max="6405" width="14.7109375" style="227" customWidth="1"/>
    <col min="6406" max="6406" width="19.7109375" style="227" customWidth="1"/>
    <col min="6407" max="6407" width="15" style="227" customWidth="1"/>
    <col min="6408" max="6408" width="13.7109375" style="227" bestFit="1" customWidth="1"/>
    <col min="6409" max="6409" width="15.42578125" style="227" customWidth="1"/>
    <col min="6410" max="6657" width="9.140625" style="227"/>
    <col min="6658" max="6658" width="13.7109375" style="227" customWidth="1"/>
    <col min="6659" max="6659" width="12.7109375" style="227" customWidth="1"/>
    <col min="6660" max="6660" width="13.7109375" style="227" customWidth="1"/>
    <col min="6661" max="6661" width="14.7109375" style="227" customWidth="1"/>
    <col min="6662" max="6662" width="19.7109375" style="227" customWidth="1"/>
    <col min="6663" max="6663" width="15" style="227" customWidth="1"/>
    <col min="6664" max="6664" width="13.7109375" style="227" bestFit="1" customWidth="1"/>
    <col min="6665" max="6665" width="15.42578125" style="227" customWidth="1"/>
    <col min="6666" max="6913" width="9.140625" style="227"/>
    <col min="6914" max="6914" width="13.7109375" style="227" customWidth="1"/>
    <col min="6915" max="6915" width="12.7109375" style="227" customWidth="1"/>
    <col min="6916" max="6916" width="13.7109375" style="227" customWidth="1"/>
    <col min="6917" max="6917" width="14.7109375" style="227" customWidth="1"/>
    <col min="6918" max="6918" width="19.7109375" style="227" customWidth="1"/>
    <col min="6919" max="6919" width="15" style="227" customWidth="1"/>
    <col min="6920" max="6920" width="13.7109375" style="227" bestFit="1" customWidth="1"/>
    <col min="6921" max="6921" width="15.42578125" style="227" customWidth="1"/>
    <col min="6922" max="7169" width="9.140625" style="227"/>
    <col min="7170" max="7170" width="13.7109375" style="227" customWidth="1"/>
    <col min="7171" max="7171" width="12.7109375" style="227" customWidth="1"/>
    <col min="7172" max="7172" width="13.7109375" style="227" customWidth="1"/>
    <col min="7173" max="7173" width="14.7109375" style="227" customWidth="1"/>
    <col min="7174" max="7174" width="19.7109375" style="227" customWidth="1"/>
    <col min="7175" max="7175" width="15" style="227" customWidth="1"/>
    <col min="7176" max="7176" width="13.7109375" style="227" bestFit="1" customWidth="1"/>
    <col min="7177" max="7177" width="15.42578125" style="227" customWidth="1"/>
    <col min="7178" max="7425" width="9.140625" style="227"/>
    <col min="7426" max="7426" width="13.7109375" style="227" customWidth="1"/>
    <col min="7427" max="7427" width="12.7109375" style="227" customWidth="1"/>
    <col min="7428" max="7428" width="13.7109375" style="227" customWidth="1"/>
    <col min="7429" max="7429" width="14.7109375" style="227" customWidth="1"/>
    <col min="7430" max="7430" width="19.7109375" style="227" customWidth="1"/>
    <col min="7431" max="7431" width="15" style="227" customWidth="1"/>
    <col min="7432" max="7432" width="13.7109375" style="227" bestFit="1" customWidth="1"/>
    <col min="7433" max="7433" width="15.42578125" style="227" customWidth="1"/>
    <col min="7434" max="7681" width="9.140625" style="227"/>
    <col min="7682" max="7682" width="13.7109375" style="227" customWidth="1"/>
    <col min="7683" max="7683" width="12.7109375" style="227" customWidth="1"/>
    <col min="7684" max="7684" width="13.7109375" style="227" customWidth="1"/>
    <col min="7685" max="7685" width="14.7109375" style="227" customWidth="1"/>
    <col min="7686" max="7686" width="19.7109375" style="227" customWidth="1"/>
    <col min="7687" max="7687" width="15" style="227" customWidth="1"/>
    <col min="7688" max="7688" width="13.7109375" style="227" bestFit="1" customWidth="1"/>
    <col min="7689" max="7689" width="15.42578125" style="227" customWidth="1"/>
    <col min="7690" max="7937" width="9.140625" style="227"/>
    <col min="7938" max="7938" width="13.7109375" style="227" customWidth="1"/>
    <col min="7939" max="7939" width="12.7109375" style="227" customWidth="1"/>
    <col min="7940" max="7940" width="13.7109375" style="227" customWidth="1"/>
    <col min="7941" max="7941" width="14.7109375" style="227" customWidth="1"/>
    <col min="7942" max="7942" width="19.7109375" style="227" customWidth="1"/>
    <col min="7943" max="7943" width="15" style="227" customWidth="1"/>
    <col min="7944" max="7944" width="13.7109375" style="227" bestFit="1" customWidth="1"/>
    <col min="7945" max="7945" width="15.42578125" style="227" customWidth="1"/>
    <col min="7946" max="8193" width="9.140625" style="227"/>
    <col min="8194" max="8194" width="13.7109375" style="227" customWidth="1"/>
    <col min="8195" max="8195" width="12.7109375" style="227" customWidth="1"/>
    <col min="8196" max="8196" width="13.7109375" style="227" customWidth="1"/>
    <col min="8197" max="8197" width="14.7109375" style="227" customWidth="1"/>
    <col min="8198" max="8198" width="19.7109375" style="227" customWidth="1"/>
    <col min="8199" max="8199" width="15" style="227" customWidth="1"/>
    <col min="8200" max="8200" width="13.7109375" style="227" bestFit="1" customWidth="1"/>
    <col min="8201" max="8201" width="15.42578125" style="227" customWidth="1"/>
    <col min="8202" max="8449" width="9.140625" style="227"/>
    <col min="8450" max="8450" width="13.7109375" style="227" customWidth="1"/>
    <col min="8451" max="8451" width="12.7109375" style="227" customWidth="1"/>
    <col min="8452" max="8452" width="13.7109375" style="227" customWidth="1"/>
    <col min="8453" max="8453" width="14.7109375" style="227" customWidth="1"/>
    <col min="8454" max="8454" width="19.7109375" style="227" customWidth="1"/>
    <col min="8455" max="8455" width="15" style="227" customWidth="1"/>
    <col min="8456" max="8456" width="13.7109375" style="227" bestFit="1" customWidth="1"/>
    <col min="8457" max="8457" width="15.42578125" style="227" customWidth="1"/>
    <col min="8458" max="8705" width="9.140625" style="227"/>
    <col min="8706" max="8706" width="13.7109375" style="227" customWidth="1"/>
    <col min="8707" max="8707" width="12.7109375" style="227" customWidth="1"/>
    <col min="8708" max="8708" width="13.7109375" style="227" customWidth="1"/>
    <col min="8709" max="8709" width="14.7109375" style="227" customWidth="1"/>
    <col min="8710" max="8710" width="19.7109375" style="227" customWidth="1"/>
    <col min="8711" max="8711" width="15" style="227" customWidth="1"/>
    <col min="8712" max="8712" width="13.7109375" style="227" bestFit="1" customWidth="1"/>
    <col min="8713" max="8713" width="15.42578125" style="227" customWidth="1"/>
    <col min="8714" max="8961" width="9.140625" style="227"/>
    <col min="8962" max="8962" width="13.7109375" style="227" customWidth="1"/>
    <col min="8963" max="8963" width="12.7109375" style="227" customWidth="1"/>
    <col min="8964" max="8964" width="13.7109375" style="227" customWidth="1"/>
    <col min="8965" max="8965" width="14.7109375" style="227" customWidth="1"/>
    <col min="8966" max="8966" width="19.7109375" style="227" customWidth="1"/>
    <col min="8967" max="8967" width="15" style="227" customWidth="1"/>
    <col min="8968" max="8968" width="13.7109375" style="227" bestFit="1" customWidth="1"/>
    <col min="8969" max="8969" width="15.42578125" style="227" customWidth="1"/>
    <col min="8970" max="9217" width="9.140625" style="227"/>
    <col min="9218" max="9218" width="13.7109375" style="227" customWidth="1"/>
    <col min="9219" max="9219" width="12.7109375" style="227" customWidth="1"/>
    <col min="9220" max="9220" width="13.7109375" style="227" customWidth="1"/>
    <col min="9221" max="9221" width="14.7109375" style="227" customWidth="1"/>
    <col min="9222" max="9222" width="19.7109375" style="227" customWidth="1"/>
    <col min="9223" max="9223" width="15" style="227" customWidth="1"/>
    <col min="9224" max="9224" width="13.7109375" style="227" bestFit="1" customWidth="1"/>
    <col min="9225" max="9225" width="15.42578125" style="227" customWidth="1"/>
    <col min="9226" max="9473" width="9.140625" style="227"/>
    <col min="9474" max="9474" width="13.7109375" style="227" customWidth="1"/>
    <col min="9475" max="9475" width="12.7109375" style="227" customWidth="1"/>
    <col min="9476" max="9476" width="13.7109375" style="227" customWidth="1"/>
    <col min="9477" max="9477" width="14.7109375" style="227" customWidth="1"/>
    <col min="9478" max="9478" width="19.7109375" style="227" customWidth="1"/>
    <col min="9479" max="9479" width="15" style="227" customWidth="1"/>
    <col min="9480" max="9480" width="13.7109375" style="227" bestFit="1" customWidth="1"/>
    <col min="9481" max="9481" width="15.42578125" style="227" customWidth="1"/>
    <col min="9482" max="9729" width="9.140625" style="227"/>
    <col min="9730" max="9730" width="13.7109375" style="227" customWidth="1"/>
    <col min="9731" max="9731" width="12.7109375" style="227" customWidth="1"/>
    <col min="9732" max="9732" width="13.7109375" style="227" customWidth="1"/>
    <col min="9733" max="9733" width="14.7109375" style="227" customWidth="1"/>
    <col min="9734" max="9734" width="19.7109375" style="227" customWidth="1"/>
    <col min="9735" max="9735" width="15" style="227" customWidth="1"/>
    <col min="9736" max="9736" width="13.7109375" style="227" bestFit="1" customWidth="1"/>
    <col min="9737" max="9737" width="15.42578125" style="227" customWidth="1"/>
    <col min="9738" max="9985" width="9.140625" style="227"/>
    <col min="9986" max="9986" width="13.7109375" style="227" customWidth="1"/>
    <col min="9987" max="9987" width="12.7109375" style="227" customWidth="1"/>
    <col min="9988" max="9988" width="13.7109375" style="227" customWidth="1"/>
    <col min="9989" max="9989" width="14.7109375" style="227" customWidth="1"/>
    <col min="9990" max="9990" width="19.7109375" style="227" customWidth="1"/>
    <col min="9991" max="9991" width="15" style="227" customWidth="1"/>
    <col min="9992" max="9992" width="13.7109375" style="227" bestFit="1" customWidth="1"/>
    <col min="9993" max="9993" width="15.42578125" style="227" customWidth="1"/>
    <col min="9994" max="10241" width="9.140625" style="227"/>
    <col min="10242" max="10242" width="13.7109375" style="227" customWidth="1"/>
    <col min="10243" max="10243" width="12.7109375" style="227" customWidth="1"/>
    <col min="10244" max="10244" width="13.7109375" style="227" customWidth="1"/>
    <col min="10245" max="10245" width="14.7109375" style="227" customWidth="1"/>
    <col min="10246" max="10246" width="19.7109375" style="227" customWidth="1"/>
    <col min="10247" max="10247" width="15" style="227" customWidth="1"/>
    <col min="10248" max="10248" width="13.7109375" style="227" bestFit="1" customWidth="1"/>
    <col min="10249" max="10249" width="15.42578125" style="227" customWidth="1"/>
    <col min="10250" max="10497" width="9.140625" style="227"/>
    <col min="10498" max="10498" width="13.7109375" style="227" customWidth="1"/>
    <col min="10499" max="10499" width="12.7109375" style="227" customWidth="1"/>
    <col min="10500" max="10500" width="13.7109375" style="227" customWidth="1"/>
    <col min="10501" max="10501" width="14.7109375" style="227" customWidth="1"/>
    <col min="10502" max="10502" width="19.7109375" style="227" customWidth="1"/>
    <col min="10503" max="10503" width="15" style="227" customWidth="1"/>
    <col min="10504" max="10504" width="13.7109375" style="227" bestFit="1" customWidth="1"/>
    <col min="10505" max="10505" width="15.42578125" style="227" customWidth="1"/>
    <col min="10506" max="10753" width="9.140625" style="227"/>
    <col min="10754" max="10754" width="13.7109375" style="227" customWidth="1"/>
    <col min="10755" max="10755" width="12.7109375" style="227" customWidth="1"/>
    <col min="10756" max="10756" width="13.7109375" style="227" customWidth="1"/>
    <col min="10757" max="10757" width="14.7109375" style="227" customWidth="1"/>
    <col min="10758" max="10758" width="19.7109375" style="227" customWidth="1"/>
    <col min="10759" max="10759" width="15" style="227" customWidth="1"/>
    <col min="10760" max="10760" width="13.7109375" style="227" bestFit="1" customWidth="1"/>
    <col min="10761" max="10761" width="15.42578125" style="227" customWidth="1"/>
    <col min="10762" max="11009" width="9.140625" style="227"/>
    <col min="11010" max="11010" width="13.7109375" style="227" customWidth="1"/>
    <col min="11011" max="11011" width="12.7109375" style="227" customWidth="1"/>
    <col min="11012" max="11012" width="13.7109375" style="227" customWidth="1"/>
    <col min="11013" max="11013" width="14.7109375" style="227" customWidth="1"/>
    <col min="11014" max="11014" width="19.7109375" style="227" customWidth="1"/>
    <col min="11015" max="11015" width="15" style="227" customWidth="1"/>
    <col min="11016" max="11016" width="13.7109375" style="227" bestFit="1" customWidth="1"/>
    <col min="11017" max="11017" width="15.42578125" style="227" customWidth="1"/>
    <col min="11018" max="11265" width="9.140625" style="227"/>
    <col min="11266" max="11266" width="13.7109375" style="227" customWidth="1"/>
    <col min="11267" max="11267" width="12.7109375" style="227" customWidth="1"/>
    <col min="11268" max="11268" width="13.7109375" style="227" customWidth="1"/>
    <col min="11269" max="11269" width="14.7109375" style="227" customWidth="1"/>
    <col min="11270" max="11270" width="19.7109375" style="227" customWidth="1"/>
    <col min="11271" max="11271" width="15" style="227" customWidth="1"/>
    <col min="11272" max="11272" width="13.7109375" style="227" bestFit="1" customWidth="1"/>
    <col min="11273" max="11273" width="15.42578125" style="227" customWidth="1"/>
    <col min="11274" max="11521" width="9.140625" style="227"/>
    <col min="11522" max="11522" width="13.7109375" style="227" customWidth="1"/>
    <col min="11523" max="11523" width="12.7109375" style="227" customWidth="1"/>
    <col min="11524" max="11524" width="13.7109375" style="227" customWidth="1"/>
    <col min="11525" max="11525" width="14.7109375" style="227" customWidth="1"/>
    <col min="11526" max="11526" width="19.7109375" style="227" customWidth="1"/>
    <col min="11527" max="11527" width="15" style="227" customWidth="1"/>
    <col min="11528" max="11528" width="13.7109375" style="227" bestFit="1" customWidth="1"/>
    <col min="11529" max="11529" width="15.42578125" style="227" customWidth="1"/>
    <col min="11530" max="11777" width="9.140625" style="227"/>
    <col min="11778" max="11778" width="13.7109375" style="227" customWidth="1"/>
    <col min="11779" max="11779" width="12.7109375" style="227" customWidth="1"/>
    <col min="11780" max="11780" width="13.7109375" style="227" customWidth="1"/>
    <col min="11781" max="11781" width="14.7109375" style="227" customWidth="1"/>
    <col min="11782" max="11782" width="19.7109375" style="227" customWidth="1"/>
    <col min="11783" max="11783" width="15" style="227" customWidth="1"/>
    <col min="11784" max="11784" width="13.7109375" style="227" bestFit="1" customWidth="1"/>
    <col min="11785" max="11785" width="15.42578125" style="227" customWidth="1"/>
    <col min="11786" max="12033" width="9.140625" style="227"/>
    <col min="12034" max="12034" width="13.7109375" style="227" customWidth="1"/>
    <col min="12035" max="12035" width="12.7109375" style="227" customWidth="1"/>
    <col min="12036" max="12036" width="13.7109375" style="227" customWidth="1"/>
    <col min="12037" max="12037" width="14.7109375" style="227" customWidth="1"/>
    <col min="12038" max="12038" width="19.7109375" style="227" customWidth="1"/>
    <col min="12039" max="12039" width="15" style="227" customWidth="1"/>
    <col min="12040" max="12040" width="13.7109375" style="227" bestFit="1" customWidth="1"/>
    <col min="12041" max="12041" width="15.42578125" style="227" customWidth="1"/>
    <col min="12042" max="12289" width="9.140625" style="227"/>
    <col min="12290" max="12290" width="13.7109375" style="227" customWidth="1"/>
    <col min="12291" max="12291" width="12.7109375" style="227" customWidth="1"/>
    <col min="12292" max="12292" width="13.7109375" style="227" customWidth="1"/>
    <col min="12293" max="12293" width="14.7109375" style="227" customWidth="1"/>
    <col min="12294" max="12294" width="19.7109375" style="227" customWidth="1"/>
    <col min="12295" max="12295" width="15" style="227" customWidth="1"/>
    <col min="12296" max="12296" width="13.7109375" style="227" bestFit="1" customWidth="1"/>
    <col min="12297" max="12297" width="15.42578125" style="227" customWidth="1"/>
    <col min="12298" max="12545" width="9.140625" style="227"/>
    <col min="12546" max="12546" width="13.7109375" style="227" customWidth="1"/>
    <col min="12547" max="12547" width="12.7109375" style="227" customWidth="1"/>
    <col min="12548" max="12548" width="13.7109375" style="227" customWidth="1"/>
    <col min="12549" max="12549" width="14.7109375" style="227" customWidth="1"/>
    <col min="12550" max="12550" width="19.7109375" style="227" customWidth="1"/>
    <col min="12551" max="12551" width="15" style="227" customWidth="1"/>
    <col min="12552" max="12552" width="13.7109375" style="227" bestFit="1" customWidth="1"/>
    <col min="12553" max="12553" width="15.42578125" style="227" customWidth="1"/>
    <col min="12554" max="12801" width="9.140625" style="227"/>
    <col min="12802" max="12802" width="13.7109375" style="227" customWidth="1"/>
    <col min="12803" max="12803" width="12.7109375" style="227" customWidth="1"/>
    <col min="12804" max="12804" width="13.7109375" style="227" customWidth="1"/>
    <col min="12805" max="12805" width="14.7109375" style="227" customWidth="1"/>
    <col min="12806" max="12806" width="19.7109375" style="227" customWidth="1"/>
    <col min="12807" max="12807" width="15" style="227" customWidth="1"/>
    <col min="12808" max="12808" width="13.7109375" style="227" bestFit="1" customWidth="1"/>
    <col min="12809" max="12809" width="15.42578125" style="227" customWidth="1"/>
    <col min="12810" max="13057" width="9.140625" style="227"/>
    <col min="13058" max="13058" width="13.7109375" style="227" customWidth="1"/>
    <col min="13059" max="13059" width="12.7109375" style="227" customWidth="1"/>
    <col min="13060" max="13060" width="13.7109375" style="227" customWidth="1"/>
    <col min="13061" max="13061" width="14.7109375" style="227" customWidth="1"/>
    <col min="13062" max="13062" width="19.7109375" style="227" customWidth="1"/>
    <col min="13063" max="13063" width="15" style="227" customWidth="1"/>
    <col min="13064" max="13064" width="13.7109375" style="227" bestFit="1" customWidth="1"/>
    <col min="13065" max="13065" width="15.42578125" style="227" customWidth="1"/>
    <col min="13066" max="13313" width="9.140625" style="227"/>
    <col min="13314" max="13314" width="13.7109375" style="227" customWidth="1"/>
    <col min="13315" max="13315" width="12.7109375" style="227" customWidth="1"/>
    <col min="13316" max="13316" width="13.7109375" style="227" customWidth="1"/>
    <col min="13317" max="13317" width="14.7109375" style="227" customWidth="1"/>
    <col min="13318" max="13318" width="19.7109375" style="227" customWidth="1"/>
    <col min="13319" max="13319" width="15" style="227" customWidth="1"/>
    <col min="13320" max="13320" width="13.7109375" style="227" bestFit="1" customWidth="1"/>
    <col min="13321" max="13321" width="15.42578125" style="227" customWidth="1"/>
    <col min="13322" max="13569" width="9.140625" style="227"/>
    <col min="13570" max="13570" width="13.7109375" style="227" customWidth="1"/>
    <col min="13571" max="13571" width="12.7109375" style="227" customWidth="1"/>
    <col min="13572" max="13572" width="13.7109375" style="227" customWidth="1"/>
    <col min="13573" max="13573" width="14.7109375" style="227" customWidth="1"/>
    <col min="13574" max="13574" width="19.7109375" style="227" customWidth="1"/>
    <col min="13575" max="13575" width="15" style="227" customWidth="1"/>
    <col min="13576" max="13576" width="13.7109375" style="227" bestFit="1" customWidth="1"/>
    <col min="13577" max="13577" width="15.42578125" style="227" customWidth="1"/>
    <col min="13578" max="13825" width="9.140625" style="227"/>
    <col min="13826" max="13826" width="13.7109375" style="227" customWidth="1"/>
    <col min="13827" max="13827" width="12.7109375" style="227" customWidth="1"/>
    <col min="13828" max="13828" width="13.7109375" style="227" customWidth="1"/>
    <col min="13829" max="13829" width="14.7109375" style="227" customWidth="1"/>
    <col min="13830" max="13830" width="19.7109375" style="227" customWidth="1"/>
    <col min="13831" max="13831" width="15" style="227" customWidth="1"/>
    <col min="13832" max="13832" width="13.7109375" style="227" bestFit="1" customWidth="1"/>
    <col min="13833" max="13833" width="15.42578125" style="227" customWidth="1"/>
    <col min="13834" max="14081" width="9.140625" style="227"/>
    <col min="14082" max="14082" width="13.7109375" style="227" customWidth="1"/>
    <col min="14083" max="14083" width="12.7109375" style="227" customWidth="1"/>
    <col min="14084" max="14084" width="13.7109375" style="227" customWidth="1"/>
    <col min="14085" max="14085" width="14.7109375" style="227" customWidth="1"/>
    <col min="14086" max="14086" width="19.7109375" style="227" customWidth="1"/>
    <col min="14087" max="14087" width="15" style="227" customWidth="1"/>
    <col min="14088" max="14088" width="13.7109375" style="227" bestFit="1" customWidth="1"/>
    <col min="14089" max="14089" width="15.42578125" style="227" customWidth="1"/>
    <col min="14090" max="14337" width="9.140625" style="227"/>
    <col min="14338" max="14338" width="13.7109375" style="227" customWidth="1"/>
    <col min="14339" max="14339" width="12.7109375" style="227" customWidth="1"/>
    <col min="14340" max="14340" width="13.7109375" style="227" customWidth="1"/>
    <col min="14341" max="14341" width="14.7109375" style="227" customWidth="1"/>
    <col min="14342" max="14342" width="19.7109375" style="227" customWidth="1"/>
    <col min="14343" max="14343" width="15" style="227" customWidth="1"/>
    <col min="14344" max="14344" width="13.7109375" style="227" bestFit="1" customWidth="1"/>
    <col min="14345" max="14345" width="15.42578125" style="227" customWidth="1"/>
    <col min="14346" max="14593" width="9.140625" style="227"/>
    <col min="14594" max="14594" width="13.7109375" style="227" customWidth="1"/>
    <col min="14595" max="14595" width="12.7109375" style="227" customWidth="1"/>
    <col min="14596" max="14596" width="13.7109375" style="227" customWidth="1"/>
    <col min="14597" max="14597" width="14.7109375" style="227" customWidth="1"/>
    <col min="14598" max="14598" width="19.7109375" style="227" customWidth="1"/>
    <col min="14599" max="14599" width="15" style="227" customWidth="1"/>
    <col min="14600" max="14600" width="13.7109375" style="227" bestFit="1" customWidth="1"/>
    <col min="14601" max="14601" width="15.42578125" style="227" customWidth="1"/>
    <col min="14602" max="14849" width="9.140625" style="227"/>
    <col min="14850" max="14850" width="13.7109375" style="227" customWidth="1"/>
    <col min="14851" max="14851" width="12.7109375" style="227" customWidth="1"/>
    <col min="14852" max="14852" width="13.7109375" style="227" customWidth="1"/>
    <col min="14853" max="14853" width="14.7109375" style="227" customWidth="1"/>
    <col min="14854" max="14854" width="19.7109375" style="227" customWidth="1"/>
    <col min="14855" max="14855" width="15" style="227" customWidth="1"/>
    <col min="14856" max="14856" width="13.7109375" style="227" bestFit="1" customWidth="1"/>
    <col min="14857" max="14857" width="15.42578125" style="227" customWidth="1"/>
    <col min="14858" max="15105" width="9.140625" style="227"/>
    <col min="15106" max="15106" width="13.7109375" style="227" customWidth="1"/>
    <col min="15107" max="15107" width="12.7109375" style="227" customWidth="1"/>
    <col min="15108" max="15108" width="13.7109375" style="227" customWidth="1"/>
    <col min="15109" max="15109" width="14.7109375" style="227" customWidth="1"/>
    <col min="15110" max="15110" width="19.7109375" style="227" customWidth="1"/>
    <col min="15111" max="15111" width="15" style="227" customWidth="1"/>
    <col min="15112" max="15112" width="13.7109375" style="227" bestFit="1" customWidth="1"/>
    <col min="15113" max="15113" width="15.42578125" style="227" customWidth="1"/>
    <col min="15114" max="15361" width="9.140625" style="227"/>
    <col min="15362" max="15362" width="13.7109375" style="227" customWidth="1"/>
    <col min="15363" max="15363" width="12.7109375" style="227" customWidth="1"/>
    <col min="15364" max="15364" width="13.7109375" style="227" customWidth="1"/>
    <col min="15365" max="15365" width="14.7109375" style="227" customWidth="1"/>
    <col min="15366" max="15366" width="19.7109375" style="227" customWidth="1"/>
    <col min="15367" max="15367" width="15" style="227" customWidth="1"/>
    <col min="15368" max="15368" width="13.7109375" style="227" bestFit="1" customWidth="1"/>
    <col min="15369" max="15369" width="15.42578125" style="227" customWidth="1"/>
    <col min="15370" max="15617" width="9.140625" style="227"/>
    <col min="15618" max="15618" width="13.7109375" style="227" customWidth="1"/>
    <col min="15619" max="15619" width="12.7109375" style="227" customWidth="1"/>
    <col min="15620" max="15620" width="13.7109375" style="227" customWidth="1"/>
    <col min="15621" max="15621" width="14.7109375" style="227" customWidth="1"/>
    <col min="15622" max="15622" width="19.7109375" style="227" customWidth="1"/>
    <col min="15623" max="15623" width="15" style="227" customWidth="1"/>
    <col min="15624" max="15624" width="13.7109375" style="227" bestFit="1" customWidth="1"/>
    <col min="15625" max="15625" width="15.42578125" style="227" customWidth="1"/>
    <col min="15626" max="15873" width="9.140625" style="227"/>
    <col min="15874" max="15874" width="13.7109375" style="227" customWidth="1"/>
    <col min="15875" max="15875" width="12.7109375" style="227" customWidth="1"/>
    <col min="15876" max="15876" width="13.7109375" style="227" customWidth="1"/>
    <col min="15877" max="15877" width="14.7109375" style="227" customWidth="1"/>
    <col min="15878" max="15878" width="19.7109375" style="227" customWidth="1"/>
    <col min="15879" max="15879" width="15" style="227" customWidth="1"/>
    <col min="15880" max="15880" width="13.7109375" style="227" bestFit="1" customWidth="1"/>
    <col min="15881" max="15881" width="15.42578125" style="227" customWidth="1"/>
    <col min="15882" max="16129" width="9.140625" style="227"/>
    <col min="16130" max="16130" width="13.7109375" style="227" customWidth="1"/>
    <col min="16131" max="16131" width="12.7109375" style="227" customWidth="1"/>
    <col min="16132" max="16132" width="13.7109375" style="227" customWidth="1"/>
    <col min="16133" max="16133" width="14.7109375" style="227" customWidth="1"/>
    <col min="16134" max="16134" width="19.7109375" style="227" customWidth="1"/>
    <col min="16135" max="16135" width="15" style="227" customWidth="1"/>
    <col min="16136" max="16136" width="13.7109375" style="227" bestFit="1" customWidth="1"/>
    <col min="16137" max="16137" width="15.42578125" style="227" customWidth="1"/>
    <col min="16138" max="16384" width="9.140625" style="227"/>
  </cols>
  <sheetData>
    <row r="1" spans="1:14" x14ac:dyDescent="0.2">
      <c r="A1" s="226"/>
    </row>
    <row r="3" spans="1:14" ht="18" customHeight="1" x14ac:dyDescent="0.2">
      <c r="A3" s="228" t="s">
        <v>126</v>
      </c>
      <c r="C3" s="229"/>
      <c r="D3" s="229"/>
      <c r="E3" s="229"/>
      <c r="F3" s="229"/>
      <c r="G3" s="229"/>
    </row>
    <row r="5" spans="1:14" ht="20.25" x14ac:dyDescent="0.2">
      <c r="A5" s="230" t="s">
        <v>189</v>
      </c>
    </row>
    <row r="6" spans="1:14" s="231" customFormat="1" ht="13.5" thickBot="1" x14ac:dyDescent="0.25">
      <c r="G6" s="456" t="s">
        <v>176</v>
      </c>
    </row>
    <row r="7" spans="1:14" x14ac:dyDescent="0.2">
      <c r="A7" s="873" t="s">
        <v>73</v>
      </c>
      <c r="B7" s="875" t="s">
        <v>116</v>
      </c>
      <c r="C7" s="515" t="s">
        <v>190</v>
      </c>
      <c r="D7" s="515"/>
      <c r="E7" s="515"/>
      <c r="F7" s="516"/>
      <c r="G7" s="877" t="s">
        <v>127</v>
      </c>
    </row>
    <row r="8" spans="1:14" ht="26.25" thickBot="1" x14ac:dyDescent="0.25">
      <c r="A8" s="874"/>
      <c r="B8" s="876"/>
      <c r="C8" s="667" t="s">
        <v>128</v>
      </c>
      <c r="D8" s="517" t="s">
        <v>129</v>
      </c>
      <c r="E8" s="517" t="s">
        <v>130</v>
      </c>
      <c r="F8" s="517" t="s">
        <v>131</v>
      </c>
      <c r="G8" s="878"/>
    </row>
    <row r="9" spans="1:14" ht="15" customHeight="1" x14ac:dyDescent="0.2">
      <c r="A9" s="624">
        <v>11000</v>
      </c>
      <c r="B9" s="657" t="s">
        <v>170</v>
      </c>
      <c r="C9" s="668">
        <v>745283</v>
      </c>
      <c r="D9" s="625">
        <v>75083</v>
      </c>
      <c r="E9" s="625">
        <f>+D9*0.4</f>
        <v>30033.200000000001</v>
      </c>
      <c r="F9" s="625">
        <f>C9+E9</f>
        <v>775316.2</v>
      </c>
      <c r="G9" s="626">
        <f>ROUND(F9*G$37,-3)</f>
        <v>13917000</v>
      </c>
      <c r="H9" s="238"/>
      <c r="I9" s="316"/>
      <c r="J9" s="316"/>
      <c r="K9" s="316"/>
      <c r="L9" s="316"/>
      <c r="M9" s="316"/>
      <c r="N9" s="316"/>
    </row>
    <row r="10" spans="1:14" ht="15" customHeight="1" x14ac:dyDescent="0.2">
      <c r="A10" s="627">
        <v>12000</v>
      </c>
      <c r="B10" s="658" t="s">
        <v>91</v>
      </c>
      <c r="C10" s="668">
        <v>379380</v>
      </c>
      <c r="D10" s="625">
        <v>16700</v>
      </c>
      <c r="E10" s="625">
        <f t="shared" ref="E10:E34" si="0">+D10*0.4</f>
        <v>6680</v>
      </c>
      <c r="F10" s="625">
        <f>C10+E10</f>
        <v>386060</v>
      </c>
      <c r="G10" s="626">
        <f t="shared" ref="G10:G34" si="1">ROUND(F10*G$37,-3)</f>
        <v>6930000</v>
      </c>
      <c r="I10" s="316"/>
      <c r="J10" s="316"/>
      <c r="K10" s="316"/>
      <c r="L10" s="316"/>
      <c r="M10" s="316"/>
      <c r="N10" s="316"/>
    </row>
    <row r="11" spans="1:14" ht="15" customHeight="1" x14ac:dyDescent="0.2">
      <c r="A11" s="627">
        <v>13000</v>
      </c>
      <c r="B11" s="658" t="s">
        <v>92</v>
      </c>
      <c r="C11" s="668">
        <v>10102</v>
      </c>
      <c r="D11" s="625">
        <v>813</v>
      </c>
      <c r="E11" s="625">
        <f t="shared" si="0"/>
        <v>325.20000000000005</v>
      </c>
      <c r="F11" s="625">
        <f t="shared" ref="F11:F34" si="2">C11+E11</f>
        <v>10427.200000000001</v>
      </c>
      <c r="G11" s="626">
        <f t="shared" si="1"/>
        <v>187000</v>
      </c>
      <c r="I11" s="316"/>
      <c r="J11" s="316"/>
      <c r="K11" s="316"/>
      <c r="L11" s="316"/>
      <c r="M11" s="316"/>
      <c r="N11" s="316"/>
    </row>
    <row r="12" spans="1:14" ht="15" customHeight="1" x14ac:dyDescent="0.2">
      <c r="A12" s="627">
        <v>14000</v>
      </c>
      <c r="B12" s="658" t="s">
        <v>93</v>
      </c>
      <c r="C12" s="668">
        <v>1286922</v>
      </c>
      <c r="D12" s="625">
        <v>93633</v>
      </c>
      <c r="E12" s="625">
        <f t="shared" si="0"/>
        <v>37453.200000000004</v>
      </c>
      <c r="F12" s="625">
        <f t="shared" si="2"/>
        <v>1324375.2</v>
      </c>
      <c r="G12" s="626">
        <f t="shared" si="1"/>
        <v>23773000</v>
      </c>
      <c r="I12" s="316"/>
      <c r="J12" s="316"/>
      <c r="K12" s="316"/>
      <c r="L12" s="316"/>
      <c r="M12" s="316"/>
      <c r="N12" s="316"/>
    </row>
    <row r="13" spans="1:14" ht="15" customHeight="1" x14ac:dyDescent="0.2">
      <c r="A13" s="627">
        <v>15000</v>
      </c>
      <c r="B13" s="658" t="s">
        <v>94</v>
      </c>
      <c r="C13" s="668">
        <v>456883</v>
      </c>
      <c r="D13" s="625">
        <v>26033</v>
      </c>
      <c r="E13" s="625">
        <f t="shared" si="0"/>
        <v>10413.200000000001</v>
      </c>
      <c r="F13" s="625">
        <f t="shared" si="2"/>
        <v>467296.2</v>
      </c>
      <c r="G13" s="626">
        <f t="shared" si="1"/>
        <v>8388000</v>
      </c>
      <c r="I13" s="316"/>
      <c r="J13" s="316"/>
      <c r="K13" s="316"/>
      <c r="L13" s="316"/>
      <c r="M13" s="316"/>
      <c r="N13" s="316"/>
    </row>
    <row r="14" spans="1:14" ht="15" customHeight="1" x14ac:dyDescent="0.2">
      <c r="A14" s="627">
        <v>16000</v>
      </c>
      <c r="B14" s="658" t="s">
        <v>95</v>
      </c>
      <c r="C14" s="668">
        <v>0</v>
      </c>
      <c r="D14" s="625">
        <v>0</v>
      </c>
      <c r="E14" s="625">
        <f t="shared" si="0"/>
        <v>0</v>
      </c>
      <c r="F14" s="625">
        <f t="shared" si="2"/>
        <v>0</v>
      </c>
      <c r="G14" s="626">
        <f t="shared" si="1"/>
        <v>0</v>
      </c>
      <c r="I14" s="316"/>
      <c r="J14" s="316"/>
      <c r="K14" s="316"/>
      <c r="L14" s="316"/>
      <c r="M14" s="316"/>
      <c r="N14" s="316"/>
    </row>
    <row r="15" spans="1:14" ht="15" customHeight="1" x14ac:dyDescent="0.2">
      <c r="A15" s="627">
        <v>17000</v>
      </c>
      <c r="B15" s="658" t="s">
        <v>169</v>
      </c>
      <c r="C15" s="668">
        <v>58783</v>
      </c>
      <c r="D15" s="625">
        <v>5436</v>
      </c>
      <c r="E15" s="625">
        <f t="shared" si="0"/>
        <v>2174.4</v>
      </c>
      <c r="F15" s="625">
        <f t="shared" si="2"/>
        <v>60957.4</v>
      </c>
      <c r="G15" s="626">
        <f t="shared" si="1"/>
        <v>1094000</v>
      </c>
      <c r="I15" s="316"/>
      <c r="J15" s="316"/>
      <c r="K15" s="316"/>
      <c r="L15" s="316"/>
      <c r="M15" s="316"/>
      <c r="N15" s="316"/>
    </row>
    <row r="16" spans="1:14" ht="15" customHeight="1" x14ac:dyDescent="0.2">
      <c r="A16" s="627">
        <v>18000</v>
      </c>
      <c r="B16" s="658" t="s">
        <v>88</v>
      </c>
      <c r="C16" s="668">
        <v>20255</v>
      </c>
      <c r="D16" s="625">
        <v>0</v>
      </c>
      <c r="E16" s="625">
        <f t="shared" si="0"/>
        <v>0</v>
      </c>
      <c r="F16" s="625">
        <f t="shared" si="2"/>
        <v>20255</v>
      </c>
      <c r="G16" s="626">
        <f t="shared" si="1"/>
        <v>364000</v>
      </c>
      <c r="I16" s="316"/>
      <c r="J16" s="316"/>
      <c r="K16" s="316"/>
      <c r="L16" s="316"/>
      <c r="M16" s="316"/>
      <c r="N16" s="316"/>
    </row>
    <row r="17" spans="1:14" ht="15" customHeight="1" x14ac:dyDescent="0.2">
      <c r="A17" s="627">
        <v>19000</v>
      </c>
      <c r="B17" s="658" t="s">
        <v>96</v>
      </c>
      <c r="C17" s="668">
        <v>207844</v>
      </c>
      <c r="D17" s="625">
        <v>19972</v>
      </c>
      <c r="E17" s="625">
        <f t="shared" si="0"/>
        <v>7988.8</v>
      </c>
      <c r="F17" s="625">
        <f t="shared" si="2"/>
        <v>215832.8</v>
      </c>
      <c r="G17" s="626">
        <f t="shared" si="1"/>
        <v>3874000</v>
      </c>
      <c r="I17" s="316"/>
      <c r="J17" s="316"/>
      <c r="K17" s="316"/>
      <c r="L17" s="316"/>
      <c r="M17" s="316"/>
      <c r="N17" s="316"/>
    </row>
    <row r="18" spans="1:14" ht="15" customHeight="1" x14ac:dyDescent="0.2">
      <c r="A18" s="627">
        <v>21000</v>
      </c>
      <c r="B18" s="658" t="s">
        <v>97</v>
      </c>
      <c r="C18" s="668">
        <v>896693</v>
      </c>
      <c r="D18" s="625">
        <v>151530</v>
      </c>
      <c r="E18" s="625">
        <f t="shared" si="0"/>
        <v>60612</v>
      </c>
      <c r="F18" s="625">
        <f t="shared" si="2"/>
        <v>957305</v>
      </c>
      <c r="G18" s="626">
        <f t="shared" si="1"/>
        <v>17184000</v>
      </c>
      <c r="I18" s="316"/>
      <c r="J18" s="316"/>
      <c r="K18" s="316"/>
      <c r="L18" s="316"/>
      <c r="M18" s="316"/>
      <c r="N18" s="316"/>
    </row>
    <row r="19" spans="1:14" ht="15" customHeight="1" x14ac:dyDescent="0.2">
      <c r="A19" s="627">
        <v>22000</v>
      </c>
      <c r="B19" s="658" t="s">
        <v>98</v>
      </c>
      <c r="C19" s="668">
        <v>91565</v>
      </c>
      <c r="D19" s="625">
        <v>8698</v>
      </c>
      <c r="E19" s="625">
        <f t="shared" si="0"/>
        <v>3479.2000000000003</v>
      </c>
      <c r="F19" s="625">
        <f t="shared" si="2"/>
        <v>95044.2</v>
      </c>
      <c r="G19" s="626">
        <f t="shared" si="1"/>
        <v>1706000</v>
      </c>
      <c r="I19" s="316"/>
      <c r="J19" s="316"/>
      <c r="K19" s="316"/>
      <c r="L19" s="316"/>
      <c r="M19" s="316"/>
      <c r="N19" s="316"/>
    </row>
    <row r="20" spans="1:14" ht="15" customHeight="1" x14ac:dyDescent="0.2">
      <c r="A20" s="627">
        <v>23000</v>
      </c>
      <c r="B20" s="658" t="s">
        <v>99</v>
      </c>
      <c r="C20" s="668">
        <v>415059</v>
      </c>
      <c r="D20" s="625">
        <v>43768</v>
      </c>
      <c r="E20" s="625">
        <f t="shared" si="0"/>
        <v>17507.2</v>
      </c>
      <c r="F20" s="625">
        <f t="shared" si="2"/>
        <v>432566.2</v>
      </c>
      <c r="G20" s="626">
        <f t="shared" si="1"/>
        <v>7765000</v>
      </c>
      <c r="I20" s="316"/>
      <c r="J20" s="316"/>
      <c r="K20" s="316"/>
      <c r="L20" s="316"/>
      <c r="M20" s="316"/>
      <c r="N20" s="316"/>
    </row>
    <row r="21" spans="1:14" ht="15" customHeight="1" x14ac:dyDescent="0.2">
      <c r="A21" s="627">
        <v>24000</v>
      </c>
      <c r="B21" s="658" t="s">
        <v>100</v>
      </c>
      <c r="C21" s="668">
        <v>134481</v>
      </c>
      <c r="D21" s="625">
        <v>12906</v>
      </c>
      <c r="E21" s="625">
        <f t="shared" si="0"/>
        <v>5162.4000000000005</v>
      </c>
      <c r="F21" s="625">
        <f t="shared" si="2"/>
        <v>139643.4</v>
      </c>
      <c r="G21" s="626">
        <f t="shared" si="1"/>
        <v>2507000</v>
      </c>
      <c r="I21" s="316"/>
      <c r="J21" s="316"/>
      <c r="K21" s="316"/>
      <c r="L21" s="316"/>
      <c r="M21" s="316"/>
      <c r="N21" s="316"/>
    </row>
    <row r="22" spans="1:14" ht="15" customHeight="1" x14ac:dyDescent="0.2">
      <c r="A22" s="627">
        <v>25000</v>
      </c>
      <c r="B22" s="658" t="s">
        <v>101</v>
      </c>
      <c r="C22" s="668">
        <v>231658</v>
      </c>
      <c r="D22" s="625">
        <v>16375</v>
      </c>
      <c r="E22" s="625">
        <f t="shared" si="0"/>
        <v>6550</v>
      </c>
      <c r="F22" s="625">
        <f t="shared" si="2"/>
        <v>238208</v>
      </c>
      <c r="G22" s="626">
        <f t="shared" si="1"/>
        <v>4276000</v>
      </c>
      <c r="I22" s="316"/>
      <c r="J22" s="316"/>
      <c r="K22" s="316"/>
      <c r="L22" s="316"/>
      <c r="M22" s="316"/>
      <c r="N22" s="316"/>
    </row>
    <row r="23" spans="1:14" ht="15" customHeight="1" x14ac:dyDescent="0.2">
      <c r="A23" s="627">
        <v>26000</v>
      </c>
      <c r="B23" s="658" t="s">
        <v>102</v>
      </c>
      <c r="C23" s="668">
        <v>772339</v>
      </c>
      <c r="D23" s="625">
        <v>61855</v>
      </c>
      <c r="E23" s="625">
        <f t="shared" si="0"/>
        <v>24742</v>
      </c>
      <c r="F23" s="625">
        <f t="shared" si="2"/>
        <v>797081</v>
      </c>
      <c r="G23" s="626">
        <f t="shared" si="1"/>
        <v>14308000</v>
      </c>
      <c r="I23" s="316"/>
      <c r="J23" s="316"/>
      <c r="K23" s="316"/>
      <c r="L23" s="316"/>
      <c r="M23" s="316"/>
      <c r="N23" s="316"/>
    </row>
    <row r="24" spans="1:14" ht="15" customHeight="1" x14ac:dyDescent="0.2">
      <c r="A24" s="627">
        <v>27000</v>
      </c>
      <c r="B24" s="658" t="s">
        <v>103</v>
      </c>
      <c r="C24" s="668">
        <v>197354</v>
      </c>
      <c r="D24" s="625">
        <v>82304</v>
      </c>
      <c r="E24" s="625">
        <f t="shared" si="0"/>
        <v>32921.599999999999</v>
      </c>
      <c r="F24" s="625">
        <f t="shared" si="2"/>
        <v>230275.6</v>
      </c>
      <c r="G24" s="626">
        <f t="shared" si="1"/>
        <v>4133000</v>
      </c>
      <c r="I24" s="316"/>
      <c r="J24" s="316"/>
      <c r="K24" s="316"/>
      <c r="L24" s="316"/>
      <c r="M24" s="316"/>
      <c r="N24" s="316"/>
    </row>
    <row r="25" spans="1:14" ht="15" customHeight="1" x14ac:dyDescent="0.2">
      <c r="A25" s="627">
        <v>28000</v>
      </c>
      <c r="B25" s="658" t="s">
        <v>104</v>
      </c>
      <c r="C25" s="668">
        <v>180084</v>
      </c>
      <c r="D25" s="625">
        <v>15727</v>
      </c>
      <c r="E25" s="625">
        <f t="shared" si="0"/>
        <v>6290.8</v>
      </c>
      <c r="F25" s="625">
        <f t="shared" si="2"/>
        <v>186374.8</v>
      </c>
      <c r="G25" s="626">
        <f t="shared" si="1"/>
        <v>3345000</v>
      </c>
      <c r="I25" s="316"/>
      <c r="J25" s="316"/>
      <c r="K25" s="316"/>
      <c r="L25" s="316"/>
      <c r="M25" s="316"/>
      <c r="N25" s="316"/>
    </row>
    <row r="26" spans="1:14" ht="15" customHeight="1" x14ac:dyDescent="0.2">
      <c r="A26" s="627">
        <v>31000</v>
      </c>
      <c r="B26" s="658" t="s">
        <v>105</v>
      </c>
      <c r="C26" s="668">
        <v>273997</v>
      </c>
      <c r="D26" s="625">
        <v>3183</v>
      </c>
      <c r="E26" s="625">
        <f t="shared" si="0"/>
        <v>1273.2</v>
      </c>
      <c r="F26" s="625">
        <f t="shared" si="2"/>
        <v>275270.2</v>
      </c>
      <c r="G26" s="626">
        <f t="shared" si="1"/>
        <v>4941000</v>
      </c>
      <c r="I26" s="316"/>
      <c r="J26" s="316"/>
      <c r="K26" s="316"/>
      <c r="L26" s="316"/>
      <c r="M26" s="316"/>
      <c r="N26" s="316"/>
    </row>
    <row r="27" spans="1:14" ht="15" customHeight="1" x14ac:dyDescent="0.2">
      <c r="A27" s="627">
        <v>41000</v>
      </c>
      <c r="B27" s="658" t="s">
        <v>106</v>
      </c>
      <c r="C27" s="668">
        <v>240962</v>
      </c>
      <c r="D27" s="625">
        <v>1890</v>
      </c>
      <c r="E27" s="625">
        <f t="shared" si="0"/>
        <v>756</v>
      </c>
      <c r="F27" s="625">
        <f>C27+E27</f>
        <v>241718</v>
      </c>
      <c r="G27" s="626">
        <f t="shared" si="1"/>
        <v>4339000</v>
      </c>
      <c r="I27" s="316"/>
      <c r="J27" s="316"/>
      <c r="K27" s="316"/>
      <c r="L27" s="316"/>
      <c r="M27" s="316"/>
      <c r="N27" s="316"/>
    </row>
    <row r="28" spans="1:14" ht="15" customHeight="1" x14ac:dyDescent="0.2">
      <c r="A28" s="627">
        <v>43000</v>
      </c>
      <c r="B28" s="658" t="s">
        <v>107</v>
      </c>
      <c r="C28" s="668">
        <v>354557</v>
      </c>
      <c r="D28" s="625">
        <v>25657</v>
      </c>
      <c r="E28" s="625">
        <f t="shared" si="0"/>
        <v>10262.800000000001</v>
      </c>
      <c r="F28" s="625">
        <f t="shared" si="2"/>
        <v>364819.8</v>
      </c>
      <c r="G28" s="626">
        <f t="shared" si="1"/>
        <v>6549000</v>
      </c>
      <c r="I28" s="316"/>
      <c r="J28" s="316"/>
      <c r="K28" s="316"/>
      <c r="L28" s="316"/>
      <c r="M28" s="316"/>
      <c r="N28" s="316"/>
    </row>
    <row r="29" spans="1:14" ht="15" customHeight="1" x14ac:dyDescent="0.2">
      <c r="A29" s="627">
        <v>51000</v>
      </c>
      <c r="B29" s="658" t="s">
        <v>108</v>
      </c>
      <c r="C29" s="668">
        <v>0</v>
      </c>
      <c r="D29" s="625">
        <v>0</v>
      </c>
      <c r="E29" s="625">
        <f t="shared" si="0"/>
        <v>0</v>
      </c>
      <c r="F29" s="625">
        <f t="shared" si="2"/>
        <v>0</v>
      </c>
      <c r="G29" s="626">
        <f t="shared" si="1"/>
        <v>0</v>
      </c>
      <c r="I29" s="316"/>
      <c r="J29" s="316"/>
      <c r="K29" s="316"/>
      <c r="L29" s="316"/>
      <c r="M29" s="316"/>
      <c r="N29" s="316"/>
    </row>
    <row r="30" spans="1:14" ht="15" customHeight="1" x14ac:dyDescent="0.2">
      <c r="A30" s="627">
        <v>52000</v>
      </c>
      <c r="B30" s="658" t="s">
        <v>109</v>
      </c>
      <c r="C30" s="668">
        <v>10160</v>
      </c>
      <c r="D30" s="625">
        <v>0</v>
      </c>
      <c r="E30" s="625">
        <f t="shared" si="0"/>
        <v>0</v>
      </c>
      <c r="F30" s="625">
        <f t="shared" si="2"/>
        <v>10160</v>
      </c>
      <c r="G30" s="626">
        <f t="shared" si="1"/>
        <v>182000</v>
      </c>
      <c r="I30" s="316"/>
      <c r="J30" s="316"/>
      <c r="K30" s="316"/>
      <c r="L30" s="316"/>
      <c r="M30" s="316"/>
      <c r="N30" s="316"/>
    </row>
    <row r="31" spans="1:14" ht="15" customHeight="1" x14ac:dyDescent="0.2">
      <c r="A31" s="627">
        <v>53000</v>
      </c>
      <c r="B31" s="658" t="s">
        <v>110</v>
      </c>
      <c r="C31" s="668">
        <v>0</v>
      </c>
      <c r="D31" s="625">
        <v>0</v>
      </c>
      <c r="E31" s="625">
        <f t="shared" si="0"/>
        <v>0</v>
      </c>
      <c r="F31" s="625">
        <f t="shared" si="2"/>
        <v>0</v>
      </c>
      <c r="G31" s="626">
        <f t="shared" si="1"/>
        <v>0</v>
      </c>
      <c r="I31" s="316"/>
      <c r="J31" s="316"/>
      <c r="K31" s="316"/>
      <c r="L31" s="316"/>
      <c r="M31" s="316"/>
      <c r="N31" s="316"/>
    </row>
    <row r="32" spans="1:14" ht="15" customHeight="1" x14ac:dyDescent="0.2">
      <c r="A32" s="627">
        <v>54000</v>
      </c>
      <c r="B32" s="658" t="s">
        <v>111</v>
      </c>
      <c r="C32" s="668">
        <v>0</v>
      </c>
      <c r="D32" s="625">
        <v>0</v>
      </c>
      <c r="E32" s="625">
        <f t="shared" si="0"/>
        <v>0</v>
      </c>
      <c r="F32" s="625">
        <f t="shared" si="2"/>
        <v>0</v>
      </c>
      <c r="G32" s="626">
        <f t="shared" si="1"/>
        <v>0</v>
      </c>
      <c r="I32" s="316"/>
      <c r="J32" s="316"/>
      <c r="K32" s="316"/>
      <c r="L32" s="316"/>
      <c r="M32" s="316"/>
      <c r="N32" s="316"/>
    </row>
    <row r="33" spans="1:14" ht="15" customHeight="1" x14ac:dyDescent="0.2">
      <c r="A33" s="627">
        <v>55000</v>
      </c>
      <c r="B33" s="658" t="s">
        <v>112</v>
      </c>
      <c r="C33" s="668">
        <v>27184</v>
      </c>
      <c r="D33" s="625">
        <v>0</v>
      </c>
      <c r="E33" s="625">
        <f t="shared" si="0"/>
        <v>0</v>
      </c>
      <c r="F33" s="625">
        <f t="shared" si="2"/>
        <v>27184</v>
      </c>
      <c r="G33" s="626">
        <f t="shared" si="1"/>
        <v>488000</v>
      </c>
      <c r="I33" s="316"/>
      <c r="J33" s="316"/>
      <c r="K33" s="316"/>
      <c r="L33" s="316"/>
      <c r="M33" s="316"/>
      <c r="N33" s="316"/>
    </row>
    <row r="34" spans="1:14" ht="15" customHeight="1" thickBot="1" x14ac:dyDescent="0.25">
      <c r="A34" s="628">
        <v>56000</v>
      </c>
      <c r="B34" s="659" t="s">
        <v>113</v>
      </c>
      <c r="C34" s="669">
        <v>18225</v>
      </c>
      <c r="D34" s="629">
        <v>8195</v>
      </c>
      <c r="E34" s="629">
        <f t="shared" si="0"/>
        <v>3278</v>
      </c>
      <c r="F34" s="629">
        <f t="shared" si="2"/>
        <v>21503</v>
      </c>
      <c r="G34" s="626">
        <f t="shared" si="1"/>
        <v>386000</v>
      </c>
      <c r="I34" s="316"/>
      <c r="J34" s="316"/>
      <c r="K34" s="316"/>
      <c r="L34" s="316"/>
      <c r="M34" s="316"/>
      <c r="N34" s="316"/>
    </row>
    <row r="35" spans="1:14" ht="15" customHeight="1" thickBot="1" x14ac:dyDescent="0.25">
      <c r="A35" s="514"/>
      <c r="B35" s="671" t="s">
        <v>72</v>
      </c>
      <c r="C35" s="670">
        <f>SUM(C9:C34)</f>
        <v>7009770</v>
      </c>
      <c r="D35" s="630">
        <f>SUM(D9:D34)</f>
        <v>669758</v>
      </c>
      <c r="E35" s="630">
        <f>D35*0.4</f>
        <v>267903.2</v>
      </c>
      <c r="F35" s="630">
        <f>SUM(F9:F34)</f>
        <v>7277673.2000000002</v>
      </c>
      <c r="G35" s="631">
        <f>SUM(G9:G34)</f>
        <v>130636000</v>
      </c>
      <c r="I35" s="316"/>
      <c r="J35" s="316"/>
      <c r="K35" s="316"/>
      <c r="L35" s="316"/>
      <c r="M35" s="316"/>
      <c r="N35" s="316"/>
    </row>
    <row r="36" spans="1:14" s="231" customFormat="1" ht="15" customHeight="1" thickBot="1" x14ac:dyDescent="0.25">
      <c r="A36" s="632"/>
      <c r="B36" s="632"/>
      <c r="C36" s="632"/>
      <c r="D36" s="632"/>
      <c r="E36" s="632"/>
      <c r="F36" s="632"/>
      <c r="G36" s="632"/>
    </row>
    <row r="37" spans="1:14" ht="15" customHeight="1" thickBot="1" x14ac:dyDescent="0.25">
      <c r="A37" s="633" t="s">
        <v>132</v>
      </c>
      <c r="B37" s="634"/>
      <c r="C37" s="634"/>
      <c r="D37" s="634"/>
      <c r="E37" s="634"/>
      <c r="F37" s="634"/>
      <c r="G37" s="635">
        <v>17.95</v>
      </c>
    </row>
    <row r="38" spans="1:14" ht="15" customHeight="1" thickBot="1" x14ac:dyDescent="0.25">
      <c r="A38" s="633" t="s">
        <v>133</v>
      </c>
      <c r="B38" s="634"/>
      <c r="C38" s="634"/>
      <c r="D38" s="634"/>
      <c r="E38" s="634"/>
      <c r="F38" s="634"/>
      <c r="G38" s="636">
        <f>+G35</f>
        <v>130636000</v>
      </c>
      <c r="I38" s="232"/>
    </row>
    <row r="39" spans="1:14" ht="15" customHeight="1" thickBot="1" x14ac:dyDescent="0.25">
      <c r="A39" s="633" t="s">
        <v>254</v>
      </c>
      <c r="B39" s="634"/>
      <c r="C39" s="634"/>
      <c r="D39" s="634"/>
      <c r="E39" s="634"/>
      <c r="F39" s="634"/>
      <c r="G39" s="637">
        <v>135000000</v>
      </c>
    </row>
    <row r="40" spans="1:14" ht="15" customHeight="1" thickBot="1" x14ac:dyDescent="0.25">
      <c r="A40" s="633" t="s">
        <v>191</v>
      </c>
      <c r="B40" s="634"/>
      <c r="C40" s="634"/>
      <c r="D40" s="634"/>
      <c r="E40" s="634"/>
      <c r="F40" s="634"/>
      <c r="G40" s="637">
        <f>G39-G38</f>
        <v>4364000</v>
      </c>
    </row>
  </sheetData>
  <mergeCells count="3">
    <mergeCell ref="A7:A8"/>
    <mergeCell ref="B7:B8"/>
    <mergeCell ref="G7:G8"/>
  </mergeCells>
  <printOptions horizontalCentered="1"/>
  <pageMargins left="0.39370078740157483" right="0.39370078740157483" top="0.70866141732283472" bottom="0.98425196850393704" header="0.51181102362204722" footer="0.51181102362204722"/>
  <pageSetup paperSize="9" orientation="portrait" horizontalDpi="300" verticalDpi="300" r:id="rId1"/>
  <headerFooter alignWithMargins="0">
    <oddHeader>&amp;LČ. j.: MSMT-1404/2017-1</oddHeader>
    <oddFooter>&amp;R9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60"/>
  <sheetViews>
    <sheetView tabSelected="1" topLeftCell="A28" zoomScaleNormal="100" workbookViewId="0">
      <selection activeCell="F45" sqref="F45"/>
    </sheetView>
  </sheetViews>
  <sheetFormatPr defaultRowHeight="14.25" x14ac:dyDescent="0.2"/>
  <cols>
    <col min="1" max="1" width="10" style="247" bestFit="1" customWidth="1"/>
    <col min="2" max="2" width="62.7109375" style="247" customWidth="1"/>
    <col min="3" max="3" width="11.7109375" style="247" customWidth="1"/>
    <col min="4" max="4" width="15.7109375" style="247" customWidth="1"/>
    <col min="5" max="5" width="5.85546875" style="247" customWidth="1"/>
    <col min="6" max="6" width="38.5703125" style="247" customWidth="1"/>
    <col min="7" max="16384" width="9.140625" style="247"/>
  </cols>
  <sheetData>
    <row r="1" spans="1:5" x14ac:dyDescent="0.2">
      <c r="A1" s="294"/>
    </row>
    <row r="3" spans="1:5" ht="23.25" x14ac:dyDescent="0.2">
      <c r="A3" s="295" t="s">
        <v>134</v>
      </c>
      <c r="B3" s="248"/>
      <c r="C3" s="248"/>
      <c r="D3" s="248"/>
      <c r="E3" s="248"/>
    </row>
    <row r="4" spans="1:5" ht="14.25" customHeight="1" x14ac:dyDescent="0.2">
      <c r="A4" s="295"/>
      <c r="B4" s="248"/>
      <c r="C4" s="248"/>
      <c r="D4" s="248"/>
      <c r="E4" s="248"/>
    </row>
    <row r="5" spans="1:5" ht="23.25" x14ac:dyDescent="0.2">
      <c r="A5" s="295" t="s">
        <v>182</v>
      </c>
      <c r="B5" s="248"/>
      <c r="C5" s="248"/>
      <c r="D5" s="248"/>
      <c r="E5" s="248"/>
    </row>
    <row r="6" spans="1:5" s="211" customFormat="1" ht="12.75" x14ac:dyDescent="0.2"/>
    <row r="7" spans="1:5" s="248" customFormat="1" ht="12.75" x14ac:dyDescent="0.2">
      <c r="A7" s="248" t="s">
        <v>183</v>
      </c>
      <c r="C7" s="260"/>
      <c r="D7" s="260"/>
    </row>
    <row r="8" spans="1:5" s="211" customFormat="1" ht="12.75" x14ac:dyDescent="0.2"/>
    <row r="9" spans="1:5" s="296" customFormat="1" ht="19.5" x14ac:dyDescent="0.2">
      <c r="A9" s="296" t="s">
        <v>135</v>
      </c>
    </row>
    <row r="10" spans="1:5" s="248" customFormat="1" ht="13.5" thickBot="1" x14ac:dyDescent="0.25">
      <c r="A10" s="297"/>
    </row>
    <row r="11" spans="1:5" s="248" customFormat="1" ht="12.75" x14ac:dyDescent="0.2">
      <c r="A11" s="299" t="s">
        <v>136</v>
      </c>
      <c r="B11" s="300"/>
      <c r="C11" s="300"/>
      <c r="D11" s="301">
        <f>C45</f>
        <v>129529</v>
      </c>
    </row>
    <row r="12" spans="1:5" s="248" customFormat="1" ht="12.75" x14ac:dyDescent="0.2">
      <c r="A12" s="302" t="s">
        <v>255</v>
      </c>
      <c r="B12" s="303"/>
      <c r="C12" s="304"/>
      <c r="D12" s="305">
        <v>5400</v>
      </c>
      <c r="E12" s="306"/>
    </row>
    <row r="13" spans="1:5" s="248" customFormat="1" ht="13.5" thickBot="1" x14ac:dyDescent="0.25">
      <c r="A13" s="307" t="s">
        <v>256</v>
      </c>
      <c r="B13" s="308"/>
      <c r="C13" s="308"/>
      <c r="D13" s="314">
        <f>D45</f>
        <v>699456600</v>
      </c>
    </row>
    <row r="14" spans="1:5" s="248" customFormat="1" ht="12.75" x14ac:dyDescent="0.2">
      <c r="A14" s="309"/>
      <c r="B14" s="309"/>
      <c r="C14" s="309"/>
      <c r="D14" s="310"/>
    </row>
    <row r="15" spans="1:5" s="248" customFormat="1" ht="15.75" customHeight="1" x14ac:dyDescent="0.2">
      <c r="A15" s="296" t="s">
        <v>138</v>
      </c>
      <c r="B15" s="309"/>
      <c r="C15" s="309"/>
      <c r="D15" s="311"/>
    </row>
    <row r="16" spans="1:5" s="248" customFormat="1" ht="13.5" thickBot="1" x14ac:dyDescent="0.25">
      <c r="D16" s="298" t="s">
        <v>176</v>
      </c>
    </row>
    <row r="17" spans="1:5" s="248" customFormat="1" ht="12.75" x14ac:dyDescent="0.2">
      <c r="A17" s="857" t="s">
        <v>73</v>
      </c>
      <c r="B17" s="859" t="s">
        <v>116</v>
      </c>
      <c r="C17" s="879" t="s">
        <v>137</v>
      </c>
      <c r="D17" s="859" t="s">
        <v>273</v>
      </c>
    </row>
    <row r="18" spans="1:5" s="248" customFormat="1" ht="28.5" customHeight="1" thickBot="1" x14ac:dyDescent="0.25">
      <c r="A18" s="858"/>
      <c r="B18" s="860"/>
      <c r="C18" s="880"/>
      <c r="D18" s="860"/>
    </row>
    <row r="19" spans="1:5" s="248" customFormat="1" ht="15" customHeight="1" x14ac:dyDescent="0.2">
      <c r="A19" s="583">
        <v>11000</v>
      </c>
      <c r="B19" s="664" t="s">
        <v>170</v>
      </c>
      <c r="C19" s="660">
        <v>19042</v>
      </c>
      <c r="D19" s="584">
        <f>+C19*5400</f>
        <v>102826800</v>
      </c>
    </row>
    <row r="20" spans="1:5" s="248" customFormat="1" ht="15" customHeight="1" x14ac:dyDescent="0.2">
      <c r="A20" s="585">
        <v>12000</v>
      </c>
      <c r="B20" s="665" t="s">
        <v>91</v>
      </c>
      <c r="C20" s="661">
        <v>4325</v>
      </c>
      <c r="D20" s="586">
        <f t="shared" ref="D20:D44" si="0">+C20*5400</f>
        <v>23355000</v>
      </c>
      <c r="E20" s="312"/>
    </row>
    <row r="21" spans="1:5" s="248" customFormat="1" ht="15" customHeight="1" x14ac:dyDescent="0.2">
      <c r="A21" s="585">
        <v>13000</v>
      </c>
      <c r="B21" s="665" t="s">
        <v>92</v>
      </c>
      <c r="C21" s="661">
        <v>2855</v>
      </c>
      <c r="D21" s="587">
        <f t="shared" si="0"/>
        <v>15417000</v>
      </c>
      <c r="E21" s="312"/>
    </row>
    <row r="22" spans="1:5" s="248" customFormat="1" ht="15" customHeight="1" x14ac:dyDescent="0.2">
      <c r="A22" s="585">
        <v>14000</v>
      </c>
      <c r="B22" s="665" t="s">
        <v>93</v>
      </c>
      <c r="C22" s="661">
        <v>15619</v>
      </c>
      <c r="D22" s="587">
        <f t="shared" si="0"/>
        <v>84342600</v>
      </c>
      <c r="E22" s="312"/>
    </row>
    <row r="23" spans="1:5" s="248" customFormat="1" ht="15" customHeight="1" x14ac:dyDescent="0.2">
      <c r="A23" s="585">
        <v>15000</v>
      </c>
      <c r="B23" s="665" t="s">
        <v>94</v>
      </c>
      <c r="C23" s="661">
        <v>9342</v>
      </c>
      <c r="D23" s="587">
        <f t="shared" si="0"/>
        <v>50446800</v>
      </c>
      <c r="E23" s="312"/>
    </row>
    <row r="24" spans="1:5" s="248" customFormat="1" ht="15" customHeight="1" x14ac:dyDescent="0.2">
      <c r="A24" s="585">
        <v>16000</v>
      </c>
      <c r="B24" s="665" t="s">
        <v>95</v>
      </c>
      <c r="C24" s="661">
        <v>1856</v>
      </c>
      <c r="D24" s="587">
        <f t="shared" si="0"/>
        <v>10022400</v>
      </c>
      <c r="E24" s="312"/>
    </row>
    <row r="25" spans="1:5" s="248" customFormat="1" ht="15" customHeight="1" x14ac:dyDescent="0.2">
      <c r="A25" s="585">
        <v>17000</v>
      </c>
      <c r="B25" s="665" t="s">
        <v>169</v>
      </c>
      <c r="C25" s="661">
        <v>3540</v>
      </c>
      <c r="D25" s="587">
        <f t="shared" si="0"/>
        <v>19116000</v>
      </c>
      <c r="E25" s="312"/>
    </row>
    <row r="26" spans="1:5" s="248" customFormat="1" ht="15" customHeight="1" x14ac:dyDescent="0.2">
      <c r="A26" s="585">
        <v>18000</v>
      </c>
      <c r="B26" s="665" t="s">
        <v>88</v>
      </c>
      <c r="C26" s="661">
        <v>2506</v>
      </c>
      <c r="D26" s="587">
        <f t="shared" si="0"/>
        <v>13532400</v>
      </c>
      <c r="E26" s="312"/>
    </row>
    <row r="27" spans="1:5" s="248" customFormat="1" ht="15" customHeight="1" x14ac:dyDescent="0.2">
      <c r="A27" s="585">
        <v>19000</v>
      </c>
      <c r="B27" s="665" t="s">
        <v>96</v>
      </c>
      <c r="C27" s="661">
        <v>1167</v>
      </c>
      <c r="D27" s="587">
        <f t="shared" si="0"/>
        <v>6301800</v>
      </c>
      <c r="E27" s="312"/>
    </row>
    <row r="28" spans="1:5" s="248" customFormat="1" ht="15" customHeight="1" x14ac:dyDescent="0.2">
      <c r="A28" s="585">
        <v>21000</v>
      </c>
      <c r="B28" s="665" t="s">
        <v>97</v>
      </c>
      <c r="C28" s="661">
        <v>10345</v>
      </c>
      <c r="D28" s="587">
        <f t="shared" si="0"/>
        <v>55863000</v>
      </c>
      <c r="E28" s="312"/>
    </row>
    <row r="29" spans="1:5" s="248" customFormat="1" ht="15" customHeight="1" x14ac:dyDescent="0.2">
      <c r="A29" s="585">
        <v>22000</v>
      </c>
      <c r="B29" s="665" t="s">
        <v>98</v>
      </c>
      <c r="C29" s="661">
        <v>2454</v>
      </c>
      <c r="D29" s="587">
        <f t="shared" si="0"/>
        <v>13251600</v>
      </c>
      <c r="E29" s="312"/>
    </row>
    <row r="30" spans="1:5" s="248" customFormat="1" ht="15" customHeight="1" x14ac:dyDescent="0.2">
      <c r="A30" s="585">
        <v>23000</v>
      </c>
      <c r="B30" s="665" t="s">
        <v>99</v>
      </c>
      <c r="C30" s="661">
        <v>5306</v>
      </c>
      <c r="D30" s="587">
        <f t="shared" si="0"/>
        <v>28652400</v>
      </c>
      <c r="E30" s="312"/>
    </row>
    <row r="31" spans="1:5" s="248" customFormat="1" ht="15" customHeight="1" x14ac:dyDescent="0.2">
      <c r="A31" s="585">
        <v>24000</v>
      </c>
      <c r="B31" s="665" t="s">
        <v>100</v>
      </c>
      <c r="C31" s="661">
        <v>2460</v>
      </c>
      <c r="D31" s="587">
        <f t="shared" si="0"/>
        <v>13284000</v>
      </c>
      <c r="E31" s="312"/>
    </row>
    <row r="32" spans="1:5" s="248" customFormat="1" ht="15" customHeight="1" x14ac:dyDescent="0.2">
      <c r="A32" s="585">
        <v>25000</v>
      </c>
      <c r="B32" s="665" t="s">
        <v>101</v>
      </c>
      <c r="C32" s="661">
        <v>3748</v>
      </c>
      <c r="D32" s="587">
        <f t="shared" si="0"/>
        <v>20239200</v>
      </c>
      <c r="E32" s="312"/>
    </row>
    <row r="33" spans="1:5" s="248" customFormat="1" ht="15" customHeight="1" x14ac:dyDescent="0.2">
      <c r="A33" s="585">
        <v>26000</v>
      </c>
      <c r="B33" s="665" t="s">
        <v>102</v>
      </c>
      <c r="C33" s="661">
        <v>13292</v>
      </c>
      <c r="D33" s="587">
        <f t="shared" si="0"/>
        <v>71776800</v>
      </c>
      <c r="E33" s="312"/>
    </row>
    <row r="34" spans="1:5" s="248" customFormat="1" ht="15" customHeight="1" x14ac:dyDescent="0.2">
      <c r="A34" s="585">
        <v>27000</v>
      </c>
      <c r="B34" s="665" t="s">
        <v>103</v>
      </c>
      <c r="C34" s="661">
        <v>5791</v>
      </c>
      <c r="D34" s="587">
        <f t="shared" si="0"/>
        <v>31271400</v>
      </c>
      <c r="E34" s="312"/>
    </row>
    <row r="35" spans="1:5" s="248" customFormat="1" ht="15" customHeight="1" x14ac:dyDescent="0.2">
      <c r="A35" s="585">
        <v>28000</v>
      </c>
      <c r="B35" s="665" t="s">
        <v>104</v>
      </c>
      <c r="C35" s="661">
        <v>3083</v>
      </c>
      <c r="D35" s="587">
        <f t="shared" si="0"/>
        <v>16648200</v>
      </c>
      <c r="E35" s="312"/>
    </row>
    <row r="36" spans="1:5" s="248" customFormat="1" ht="15" customHeight="1" x14ac:dyDescent="0.2">
      <c r="A36" s="585">
        <v>31000</v>
      </c>
      <c r="B36" s="665" t="s">
        <v>105</v>
      </c>
      <c r="C36" s="661">
        <v>7079</v>
      </c>
      <c r="D36" s="587">
        <f t="shared" si="0"/>
        <v>38226600</v>
      </c>
      <c r="E36" s="312"/>
    </row>
    <row r="37" spans="1:5" s="248" customFormat="1" ht="15" customHeight="1" x14ac:dyDescent="0.2">
      <c r="A37" s="585">
        <v>41000</v>
      </c>
      <c r="B37" s="665" t="s">
        <v>106</v>
      </c>
      <c r="C37" s="661">
        <v>7453</v>
      </c>
      <c r="D37" s="587">
        <f t="shared" si="0"/>
        <v>40246200</v>
      </c>
      <c r="E37" s="312"/>
    </row>
    <row r="38" spans="1:5" s="248" customFormat="1" ht="15" customHeight="1" x14ac:dyDescent="0.2">
      <c r="A38" s="585">
        <v>43000</v>
      </c>
      <c r="B38" s="665" t="s">
        <v>107</v>
      </c>
      <c r="C38" s="661">
        <v>5221</v>
      </c>
      <c r="D38" s="587">
        <f t="shared" si="0"/>
        <v>28193400</v>
      </c>
      <c r="E38" s="312"/>
    </row>
    <row r="39" spans="1:5" s="248" customFormat="1" ht="15" customHeight="1" x14ac:dyDescent="0.2">
      <c r="A39" s="585">
        <v>51000</v>
      </c>
      <c r="B39" s="665" t="s">
        <v>108</v>
      </c>
      <c r="C39" s="661">
        <v>492</v>
      </c>
      <c r="D39" s="587">
        <f t="shared" si="0"/>
        <v>2656800</v>
      </c>
      <c r="E39" s="312"/>
    </row>
    <row r="40" spans="1:5" s="248" customFormat="1" ht="15" customHeight="1" x14ac:dyDescent="0.2">
      <c r="A40" s="585">
        <v>52000</v>
      </c>
      <c r="B40" s="665" t="s">
        <v>109</v>
      </c>
      <c r="C40" s="661">
        <v>164</v>
      </c>
      <c r="D40" s="587">
        <f t="shared" si="0"/>
        <v>885600</v>
      </c>
      <c r="E40" s="312"/>
    </row>
    <row r="41" spans="1:5" s="248" customFormat="1" ht="15" customHeight="1" x14ac:dyDescent="0.2">
      <c r="A41" s="585">
        <v>53000</v>
      </c>
      <c r="B41" s="665" t="s">
        <v>110</v>
      </c>
      <c r="C41" s="661">
        <v>255</v>
      </c>
      <c r="D41" s="587">
        <f t="shared" si="0"/>
        <v>1377000</v>
      </c>
      <c r="E41" s="312"/>
    </row>
    <row r="42" spans="1:5" s="248" customFormat="1" ht="15" customHeight="1" x14ac:dyDescent="0.2">
      <c r="A42" s="585">
        <v>54000</v>
      </c>
      <c r="B42" s="665" t="s">
        <v>111</v>
      </c>
      <c r="C42" s="661">
        <v>436</v>
      </c>
      <c r="D42" s="587">
        <f t="shared" si="0"/>
        <v>2354400</v>
      </c>
      <c r="E42" s="312"/>
    </row>
    <row r="43" spans="1:5" s="248" customFormat="1" ht="15" customHeight="1" x14ac:dyDescent="0.2">
      <c r="A43" s="585">
        <v>55000</v>
      </c>
      <c r="B43" s="665" t="s">
        <v>112</v>
      </c>
      <c r="C43" s="661">
        <v>711</v>
      </c>
      <c r="D43" s="587">
        <f t="shared" si="0"/>
        <v>3839400</v>
      </c>
      <c r="E43" s="312"/>
    </row>
    <row r="44" spans="1:5" s="248" customFormat="1" ht="15" customHeight="1" thickBot="1" x14ac:dyDescent="0.25">
      <c r="A44" s="588">
        <v>56000</v>
      </c>
      <c r="B44" s="666" t="s">
        <v>113</v>
      </c>
      <c r="C44" s="662">
        <v>987</v>
      </c>
      <c r="D44" s="589">
        <f t="shared" si="0"/>
        <v>5329800</v>
      </c>
      <c r="E44" s="312"/>
    </row>
    <row r="45" spans="1:5" s="248" customFormat="1" ht="15.75" thickBot="1" x14ac:dyDescent="0.25">
      <c r="A45" s="609"/>
      <c r="B45" s="672" t="s">
        <v>72</v>
      </c>
      <c r="C45" s="663">
        <f>SUM(C19:C44)</f>
        <v>129529</v>
      </c>
      <c r="D45" s="590">
        <f>SUM(D19:D44)</f>
        <v>699456600</v>
      </c>
      <c r="E45" s="312"/>
    </row>
    <row r="46" spans="1:5" s="248" customFormat="1" ht="12.75" x14ac:dyDescent="0.2">
      <c r="C46" s="313"/>
      <c r="D46" s="313"/>
      <c r="E46" s="312"/>
    </row>
    <row r="47" spans="1:5" s="248" customFormat="1" ht="12.75" x14ac:dyDescent="0.2"/>
    <row r="48" spans="1:5" s="248" customFormat="1" ht="12.75" x14ac:dyDescent="0.2"/>
    <row r="49" spans="1:6" s="248" customFormat="1" ht="12.75" x14ac:dyDescent="0.2"/>
    <row r="50" spans="1:6" s="248" customFormat="1" ht="12.75" x14ac:dyDescent="0.2"/>
    <row r="51" spans="1:6" s="248" customFormat="1" x14ac:dyDescent="0.2">
      <c r="A51" s="247"/>
      <c r="B51" s="247"/>
      <c r="C51" s="247"/>
      <c r="D51" s="247"/>
    </row>
    <row r="52" spans="1:6" x14ac:dyDescent="0.2">
      <c r="F52" s="248"/>
    </row>
    <row r="53" spans="1:6" x14ac:dyDescent="0.2">
      <c r="F53" s="248"/>
    </row>
    <row r="54" spans="1:6" x14ac:dyDescent="0.2">
      <c r="F54" s="248"/>
    </row>
    <row r="55" spans="1:6" x14ac:dyDescent="0.2">
      <c r="F55" s="248"/>
    </row>
    <row r="56" spans="1:6" x14ac:dyDescent="0.2">
      <c r="F56" s="248"/>
    </row>
    <row r="60" spans="1:6" x14ac:dyDescent="0.2">
      <c r="F60" s="315"/>
    </row>
  </sheetData>
  <mergeCells count="4">
    <mergeCell ref="A17:A18"/>
    <mergeCell ref="B17:B18"/>
    <mergeCell ref="C17:C18"/>
    <mergeCell ref="D17:D18"/>
  </mergeCells>
  <printOptions horizontalCentered="1"/>
  <pageMargins left="0.51181102362204722" right="0.35433070866141736" top="0.55118110236220474" bottom="0.51181102362204722" header="0.31496062992125984" footer="0.31496062992125984"/>
  <pageSetup paperSize="9" scale="86" orientation="landscape" r:id="rId1"/>
  <headerFooter>
    <oddHeader>&amp;LČ. j.: MSMT-1404/2017-1</oddHeader>
    <oddFooter>&amp;R10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4"/>
  <sheetViews>
    <sheetView zoomScaleNormal="100" workbookViewId="0">
      <selection activeCell="F41" sqref="F41"/>
    </sheetView>
  </sheetViews>
  <sheetFormatPr defaultRowHeight="12.75" x14ac:dyDescent="0.2"/>
  <cols>
    <col min="1" max="1" width="10.85546875" customWidth="1"/>
    <col min="2" max="2" width="61.28515625" customWidth="1"/>
    <col min="3" max="3" width="15.5703125" customWidth="1"/>
    <col min="4" max="4" width="14.140625" customWidth="1"/>
    <col min="5" max="5" width="14.42578125" customWidth="1"/>
    <col min="6" max="9" width="9.7109375" bestFit="1" customWidth="1"/>
    <col min="10" max="10" width="15.5703125" customWidth="1"/>
  </cols>
  <sheetData>
    <row r="1" spans="1:10" ht="18" x14ac:dyDescent="0.25">
      <c r="A1" s="233" t="s">
        <v>139</v>
      </c>
    </row>
    <row r="3" spans="1:10" ht="21" x14ac:dyDescent="0.35">
      <c r="A3" s="234" t="s">
        <v>184</v>
      </c>
    </row>
    <row r="4" spans="1:10" ht="13.5" thickBot="1" x14ac:dyDescent="0.25">
      <c r="J4" s="210" t="s">
        <v>176</v>
      </c>
    </row>
    <row r="5" spans="1:10" ht="48" customHeight="1" x14ac:dyDescent="0.2">
      <c r="A5" s="885" t="s">
        <v>73</v>
      </c>
      <c r="B5" s="887" t="s">
        <v>116</v>
      </c>
      <c r="C5" s="881" t="s">
        <v>140</v>
      </c>
      <c r="D5" s="882"/>
      <c r="E5" s="882"/>
      <c r="F5" s="882" t="s">
        <v>141</v>
      </c>
      <c r="G5" s="882"/>
      <c r="H5" s="882"/>
      <c r="I5" s="883" t="s">
        <v>142</v>
      </c>
      <c r="J5" s="650" t="s">
        <v>185</v>
      </c>
    </row>
    <row r="6" spans="1:10" ht="15.75" thickBot="1" x14ac:dyDescent="0.3">
      <c r="A6" s="886"/>
      <c r="B6" s="888"/>
      <c r="C6" s="651" t="s">
        <v>186</v>
      </c>
      <c r="D6" s="652" t="s">
        <v>187</v>
      </c>
      <c r="E6" s="652" t="s">
        <v>188</v>
      </c>
      <c r="F6" s="653">
        <v>2014</v>
      </c>
      <c r="G6" s="654">
        <v>2015</v>
      </c>
      <c r="H6" s="654">
        <v>2016</v>
      </c>
      <c r="I6" s="884"/>
      <c r="J6" s="656">
        <v>250000000</v>
      </c>
    </row>
    <row r="7" spans="1:10" ht="15" customHeight="1" x14ac:dyDescent="0.2">
      <c r="A7" s="591">
        <v>11000</v>
      </c>
      <c r="B7" s="657" t="s">
        <v>170</v>
      </c>
      <c r="C7" s="594">
        <v>46397400</v>
      </c>
      <c r="D7" s="595">
        <v>45179000</v>
      </c>
      <c r="E7" s="595">
        <v>45547000</v>
      </c>
      <c r="F7" s="596">
        <f t="shared" ref="F7:H32" si="0">+C7/C$33</f>
        <v>0.18630755479315089</v>
      </c>
      <c r="G7" s="596">
        <f t="shared" si="0"/>
        <v>0.18071599999999999</v>
      </c>
      <c r="H7" s="596">
        <f t="shared" si="0"/>
        <v>0.18218799999999999</v>
      </c>
      <c r="I7" s="597">
        <f t="shared" ref="I7:I32" si="1">AVERAGE(F7:H7)</f>
        <v>0.18307051826438361</v>
      </c>
      <c r="J7" s="598">
        <f>ROUND(+J$34*I7,-3)</f>
        <v>45768000</v>
      </c>
    </row>
    <row r="8" spans="1:10" ht="15" customHeight="1" x14ac:dyDescent="0.2">
      <c r="A8" s="592">
        <v>12000</v>
      </c>
      <c r="B8" s="658" t="s">
        <v>91</v>
      </c>
      <c r="C8" s="599">
        <v>4212000</v>
      </c>
      <c r="D8" s="600">
        <v>4843000</v>
      </c>
      <c r="E8" s="600">
        <v>4760000</v>
      </c>
      <c r="F8" s="601">
        <f t="shared" si="0"/>
        <v>1.6913176617412862E-2</v>
      </c>
      <c r="G8" s="601">
        <f t="shared" si="0"/>
        <v>1.9372E-2</v>
      </c>
      <c r="H8" s="601">
        <f t="shared" si="0"/>
        <v>1.9040000000000001E-2</v>
      </c>
      <c r="I8" s="602">
        <f t="shared" si="1"/>
        <v>1.8441725539137619E-2</v>
      </c>
      <c r="J8" s="603">
        <f t="shared" ref="J8:J32" si="2">ROUND(+J$34*I8,-3)</f>
        <v>4610000</v>
      </c>
    </row>
    <row r="9" spans="1:10" ht="15" customHeight="1" x14ac:dyDescent="0.2">
      <c r="A9" s="592">
        <v>13000</v>
      </c>
      <c r="B9" s="658" t="s">
        <v>92</v>
      </c>
      <c r="C9" s="599">
        <v>10946400</v>
      </c>
      <c r="D9" s="600">
        <v>8714000</v>
      </c>
      <c r="E9" s="600">
        <v>8256000</v>
      </c>
      <c r="F9" s="601">
        <f t="shared" si="0"/>
        <v>4.3954984929925965E-2</v>
      </c>
      <c r="G9" s="601">
        <f t="shared" si="0"/>
        <v>3.4855999999999998E-2</v>
      </c>
      <c r="H9" s="601">
        <f t="shared" si="0"/>
        <v>3.3023999999999998E-2</v>
      </c>
      <c r="I9" s="602">
        <f t="shared" si="1"/>
        <v>3.7278328309975323E-2</v>
      </c>
      <c r="J9" s="603">
        <f t="shared" si="2"/>
        <v>9320000</v>
      </c>
    </row>
    <row r="10" spans="1:10" ht="15" customHeight="1" x14ac:dyDescent="0.2">
      <c r="A10" s="592">
        <v>14000</v>
      </c>
      <c r="B10" s="658" t="s">
        <v>93</v>
      </c>
      <c r="C10" s="599">
        <v>37823300</v>
      </c>
      <c r="D10" s="600">
        <v>37205000</v>
      </c>
      <c r="E10" s="600">
        <v>38190000</v>
      </c>
      <c r="F10" s="601">
        <f t="shared" si="0"/>
        <v>0.15187847890631337</v>
      </c>
      <c r="G10" s="601">
        <f t="shared" si="0"/>
        <v>0.14882000000000001</v>
      </c>
      <c r="H10" s="601">
        <f t="shared" si="0"/>
        <v>0.15276000000000001</v>
      </c>
      <c r="I10" s="602">
        <f t="shared" si="1"/>
        <v>0.15115282630210447</v>
      </c>
      <c r="J10" s="603">
        <f t="shared" si="2"/>
        <v>37788000</v>
      </c>
    </row>
    <row r="11" spans="1:10" ht="15" customHeight="1" x14ac:dyDescent="0.2">
      <c r="A11" s="592">
        <v>15000</v>
      </c>
      <c r="B11" s="658" t="s">
        <v>94</v>
      </c>
      <c r="C11" s="599">
        <v>18333300</v>
      </c>
      <c r="D11" s="600">
        <v>18553000</v>
      </c>
      <c r="E11" s="600">
        <v>18748000</v>
      </c>
      <c r="F11" s="601">
        <f t="shared" si="0"/>
        <v>7.3616890047486991E-2</v>
      </c>
      <c r="G11" s="601">
        <f t="shared" si="0"/>
        <v>7.4212E-2</v>
      </c>
      <c r="H11" s="601">
        <f t="shared" si="0"/>
        <v>7.4992000000000003E-2</v>
      </c>
      <c r="I11" s="602">
        <f t="shared" si="1"/>
        <v>7.4273630015828998E-2</v>
      </c>
      <c r="J11" s="603">
        <f t="shared" si="2"/>
        <v>18569000</v>
      </c>
    </row>
    <row r="12" spans="1:10" ht="15" customHeight="1" x14ac:dyDescent="0.2">
      <c r="A12" s="592">
        <v>16000</v>
      </c>
      <c r="B12" s="658" t="s">
        <v>95</v>
      </c>
      <c r="C12" s="599">
        <v>2346600</v>
      </c>
      <c r="D12" s="600">
        <v>2292000</v>
      </c>
      <c r="E12" s="600">
        <v>2307000</v>
      </c>
      <c r="F12" s="601">
        <f t="shared" si="0"/>
        <v>9.4227113604988186E-3</v>
      </c>
      <c r="G12" s="601">
        <f t="shared" si="0"/>
        <v>9.1680000000000008E-3</v>
      </c>
      <c r="H12" s="601">
        <f t="shared" si="0"/>
        <v>9.2280000000000001E-3</v>
      </c>
      <c r="I12" s="602">
        <f t="shared" si="1"/>
        <v>9.2729037868329398E-3</v>
      </c>
      <c r="J12" s="603">
        <f t="shared" si="2"/>
        <v>2318000</v>
      </c>
    </row>
    <row r="13" spans="1:10" ht="15" customHeight="1" x14ac:dyDescent="0.2">
      <c r="A13" s="592">
        <v>17000</v>
      </c>
      <c r="B13" s="658" t="s">
        <v>169</v>
      </c>
      <c r="C13" s="599">
        <v>11641100</v>
      </c>
      <c r="D13" s="600">
        <v>10258000</v>
      </c>
      <c r="E13" s="600">
        <v>10564000</v>
      </c>
      <c r="F13" s="601">
        <f t="shared" si="0"/>
        <v>4.6744534739070483E-2</v>
      </c>
      <c r="G13" s="601">
        <f t="shared" si="0"/>
        <v>4.1031999999999999E-2</v>
      </c>
      <c r="H13" s="601">
        <f t="shared" si="0"/>
        <v>4.2256000000000002E-2</v>
      </c>
      <c r="I13" s="602">
        <f t="shared" si="1"/>
        <v>4.3344178246356835E-2</v>
      </c>
      <c r="J13" s="603">
        <f t="shared" si="2"/>
        <v>10836000</v>
      </c>
    </row>
    <row r="14" spans="1:10" ht="15" customHeight="1" x14ac:dyDescent="0.2">
      <c r="A14" s="592">
        <v>18000</v>
      </c>
      <c r="B14" s="658" t="s">
        <v>88</v>
      </c>
      <c r="C14" s="599">
        <v>4412900</v>
      </c>
      <c r="D14" s="600">
        <v>5834000</v>
      </c>
      <c r="E14" s="600">
        <v>5758000</v>
      </c>
      <c r="F14" s="601">
        <f t="shared" si="0"/>
        <v>1.7719885350185476E-2</v>
      </c>
      <c r="G14" s="601">
        <f t="shared" si="0"/>
        <v>2.3335999999999999E-2</v>
      </c>
      <c r="H14" s="601">
        <f t="shared" si="0"/>
        <v>2.3032E-2</v>
      </c>
      <c r="I14" s="602">
        <f t="shared" si="1"/>
        <v>2.1362628450061826E-2</v>
      </c>
      <c r="J14" s="603">
        <f t="shared" si="2"/>
        <v>5341000</v>
      </c>
    </row>
    <row r="15" spans="1:10" ht="15" customHeight="1" x14ac:dyDescent="0.2">
      <c r="A15" s="592">
        <v>19000</v>
      </c>
      <c r="B15" s="658" t="s">
        <v>96</v>
      </c>
      <c r="C15" s="599">
        <v>2855100</v>
      </c>
      <c r="D15" s="600">
        <v>3073000</v>
      </c>
      <c r="E15" s="600">
        <v>2903000</v>
      </c>
      <c r="F15" s="601">
        <f t="shared" si="0"/>
        <v>1.1464579905122379E-2</v>
      </c>
      <c r="G15" s="601">
        <f t="shared" si="0"/>
        <v>1.2292000000000001E-2</v>
      </c>
      <c r="H15" s="601">
        <f t="shared" si="0"/>
        <v>1.1612000000000001E-2</v>
      </c>
      <c r="I15" s="602">
        <f t="shared" si="1"/>
        <v>1.1789526635040792E-2</v>
      </c>
      <c r="J15" s="603">
        <f t="shared" si="2"/>
        <v>2947000</v>
      </c>
    </row>
    <row r="16" spans="1:10" ht="15" customHeight="1" x14ac:dyDescent="0.2">
      <c r="A16" s="592">
        <v>21000</v>
      </c>
      <c r="B16" s="658" t="s">
        <v>97</v>
      </c>
      <c r="C16" s="599">
        <v>9795500</v>
      </c>
      <c r="D16" s="600">
        <v>11090000</v>
      </c>
      <c r="E16" s="600">
        <v>10221000</v>
      </c>
      <c r="F16" s="601">
        <f t="shared" si="0"/>
        <v>3.9333575867964786E-2</v>
      </c>
      <c r="G16" s="601">
        <f t="shared" si="0"/>
        <v>4.4359999999999997E-2</v>
      </c>
      <c r="H16" s="601">
        <f t="shared" si="0"/>
        <v>4.0883999999999997E-2</v>
      </c>
      <c r="I16" s="602">
        <f t="shared" si="1"/>
        <v>4.1525858622654926E-2</v>
      </c>
      <c r="J16" s="603">
        <f t="shared" si="2"/>
        <v>10382000</v>
      </c>
    </row>
    <row r="17" spans="1:14" ht="15" customHeight="1" x14ac:dyDescent="0.2">
      <c r="A17" s="592">
        <v>22000</v>
      </c>
      <c r="B17" s="658" t="s">
        <v>98</v>
      </c>
      <c r="C17" s="599">
        <v>4616500</v>
      </c>
      <c r="D17" s="600">
        <v>3221000</v>
      </c>
      <c r="E17" s="600">
        <v>3380000</v>
      </c>
      <c r="F17" s="601">
        <f t="shared" si="0"/>
        <v>1.8537435862841043E-2</v>
      </c>
      <c r="G17" s="601">
        <f t="shared" si="0"/>
        <v>1.2884E-2</v>
      </c>
      <c r="H17" s="601">
        <f t="shared" si="0"/>
        <v>1.3520000000000001E-2</v>
      </c>
      <c r="I17" s="602">
        <f t="shared" si="1"/>
        <v>1.4980478620947016E-2</v>
      </c>
      <c r="J17" s="603">
        <f t="shared" si="2"/>
        <v>3745000</v>
      </c>
    </row>
    <row r="18" spans="1:14" ht="15" customHeight="1" x14ac:dyDescent="0.2">
      <c r="A18" s="592">
        <v>23000</v>
      </c>
      <c r="B18" s="658" t="s">
        <v>99</v>
      </c>
      <c r="C18" s="599">
        <v>8964000</v>
      </c>
      <c r="D18" s="600">
        <v>9031000</v>
      </c>
      <c r="E18" s="600">
        <v>8725000</v>
      </c>
      <c r="F18" s="601">
        <f t="shared" si="0"/>
        <v>3.599470921141712E-2</v>
      </c>
      <c r="G18" s="601">
        <f t="shared" si="0"/>
        <v>3.6124000000000003E-2</v>
      </c>
      <c r="H18" s="601">
        <f t="shared" si="0"/>
        <v>3.49E-2</v>
      </c>
      <c r="I18" s="602">
        <f t="shared" si="1"/>
        <v>3.5672903070472377E-2</v>
      </c>
      <c r="J18" s="603">
        <f t="shared" si="2"/>
        <v>8918000</v>
      </c>
    </row>
    <row r="19" spans="1:14" ht="15" customHeight="1" x14ac:dyDescent="0.2">
      <c r="A19" s="592">
        <v>24000</v>
      </c>
      <c r="B19" s="658" t="s">
        <v>100</v>
      </c>
      <c r="C19" s="599">
        <v>6237000</v>
      </c>
      <c r="D19" s="600">
        <v>6189000</v>
      </c>
      <c r="E19" s="600">
        <v>6260000</v>
      </c>
      <c r="F19" s="601">
        <f t="shared" si="0"/>
        <v>2.5044511529630584E-2</v>
      </c>
      <c r="G19" s="601">
        <f t="shared" si="0"/>
        <v>2.4756E-2</v>
      </c>
      <c r="H19" s="601">
        <f t="shared" si="0"/>
        <v>2.504E-2</v>
      </c>
      <c r="I19" s="602">
        <f t="shared" si="1"/>
        <v>2.4946837176543529E-2</v>
      </c>
      <c r="J19" s="603">
        <f t="shared" si="2"/>
        <v>6237000</v>
      </c>
    </row>
    <row r="20" spans="1:14" ht="15" customHeight="1" x14ac:dyDescent="0.2">
      <c r="A20" s="592">
        <v>25000</v>
      </c>
      <c r="B20" s="658" t="s">
        <v>101</v>
      </c>
      <c r="C20" s="599">
        <v>5943500</v>
      </c>
      <c r="D20" s="600">
        <v>6109000</v>
      </c>
      <c r="E20" s="600">
        <v>6124000</v>
      </c>
      <c r="F20" s="601">
        <f t="shared" si="0"/>
        <v>2.3865969901612855E-2</v>
      </c>
      <c r="G20" s="601">
        <f t="shared" si="0"/>
        <v>2.4435999999999999E-2</v>
      </c>
      <c r="H20" s="601">
        <f t="shared" si="0"/>
        <v>2.4496E-2</v>
      </c>
      <c r="I20" s="602">
        <f t="shared" si="1"/>
        <v>2.4265989967204287E-2</v>
      </c>
      <c r="J20" s="603">
        <f t="shared" si="2"/>
        <v>6067000</v>
      </c>
    </row>
    <row r="21" spans="1:14" ht="15" customHeight="1" x14ac:dyDescent="0.2">
      <c r="A21" s="592">
        <v>26000</v>
      </c>
      <c r="B21" s="658" t="s">
        <v>102</v>
      </c>
      <c r="C21" s="599">
        <v>20655000</v>
      </c>
      <c r="D21" s="600">
        <v>23429000</v>
      </c>
      <c r="E21" s="600">
        <v>22041000</v>
      </c>
      <c r="F21" s="601">
        <f t="shared" si="0"/>
        <v>8.2939616104620764E-2</v>
      </c>
      <c r="G21" s="601">
        <f t="shared" si="0"/>
        <v>9.3715999999999994E-2</v>
      </c>
      <c r="H21" s="601">
        <f t="shared" si="0"/>
        <v>8.8164000000000006E-2</v>
      </c>
      <c r="I21" s="602">
        <f t="shared" si="1"/>
        <v>8.8273205368206931E-2</v>
      </c>
      <c r="J21" s="603">
        <f t="shared" si="2"/>
        <v>22068000</v>
      </c>
    </row>
    <row r="22" spans="1:14" ht="15" customHeight="1" x14ac:dyDescent="0.2">
      <c r="A22" s="592">
        <v>27000</v>
      </c>
      <c r="B22" s="658" t="s">
        <v>103</v>
      </c>
      <c r="C22" s="599">
        <v>7557800</v>
      </c>
      <c r="D22" s="600">
        <v>7753000</v>
      </c>
      <c r="E22" s="600">
        <v>8095000</v>
      </c>
      <c r="F22" s="601">
        <f t="shared" si="0"/>
        <v>3.0348149629411902E-2</v>
      </c>
      <c r="G22" s="601">
        <f t="shared" si="0"/>
        <v>3.1012000000000001E-2</v>
      </c>
      <c r="H22" s="601">
        <f t="shared" si="0"/>
        <v>3.2379999999999999E-2</v>
      </c>
      <c r="I22" s="602">
        <f t="shared" si="1"/>
        <v>3.1246716543137303E-2</v>
      </c>
      <c r="J22" s="603">
        <f t="shared" si="2"/>
        <v>7812000</v>
      </c>
      <c r="N22" s="235"/>
    </row>
    <row r="23" spans="1:14" ht="15" customHeight="1" x14ac:dyDescent="0.2">
      <c r="A23" s="592">
        <v>28000</v>
      </c>
      <c r="B23" s="658" t="s">
        <v>104</v>
      </c>
      <c r="C23" s="599">
        <v>4983900</v>
      </c>
      <c r="D23" s="600">
        <v>4955000</v>
      </c>
      <c r="E23" s="600">
        <v>5121000</v>
      </c>
      <c r="F23" s="601">
        <f t="shared" si="0"/>
        <v>2.0012721021729338E-2</v>
      </c>
      <c r="G23" s="601">
        <f t="shared" si="0"/>
        <v>1.9820000000000001E-2</v>
      </c>
      <c r="H23" s="601">
        <f t="shared" si="0"/>
        <v>2.0483999999999999E-2</v>
      </c>
      <c r="I23" s="602">
        <f t="shared" si="1"/>
        <v>2.010557367390978E-2</v>
      </c>
      <c r="J23" s="603">
        <f t="shared" si="2"/>
        <v>5026000</v>
      </c>
    </row>
    <row r="24" spans="1:14" ht="15" customHeight="1" x14ac:dyDescent="0.2">
      <c r="A24" s="592">
        <v>31000</v>
      </c>
      <c r="B24" s="658" t="s">
        <v>105</v>
      </c>
      <c r="C24" s="599">
        <v>11475000</v>
      </c>
      <c r="D24" s="600">
        <v>11690000</v>
      </c>
      <c r="E24" s="600">
        <v>12067000</v>
      </c>
      <c r="F24" s="601">
        <f t="shared" si="0"/>
        <v>4.6077564502567094E-2</v>
      </c>
      <c r="G24" s="601">
        <f t="shared" si="0"/>
        <v>4.6760000000000003E-2</v>
      </c>
      <c r="H24" s="601">
        <f t="shared" si="0"/>
        <v>4.8267999999999998E-2</v>
      </c>
      <c r="I24" s="602">
        <f t="shared" si="1"/>
        <v>4.7035188167522363E-2</v>
      </c>
      <c r="J24" s="603">
        <f t="shared" si="2"/>
        <v>11759000</v>
      </c>
    </row>
    <row r="25" spans="1:14" ht="15" customHeight="1" x14ac:dyDescent="0.2">
      <c r="A25" s="592">
        <v>41000</v>
      </c>
      <c r="B25" s="658" t="s">
        <v>106</v>
      </c>
      <c r="C25" s="599">
        <v>14801000</v>
      </c>
      <c r="D25" s="600">
        <v>12720000</v>
      </c>
      <c r="E25" s="600">
        <v>13328000</v>
      </c>
      <c r="F25" s="601">
        <f t="shared" si="0"/>
        <v>5.9433031128757779E-2</v>
      </c>
      <c r="G25" s="601">
        <f t="shared" si="0"/>
        <v>5.0880000000000002E-2</v>
      </c>
      <c r="H25" s="601">
        <f t="shared" si="0"/>
        <v>5.3311999999999998E-2</v>
      </c>
      <c r="I25" s="602">
        <f t="shared" si="1"/>
        <v>5.4541677042919262E-2</v>
      </c>
      <c r="J25" s="603">
        <f t="shared" si="2"/>
        <v>13635000</v>
      </c>
    </row>
    <row r="26" spans="1:14" ht="15" customHeight="1" x14ac:dyDescent="0.2">
      <c r="A26" s="592">
        <v>43000</v>
      </c>
      <c r="B26" s="658" t="s">
        <v>107</v>
      </c>
      <c r="C26" s="599">
        <v>4619000</v>
      </c>
      <c r="D26" s="600">
        <v>7930000</v>
      </c>
      <c r="E26" s="600">
        <v>7588000</v>
      </c>
      <c r="F26" s="601">
        <f t="shared" si="0"/>
        <v>1.8547474547917855E-2</v>
      </c>
      <c r="G26" s="601">
        <f t="shared" si="0"/>
        <v>3.1719999999999998E-2</v>
      </c>
      <c r="H26" s="601">
        <f t="shared" si="0"/>
        <v>3.0352000000000001E-2</v>
      </c>
      <c r="I26" s="602">
        <f t="shared" si="1"/>
        <v>2.6873158182639287E-2</v>
      </c>
      <c r="J26" s="603">
        <f t="shared" si="2"/>
        <v>6718000</v>
      </c>
    </row>
    <row r="27" spans="1:14" ht="15" customHeight="1" x14ac:dyDescent="0.2">
      <c r="A27" s="592">
        <v>51000</v>
      </c>
      <c r="B27" s="658" t="s">
        <v>108</v>
      </c>
      <c r="C27" s="599">
        <v>4366900</v>
      </c>
      <c r="D27" s="600">
        <v>3674000</v>
      </c>
      <c r="E27" s="600">
        <v>3692000</v>
      </c>
      <c r="F27" s="601">
        <f t="shared" si="0"/>
        <v>1.7535173544772135E-2</v>
      </c>
      <c r="G27" s="601">
        <f t="shared" si="0"/>
        <v>1.4696000000000001E-2</v>
      </c>
      <c r="H27" s="601">
        <f t="shared" si="0"/>
        <v>1.4768E-2</v>
      </c>
      <c r="I27" s="602">
        <f t="shared" si="1"/>
        <v>1.5666391181590713E-2</v>
      </c>
      <c r="J27" s="603">
        <f t="shared" si="2"/>
        <v>3917000</v>
      </c>
    </row>
    <row r="28" spans="1:14" ht="15" customHeight="1" x14ac:dyDescent="0.2">
      <c r="A28" s="592">
        <v>52000</v>
      </c>
      <c r="B28" s="658" t="s">
        <v>109</v>
      </c>
      <c r="C28" s="599">
        <v>474600</v>
      </c>
      <c r="D28" s="600">
        <v>427000</v>
      </c>
      <c r="E28" s="600">
        <v>436000</v>
      </c>
      <c r="F28" s="601">
        <f t="shared" si="0"/>
        <v>1.9057439749819906E-3</v>
      </c>
      <c r="G28" s="601">
        <f t="shared" si="0"/>
        <v>1.7080000000000001E-3</v>
      </c>
      <c r="H28" s="601">
        <f t="shared" si="0"/>
        <v>1.7440000000000001E-3</v>
      </c>
      <c r="I28" s="602">
        <f t="shared" si="1"/>
        <v>1.7859146583273304E-3</v>
      </c>
      <c r="J28" s="603">
        <f t="shared" si="2"/>
        <v>446000</v>
      </c>
    </row>
    <row r="29" spans="1:14" ht="15" customHeight="1" x14ac:dyDescent="0.2">
      <c r="A29" s="592">
        <v>53000</v>
      </c>
      <c r="B29" s="658" t="s">
        <v>110</v>
      </c>
      <c r="C29" s="599">
        <v>1179600</v>
      </c>
      <c r="D29" s="600">
        <v>1187000</v>
      </c>
      <c r="E29" s="600">
        <v>1199000</v>
      </c>
      <c r="F29" s="601">
        <f t="shared" si="0"/>
        <v>4.736653166642975E-3</v>
      </c>
      <c r="G29" s="601">
        <f t="shared" si="0"/>
        <v>4.7479999999999996E-3</v>
      </c>
      <c r="H29" s="601">
        <f t="shared" si="0"/>
        <v>4.7959999999999999E-3</v>
      </c>
      <c r="I29" s="602">
        <f t="shared" si="1"/>
        <v>4.7602177222143245E-3</v>
      </c>
      <c r="J29" s="603">
        <f t="shared" si="2"/>
        <v>1190000</v>
      </c>
    </row>
    <row r="30" spans="1:14" ht="15" customHeight="1" x14ac:dyDescent="0.2">
      <c r="A30" s="592">
        <v>54000</v>
      </c>
      <c r="B30" s="658" t="s">
        <v>111</v>
      </c>
      <c r="C30" s="599">
        <v>2462100</v>
      </c>
      <c r="D30" s="600">
        <v>2315000</v>
      </c>
      <c r="E30" s="600">
        <v>2312000</v>
      </c>
      <c r="F30" s="601">
        <f t="shared" si="0"/>
        <v>9.8864986110475325E-3</v>
      </c>
      <c r="G30" s="601">
        <f t="shared" si="0"/>
        <v>9.2599999999999991E-3</v>
      </c>
      <c r="H30" s="601">
        <f t="shared" si="0"/>
        <v>9.2479999999999993E-3</v>
      </c>
      <c r="I30" s="602">
        <f t="shared" si="1"/>
        <v>9.4648328703491758E-3</v>
      </c>
      <c r="J30" s="603">
        <f t="shared" si="2"/>
        <v>2366000</v>
      </c>
    </row>
    <row r="31" spans="1:14" ht="15" customHeight="1" x14ac:dyDescent="0.2">
      <c r="A31" s="592">
        <v>55000</v>
      </c>
      <c r="B31" s="658" t="s">
        <v>112</v>
      </c>
      <c r="C31" s="599">
        <v>1173100</v>
      </c>
      <c r="D31" s="600">
        <v>1248000</v>
      </c>
      <c r="E31" s="600">
        <v>1198000</v>
      </c>
      <c r="F31" s="601">
        <f t="shared" si="0"/>
        <v>4.710552585443264E-3</v>
      </c>
      <c r="G31" s="601">
        <f t="shared" si="0"/>
        <v>4.9919999999999999E-3</v>
      </c>
      <c r="H31" s="601">
        <f t="shared" si="0"/>
        <v>4.7920000000000003E-3</v>
      </c>
      <c r="I31" s="602">
        <f t="shared" si="1"/>
        <v>4.8315175284810883E-3</v>
      </c>
      <c r="J31" s="603">
        <f t="shared" si="2"/>
        <v>1208000</v>
      </c>
    </row>
    <row r="32" spans="1:14" ht="15" customHeight="1" thickBot="1" x14ac:dyDescent="0.25">
      <c r="A32" s="593">
        <v>56000</v>
      </c>
      <c r="B32" s="659" t="s">
        <v>113</v>
      </c>
      <c r="C32" s="604">
        <v>764000</v>
      </c>
      <c r="D32" s="605">
        <v>1081000</v>
      </c>
      <c r="E32" s="605">
        <v>1180000</v>
      </c>
      <c r="F32" s="606">
        <f t="shared" si="0"/>
        <v>3.067822159473748E-3</v>
      </c>
      <c r="G32" s="606">
        <f t="shared" si="0"/>
        <v>4.3239999999999997E-3</v>
      </c>
      <c r="H32" s="606">
        <f t="shared" si="0"/>
        <v>4.7200000000000002E-3</v>
      </c>
      <c r="I32" s="607">
        <f t="shared" si="1"/>
        <v>4.037274053157916E-3</v>
      </c>
      <c r="J32" s="608">
        <f t="shared" si="2"/>
        <v>1009000</v>
      </c>
    </row>
    <row r="33" spans="1:10" ht="15" customHeight="1" thickBot="1" x14ac:dyDescent="0.3">
      <c r="A33" s="638"/>
      <c r="B33" s="639" t="s">
        <v>72</v>
      </c>
      <c r="C33" s="645">
        <f>SUM(C7:C32)</f>
        <v>249036600</v>
      </c>
      <c r="D33" s="646">
        <f t="shared" ref="D33:J33" si="3">SUM(D7:D32)</f>
        <v>250000000</v>
      </c>
      <c r="E33" s="646">
        <f t="shared" si="3"/>
        <v>250000000</v>
      </c>
      <c r="F33" s="647">
        <f t="shared" si="3"/>
        <v>1</v>
      </c>
      <c r="G33" s="647">
        <f t="shared" si="3"/>
        <v>1.0000000000000002</v>
      </c>
      <c r="H33" s="647">
        <f t="shared" si="3"/>
        <v>1</v>
      </c>
      <c r="I33" s="648">
        <f t="shared" si="3"/>
        <v>0.99999999999999978</v>
      </c>
      <c r="J33" s="649">
        <f t="shared" si="3"/>
        <v>250000000</v>
      </c>
    </row>
    <row r="34" spans="1:10" x14ac:dyDescent="0.2">
      <c r="I34" s="236" t="s">
        <v>143</v>
      </c>
      <c r="J34" s="237">
        <f>J6+1300</f>
        <v>250001300</v>
      </c>
    </row>
  </sheetData>
  <mergeCells count="5">
    <mergeCell ref="C5:E5"/>
    <mergeCell ref="F5:H5"/>
    <mergeCell ref="I5:I6"/>
    <mergeCell ref="A5:A6"/>
    <mergeCell ref="B5:B6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&amp;LČ. j.: MSMT-1404/2017-1</oddHeader>
    <oddFooter>&amp;R11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93"/>
  <sheetViews>
    <sheetView zoomScale="85" zoomScaleNormal="85" workbookViewId="0">
      <selection activeCell="E73" sqref="E73"/>
    </sheetView>
  </sheetViews>
  <sheetFormatPr defaultRowHeight="14.25" x14ac:dyDescent="0.2"/>
  <cols>
    <col min="1" max="2" width="4.85546875" style="5" bestFit="1" customWidth="1"/>
    <col min="3" max="3" width="7.28515625" style="5" customWidth="1"/>
    <col min="4" max="4" width="8.7109375" style="5" customWidth="1"/>
    <col min="5" max="5" width="13.42578125" style="5" customWidth="1"/>
    <col min="6" max="6" width="14" style="5" customWidth="1"/>
    <col min="7" max="7" width="16.5703125" style="5" customWidth="1"/>
    <col min="8" max="8" width="14" style="5" customWidth="1"/>
    <col min="9" max="9" width="15.140625" style="5" customWidth="1"/>
    <col min="10" max="10" width="13.7109375" style="5" customWidth="1"/>
    <col min="11" max="11" width="14" style="5" customWidth="1"/>
    <col min="12" max="12" width="20.42578125" style="205" customWidth="1"/>
    <col min="13" max="13" width="13.5703125" style="5" customWidth="1"/>
    <col min="14" max="14" width="13.85546875" style="204" customWidth="1"/>
    <col min="15" max="15" width="20.42578125" style="5" customWidth="1"/>
    <col min="16" max="16" width="13" style="5" customWidth="1"/>
    <col min="17" max="17" width="19.85546875" style="5" customWidth="1"/>
    <col min="18" max="18" width="21.42578125" style="5" customWidth="1"/>
    <col min="19" max="19" width="14" style="5" customWidth="1"/>
    <col min="20" max="20" width="13.7109375" style="5" bestFit="1" customWidth="1"/>
    <col min="21" max="21" width="9.140625" style="5"/>
    <col min="22" max="22" width="14.5703125" style="5" bestFit="1" customWidth="1"/>
    <col min="23" max="16384" width="9.140625" style="5"/>
  </cols>
  <sheetData>
    <row r="1" spans="1:20" s="1" customFormat="1" ht="42" customHeight="1" x14ac:dyDescent="0.2">
      <c r="A1" s="734" t="s">
        <v>159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</row>
    <row r="2" spans="1:20" ht="15" x14ac:dyDescent="0.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</row>
    <row r="3" spans="1:20" ht="6.75" customHeight="1" thickBot="1" x14ac:dyDescent="0.25">
      <c r="A3" s="4"/>
      <c r="B3" s="4"/>
      <c r="C3" s="3"/>
      <c r="D3" s="3"/>
      <c r="E3" s="3"/>
      <c r="F3" s="3"/>
      <c r="G3" s="3"/>
      <c r="H3" s="3"/>
      <c r="I3" s="3"/>
      <c r="J3" s="6"/>
      <c r="K3" s="6"/>
      <c r="L3" s="7"/>
      <c r="M3" s="6"/>
      <c r="N3" s="8"/>
      <c r="O3" s="4"/>
      <c r="P3" s="4"/>
      <c r="Q3"/>
      <c r="R3"/>
    </row>
    <row r="4" spans="1:20" s="14" customFormat="1" ht="32.25" customHeight="1" thickBot="1" x14ac:dyDescent="0.25">
      <c r="A4" s="735" t="s">
        <v>1</v>
      </c>
      <c r="B4" s="736"/>
      <c r="C4" s="736"/>
      <c r="D4" s="736"/>
      <c r="E4" s="9" t="s">
        <v>2</v>
      </c>
      <c r="F4" s="10" t="s">
        <v>3</v>
      </c>
      <c r="G4" s="11" t="s">
        <v>4</v>
      </c>
      <c r="H4" s="457" t="s">
        <v>267</v>
      </c>
      <c r="I4" s="12" t="s">
        <v>5</v>
      </c>
      <c r="J4" s="737" t="s">
        <v>1</v>
      </c>
      <c r="K4" s="738"/>
      <c r="L4" s="9" t="s">
        <v>2</v>
      </c>
      <c r="M4" s="10" t="s">
        <v>3</v>
      </c>
      <c r="N4" s="11" t="s">
        <v>4</v>
      </c>
      <c r="O4" s="457" t="s">
        <v>192</v>
      </c>
      <c r="P4" s="13" t="s">
        <v>5</v>
      </c>
      <c r="Q4"/>
      <c r="R4" s="317"/>
      <c r="S4" s="318"/>
    </row>
    <row r="5" spans="1:20" ht="33" customHeight="1" x14ac:dyDescent="0.2">
      <c r="A5" s="739" t="s">
        <v>6</v>
      </c>
      <c r="B5" s="740"/>
      <c r="C5" s="740"/>
      <c r="D5" s="741"/>
      <c r="E5" s="15">
        <v>33964.527648903088</v>
      </c>
      <c r="F5" s="16">
        <v>35858</v>
      </c>
      <c r="G5" s="17">
        <v>36127</v>
      </c>
      <c r="H5" s="461">
        <v>36849</v>
      </c>
      <c r="I5" s="18" t="s">
        <v>11</v>
      </c>
      <c r="J5" s="742" t="s">
        <v>7</v>
      </c>
      <c r="K5" s="743"/>
      <c r="L5" s="15">
        <v>90000</v>
      </c>
      <c r="M5" s="15">
        <v>90000</v>
      </c>
      <c r="N5" s="19">
        <v>90000</v>
      </c>
      <c r="O5" s="458">
        <v>90000</v>
      </c>
      <c r="P5" s="20">
        <f>O5/N5-1</f>
        <v>0</v>
      </c>
      <c r="Q5"/>
      <c r="R5" s="319"/>
      <c r="S5" s="320"/>
    </row>
    <row r="6" spans="1:20" ht="30.75" customHeight="1" x14ac:dyDescent="0.2">
      <c r="A6" s="729" t="s">
        <v>8</v>
      </c>
      <c r="B6" s="730"/>
      <c r="C6" s="730"/>
      <c r="D6" s="731"/>
      <c r="E6" s="21">
        <v>26322.509671198848</v>
      </c>
      <c r="F6" s="22">
        <v>27252</v>
      </c>
      <c r="G6" s="23">
        <v>27445</v>
      </c>
      <c r="H6" s="462" t="s">
        <v>11</v>
      </c>
      <c r="I6" s="24" t="s">
        <v>11</v>
      </c>
      <c r="J6" s="732" t="s">
        <v>9</v>
      </c>
      <c r="K6" s="733"/>
      <c r="L6" s="25">
        <v>5400</v>
      </c>
      <c r="M6" s="25">
        <v>5400</v>
      </c>
      <c r="N6" s="26">
        <v>5400.0266777715606</v>
      </c>
      <c r="O6" s="459">
        <f>'[1]11 Ukaz U'!D16</f>
        <v>5400.0266777715606</v>
      </c>
      <c r="P6" s="24">
        <f>O6/N6-1</f>
        <v>0</v>
      </c>
      <c r="Q6"/>
      <c r="R6" s="319"/>
      <c r="S6" s="320"/>
    </row>
    <row r="7" spans="1:20" ht="33" customHeight="1" thickBot="1" x14ac:dyDescent="0.25">
      <c r="A7" s="760" t="s">
        <v>10</v>
      </c>
      <c r="B7" s="761"/>
      <c r="C7" s="761"/>
      <c r="D7" s="761"/>
      <c r="E7" s="27" t="s">
        <v>11</v>
      </c>
      <c r="F7" s="28" t="s">
        <v>11</v>
      </c>
      <c r="G7" s="29" t="s">
        <v>11</v>
      </c>
      <c r="H7" s="463" t="s">
        <v>11</v>
      </c>
      <c r="I7" s="30" t="s">
        <v>11</v>
      </c>
      <c r="J7" s="732" t="s">
        <v>12</v>
      </c>
      <c r="K7" s="733"/>
      <c r="L7" s="25">
        <v>1620</v>
      </c>
      <c r="M7" s="25">
        <v>1620</v>
      </c>
      <c r="N7" s="26">
        <v>1620</v>
      </c>
      <c r="O7" s="459">
        <v>2750</v>
      </c>
      <c r="P7" s="24">
        <f>O7/N7-1</f>
        <v>0.69753086419753085</v>
      </c>
      <c r="Q7"/>
      <c r="R7" s="319"/>
      <c r="S7" s="320"/>
    </row>
    <row r="8" spans="1:20" ht="30.75" customHeight="1" thickBot="1" x14ac:dyDescent="0.25">
      <c r="A8" s="762"/>
      <c r="B8" s="762"/>
      <c r="C8" s="762"/>
      <c r="D8" s="762"/>
      <c r="E8" s="762"/>
      <c r="F8" s="762"/>
      <c r="G8" s="762"/>
      <c r="H8" s="762"/>
      <c r="I8" s="245"/>
      <c r="J8" s="763" t="s">
        <v>13</v>
      </c>
      <c r="K8" s="764"/>
      <c r="L8" s="31">
        <v>17.95</v>
      </c>
      <c r="M8" s="31">
        <v>17.95</v>
      </c>
      <c r="N8" s="32">
        <v>17.95</v>
      </c>
      <c r="O8" s="460">
        <f>'[1]10 Ukaz J'!G37</f>
        <v>17.95</v>
      </c>
      <c r="P8" s="33">
        <f>O8/N8-1</f>
        <v>0</v>
      </c>
      <c r="Q8"/>
      <c r="R8" s="321"/>
      <c r="S8" s="320"/>
    </row>
    <row r="9" spans="1:20" ht="15.75" thickBot="1" x14ac:dyDescent="0.25">
      <c r="A9" s="765"/>
      <c r="B9" s="765"/>
      <c r="C9" s="765"/>
      <c r="D9" s="765"/>
      <c r="E9" s="765"/>
      <c r="F9" s="765"/>
      <c r="G9" s="765"/>
      <c r="H9" s="765"/>
      <c r="I9" s="765"/>
      <c r="J9" s="34"/>
      <c r="K9" s="34"/>
      <c r="L9" s="34"/>
      <c r="M9" s="34"/>
      <c r="N9" s="34"/>
      <c r="O9" s="4"/>
      <c r="P9" s="4"/>
      <c r="Q9" s="209" t="s">
        <v>193</v>
      </c>
      <c r="R9" s="209"/>
      <c r="S9" s="209"/>
      <c r="T9" s="209"/>
    </row>
    <row r="10" spans="1:20" ht="14.25" customHeight="1" x14ac:dyDescent="0.2">
      <c r="A10" s="744" t="s">
        <v>14</v>
      </c>
      <c r="B10" s="746" t="s">
        <v>15</v>
      </c>
      <c r="C10" s="748" t="s">
        <v>16</v>
      </c>
      <c r="D10" s="749"/>
      <c r="E10" s="749"/>
      <c r="F10" s="749"/>
      <c r="G10" s="750"/>
      <c r="H10" s="757" t="s">
        <v>17</v>
      </c>
      <c r="I10" s="757" t="s">
        <v>20</v>
      </c>
      <c r="J10" s="792" t="s">
        <v>18</v>
      </c>
      <c r="K10" s="795" t="s">
        <v>19</v>
      </c>
      <c r="L10" s="782" t="s">
        <v>71</v>
      </c>
      <c r="M10" s="785" t="s">
        <v>21</v>
      </c>
      <c r="N10" s="774" t="s">
        <v>22</v>
      </c>
      <c r="O10" s="777" t="s">
        <v>194</v>
      </c>
      <c r="P10" s="766" t="s">
        <v>23</v>
      </c>
      <c r="Q10" s="769" t="s">
        <v>24</v>
      </c>
    </row>
    <row r="11" spans="1:20" ht="14.25" customHeight="1" x14ac:dyDescent="0.2">
      <c r="A11" s="745"/>
      <c r="B11" s="747"/>
      <c r="C11" s="751"/>
      <c r="D11" s="752"/>
      <c r="E11" s="752"/>
      <c r="F11" s="752"/>
      <c r="G11" s="753"/>
      <c r="H11" s="758"/>
      <c r="I11" s="758"/>
      <c r="J11" s="793"/>
      <c r="K11" s="796"/>
      <c r="L11" s="783"/>
      <c r="M11" s="786"/>
      <c r="N11" s="775"/>
      <c r="O11" s="778"/>
      <c r="P11" s="767"/>
      <c r="Q11" s="770"/>
    </row>
    <row r="12" spans="1:20" s="35" customFormat="1" ht="14.25" customHeight="1" thickBot="1" x14ac:dyDescent="0.25">
      <c r="A12" s="745"/>
      <c r="B12" s="747"/>
      <c r="C12" s="754"/>
      <c r="D12" s="755"/>
      <c r="E12" s="755"/>
      <c r="F12" s="755"/>
      <c r="G12" s="756"/>
      <c r="H12" s="759"/>
      <c r="I12" s="759"/>
      <c r="J12" s="794"/>
      <c r="K12" s="797"/>
      <c r="L12" s="784"/>
      <c r="M12" s="787"/>
      <c r="N12" s="776"/>
      <c r="O12" s="779"/>
      <c r="P12" s="768"/>
      <c r="Q12" s="771"/>
    </row>
    <row r="13" spans="1:20" s="43" customFormat="1" ht="16.5" thickBot="1" x14ac:dyDescent="0.25">
      <c r="A13" s="36"/>
      <c r="B13" s="37"/>
      <c r="C13" s="772">
        <v>1</v>
      </c>
      <c r="D13" s="773"/>
      <c r="E13" s="773"/>
      <c r="F13" s="773"/>
      <c r="G13" s="773"/>
      <c r="H13" s="38">
        <v>2</v>
      </c>
      <c r="I13" s="38">
        <v>3</v>
      </c>
      <c r="J13" s="40">
        <v>4</v>
      </c>
      <c r="K13" s="39">
        <v>5</v>
      </c>
      <c r="L13" s="41">
        <v>6</v>
      </c>
      <c r="M13" s="40">
        <v>7</v>
      </c>
      <c r="N13" s="42">
        <v>8</v>
      </c>
      <c r="O13" s="487">
        <v>9</v>
      </c>
      <c r="P13" s="40">
        <v>10</v>
      </c>
      <c r="Q13" s="42">
        <v>11</v>
      </c>
    </row>
    <row r="14" spans="1:20" ht="8.25" customHeight="1" x14ac:dyDescent="0.2">
      <c r="A14" s="44"/>
      <c r="B14" s="45"/>
      <c r="C14" s="46"/>
      <c r="D14" s="6"/>
      <c r="E14" s="6"/>
      <c r="F14" s="6"/>
      <c r="G14" s="6"/>
      <c r="H14" s="47"/>
      <c r="I14" s="47"/>
      <c r="J14" s="48"/>
      <c r="K14" s="49"/>
      <c r="L14" s="50"/>
      <c r="M14" s="48"/>
      <c r="N14" s="51"/>
      <c r="O14" s="488"/>
      <c r="P14" s="48"/>
      <c r="Q14" s="51"/>
    </row>
    <row r="15" spans="1:20" ht="15.75" thickBot="1" x14ac:dyDescent="0.25">
      <c r="A15" s="44"/>
      <c r="B15" s="45"/>
      <c r="C15" s="52" t="s">
        <v>198</v>
      </c>
      <c r="D15" s="6"/>
      <c r="E15" s="6"/>
      <c r="F15" s="6"/>
      <c r="G15" s="6"/>
      <c r="H15" s="47"/>
      <c r="I15" s="47"/>
      <c r="J15" s="48"/>
      <c r="K15" s="49"/>
      <c r="L15" s="53"/>
      <c r="M15" s="48"/>
      <c r="N15" s="51"/>
      <c r="O15" s="489"/>
      <c r="P15" s="48"/>
      <c r="Q15" s="51"/>
    </row>
    <row r="16" spans="1:20" x14ac:dyDescent="0.2">
      <c r="A16" s="54" t="s">
        <v>25</v>
      </c>
      <c r="B16" s="55"/>
      <c r="C16" s="798" t="s">
        <v>70</v>
      </c>
      <c r="D16" s="799"/>
      <c r="E16" s="799"/>
      <c r="F16" s="799"/>
      <c r="G16" s="799"/>
      <c r="H16" s="56">
        <v>12394580</v>
      </c>
      <c r="I16" s="56">
        <v>12245233</v>
      </c>
      <c r="J16" s="58">
        <f>I16/$I$60</f>
        <v>0.61511356252127358</v>
      </c>
      <c r="K16" s="57">
        <f>I16/H16-1</f>
        <v>-1.2049379648201075E-2</v>
      </c>
      <c r="L16" s="59">
        <v>11723777656.32</v>
      </c>
      <c r="M16" s="58">
        <f>L16/$L$60</f>
        <v>0.61343194025569092</v>
      </c>
      <c r="N16" s="60">
        <f>L16/I16/1000-1</f>
        <v>-4.2584354554952131E-2</v>
      </c>
      <c r="O16" s="490">
        <f>16186023232*0.9</f>
        <v>14567420908.800001</v>
      </c>
      <c r="P16" s="58">
        <f>O16/$O$61</f>
        <v>0.72313341786274343</v>
      </c>
      <c r="Q16" s="60">
        <f t="shared" ref="Q16:Q17" si="0">O16/L16-1</f>
        <v>0.24255349562579465</v>
      </c>
    </row>
    <row r="17" spans="1:20" ht="15" thickBot="1" x14ac:dyDescent="0.25">
      <c r="A17" s="63" t="s">
        <v>25</v>
      </c>
      <c r="B17" s="64"/>
      <c r="C17" s="800" t="s">
        <v>26</v>
      </c>
      <c r="D17" s="801"/>
      <c r="E17" s="801"/>
      <c r="F17" s="801"/>
      <c r="G17" s="801"/>
      <c r="H17" s="65">
        <v>3598426</v>
      </c>
      <c r="I17" s="65">
        <v>3866916</v>
      </c>
      <c r="J17" s="66">
        <f>I17/$I$60</f>
        <v>0.19424640402763371</v>
      </c>
      <c r="K17" s="67">
        <f>I17/H17-1</f>
        <v>7.4613178095089383E-2</v>
      </c>
      <c r="L17" s="68">
        <v>3702245575.6799998</v>
      </c>
      <c r="M17" s="66">
        <f>L17/$L$60</f>
        <v>0.19371534955442871</v>
      </c>
      <c r="N17" s="69">
        <f>L17/I17/1000-1</f>
        <v>-4.2584432741750833E-2</v>
      </c>
      <c r="O17" s="491">
        <f>16186023232*0.1</f>
        <v>1618602323.2</v>
      </c>
      <c r="P17" s="66">
        <f>O17/$O$61</f>
        <v>8.0348157540304818E-2</v>
      </c>
      <c r="Q17" s="69">
        <f t="shared" si="0"/>
        <v>-0.56280525153907224</v>
      </c>
    </row>
    <row r="18" spans="1:20" s="78" customFormat="1" ht="15.75" thickBot="1" x14ac:dyDescent="0.25">
      <c r="A18" s="70"/>
      <c r="B18" s="71"/>
      <c r="C18" s="790" t="s">
        <v>27</v>
      </c>
      <c r="D18" s="791"/>
      <c r="E18" s="791"/>
      <c r="F18" s="791"/>
      <c r="G18" s="791"/>
      <c r="H18" s="72">
        <v>15993006</v>
      </c>
      <c r="I18" s="72">
        <v>16112149</v>
      </c>
      <c r="J18" s="73">
        <f>I18/$I$60</f>
        <v>0.80935996654890741</v>
      </c>
      <c r="K18" s="74">
        <f>I18/H18-1</f>
        <v>7.4496939474668622E-3</v>
      </c>
      <c r="L18" s="75">
        <f>SUM(L17,L16)</f>
        <v>15426023232</v>
      </c>
      <c r="M18" s="73">
        <f>L18/$L$61</f>
        <v>0.80794725633055986</v>
      </c>
      <c r="N18" s="76">
        <f>L18/I18/1000-1</f>
        <v>-4.2584373319784929E-2</v>
      </c>
      <c r="O18" s="492">
        <f>SUM(O17,O16)</f>
        <v>16186023232.000002</v>
      </c>
      <c r="P18" s="73">
        <f>O18/$O$61</f>
        <v>0.80348157540304832</v>
      </c>
      <c r="Q18" s="76">
        <f>O18/L18-1</f>
        <v>4.9267396306226452E-2</v>
      </c>
      <c r="S18" s="464"/>
    </row>
    <row r="19" spans="1:20" ht="9" customHeight="1" x14ac:dyDescent="0.2">
      <c r="A19" s="44"/>
      <c r="B19" s="45"/>
      <c r="C19" s="46"/>
      <c r="D19" s="6"/>
      <c r="E19" s="6"/>
      <c r="F19" s="6"/>
      <c r="G19" s="6"/>
      <c r="H19" s="79"/>
      <c r="I19" s="79"/>
      <c r="J19" s="80"/>
      <c r="K19" s="81"/>
      <c r="L19" s="82"/>
      <c r="M19" s="80"/>
      <c r="N19" s="83"/>
      <c r="O19" s="493"/>
      <c r="P19" s="80"/>
      <c r="Q19" s="83"/>
      <c r="S19" s="465"/>
    </row>
    <row r="20" spans="1:20" ht="15.75" customHeight="1" thickBot="1" x14ac:dyDescent="0.25">
      <c r="A20" s="44"/>
      <c r="B20" s="45"/>
      <c r="C20" s="46" t="s">
        <v>28</v>
      </c>
      <c r="D20" s="6"/>
      <c r="E20" s="6"/>
      <c r="F20" s="6"/>
      <c r="G20" s="6"/>
      <c r="H20" s="79"/>
      <c r="I20" s="79"/>
      <c r="J20" s="85"/>
      <c r="K20" s="85"/>
      <c r="L20" s="82"/>
      <c r="M20" s="85"/>
      <c r="N20" s="86"/>
      <c r="O20" s="493"/>
      <c r="P20" s="85"/>
      <c r="Q20" s="86"/>
      <c r="S20" s="465"/>
    </row>
    <row r="21" spans="1:20" x14ac:dyDescent="0.2">
      <c r="A21" s="54" t="s">
        <v>25</v>
      </c>
      <c r="B21" s="55"/>
      <c r="C21" s="788" t="s">
        <v>29</v>
      </c>
      <c r="D21" s="789"/>
      <c r="E21" s="789"/>
      <c r="F21" s="789"/>
      <c r="G21" s="789"/>
      <c r="H21" s="87">
        <v>1092690</v>
      </c>
      <c r="I21" s="87">
        <v>1070000</v>
      </c>
      <c r="J21" s="89">
        <f t="shared" ref="J21:J27" si="1">I21/$I$60</f>
        <v>5.374920280387991E-2</v>
      </c>
      <c r="K21" s="88">
        <f t="shared" ref="K21:K27" si="2">I21/H21-1</f>
        <v>-2.0765267367688911E-2</v>
      </c>
      <c r="L21" s="90">
        <v>1046790000</v>
      </c>
      <c r="M21" s="89">
        <f t="shared" ref="M21:M26" si="3">L21/$L$60</f>
        <v>5.4771971932962737E-2</v>
      </c>
      <c r="N21" s="91">
        <f>L21/I21/1000-1</f>
        <v>-2.1691588785046734E-2</v>
      </c>
      <c r="O21" s="494">
        <v>1013220000</v>
      </c>
      <c r="P21" s="89">
        <f t="shared" ref="P21:P27" si="4">O21/$O$61</f>
        <v>5.0296702912200328E-2</v>
      </c>
      <c r="Q21" s="91">
        <f>O21/L21-1</f>
        <v>-3.2069469521107341E-2</v>
      </c>
      <c r="S21" s="465"/>
    </row>
    <row r="22" spans="1:20" x14ac:dyDescent="0.2">
      <c r="A22" s="62"/>
      <c r="B22" s="92" t="s">
        <v>30</v>
      </c>
      <c r="C22" s="780" t="s">
        <v>31</v>
      </c>
      <c r="D22" s="781"/>
      <c r="E22" s="781"/>
      <c r="F22" s="781"/>
      <c r="G22" s="781"/>
      <c r="H22" s="93">
        <v>155303</v>
      </c>
      <c r="I22" s="93">
        <v>150000</v>
      </c>
      <c r="J22" s="95">
        <f t="shared" si="1"/>
        <v>7.5349349725065294E-3</v>
      </c>
      <c r="K22" s="94">
        <f t="shared" si="2"/>
        <v>-3.4146153004127378E-2</v>
      </c>
      <c r="L22" s="96">
        <v>137000000</v>
      </c>
      <c r="M22" s="95">
        <f t="shared" si="3"/>
        <v>7.1683529216135956E-3</v>
      </c>
      <c r="N22" s="97">
        <f t="shared" ref="N22:N27" si="5">L22/I22/1000-1</f>
        <v>-8.666666666666667E-2</v>
      </c>
      <c r="O22" s="495">
        <v>135000000</v>
      </c>
      <c r="P22" s="95">
        <f t="shared" si="4"/>
        <v>6.7014615711760957E-3</v>
      </c>
      <c r="Q22" s="97">
        <f t="shared" ref="Q22:Q26" si="6">O22/L22-1</f>
        <v>-1.4598540145985384E-2</v>
      </c>
      <c r="S22" s="465"/>
    </row>
    <row r="23" spans="1:20" x14ac:dyDescent="0.2">
      <c r="A23" s="62" t="s">
        <v>25</v>
      </c>
      <c r="B23" s="92"/>
      <c r="C23" s="780" t="s">
        <v>32</v>
      </c>
      <c r="D23" s="781"/>
      <c r="E23" s="781"/>
      <c r="F23" s="781"/>
      <c r="G23" s="781"/>
      <c r="H23" s="93">
        <v>48000</v>
      </c>
      <c r="I23" s="93">
        <v>43000</v>
      </c>
      <c r="J23" s="95">
        <f t="shared" si="1"/>
        <v>2.1600146921185383E-3</v>
      </c>
      <c r="K23" s="94">
        <f t="shared" si="2"/>
        <v>-0.10416666666666663</v>
      </c>
      <c r="L23" s="96">
        <v>40000000</v>
      </c>
      <c r="M23" s="95">
        <f t="shared" si="3"/>
        <v>2.0929497581353563E-3</v>
      </c>
      <c r="N23" s="97">
        <f t="shared" si="5"/>
        <v>-6.9767441860465129E-2</v>
      </c>
      <c r="O23" s="495">
        <v>55000000</v>
      </c>
      <c r="P23" s="95">
        <f t="shared" si="4"/>
        <v>2.7302250845532244E-3</v>
      </c>
      <c r="Q23" s="97">
        <f t="shared" si="6"/>
        <v>0.375</v>
      </c>
      <c r="S23" s="465"/>
    </row>
    <row r="24" spans="1:20" x14ac:dyDescent="0.2">
      <c r="A24" s="62"/>
      <c r="B24" s="92" t="s">
        <v>30</v>
      </c>
      <c r="C24" s="780" t="s">
        <v>33</v>
      </c>
      <c r="D24" s="781"/>
      <c r="E24" s="781"/>
      <c r="F24" s="781"/>
      <c r="G24" s="781"/>
      <c r="H24" s="93">
        <v>2543</v>
      </c>
      <c r="I24" s="93">
        <v>2000</v>
      </c>
      <c r="J24" s="95">
        <f t="shared" si="1"/>
        <v>1.0046579963342039E-4</v>
      </c>
      <c r="K24" s="94">
        <f t="shared" si="2"/>
        <v>-0.21352732992528511</v>
      </c>
      <c r="L24" s="96">
        <v>1500000</v>
      </c>
      <c r="M24" s="95">
        <f t="shared" si="3"/>
        <v>7.8485615930075855E-5</v>
      </c>
      <c r="N24" s="97">
        <f t="shared" si="5"/>
        <v>-0.25</v>
      </c>
      <c r="O24" s="495">
        <v>2000000</v>
      </c>
      <c r="P24" s="95">
        <f t="shared" si="4"/>
        <v>9.9280912165571793E-5</v>
      </c>
      <c r="Q24" s="97">
        <f t="shared" si="6"/>
        <v>0.33333333333333326</v>
      </c>
      <c r="S24" s="465"/>
    </row>
    <row r="25" spans="1:20" x14ac:dyDescent="0.2">
      <c r="A25" s="62" t="s">
        <v>25</v>
      </c>
      <c r="B25" s="92"/>
      <c r="C25" s="780" t="s">
        <v>34</v>
      </c>
      <c r="D25" s="781"/>
      <c r="E25" s="781"/>
      <c r="F25" s="781"/>
      <c r="G25" s="781"/>
      <c r="H25" s="93">
        <v>816497</v>
      </c>
      <c r="I25" s="93">
        <v>776966</v>
      </c>
      <c r="J25" s="95">
        <f t="shared" si="1"/>
        <v>3.9029255238990056E-2</v>
      </c>
      <c r="K25" s="94">
        <f t="shared" si="2"/>
        <v>-4.8415364661474558E-2</v>
      </c>
      <c r="L25" s="96">
        <v>731081000</v>
      </c>
      <c r="M25" s="95">
        <f t="shared" si="3"/>
        <v>3.8252895053183862E-2</v>
      </c>
      <c r="N25" s="97">
        <f t="shared" si="5"/>
        <v>-5.9056638257015126E-2</v>
      </c>
      <c r="O25" s="495">
        <v>699456600</v>
      </c>
      <c r="P25" s="95">
        <f t="shared" si="4"/>
        <v>3.4721344634114741E-2</v>
      </c>
      <c r="Q25" s="97">
        <f t="shared" si="6"/>
        <v>-4.3257039917601436E-2</v>
      </c>
      <c r="S25" s="465"/>
      <c r="T25" s="84"/>
    </row>
    <row r="26" spans="1:20" ht="15" thickBot="1" x14ac:dyDescent="0.25">
      <c r="A26" s="63"/>
      <c r="B26" s="98" t="s">
        <v>30</v>
      </c>
      <c r="C26" s="800" t="s">
        <v>35</v>
      </c>
      <c r="D26" s="801"/>
      <c r="E26" s="801"/>
      <c r="F26" s="801"/>
      <c r="G26" s="801"/>
      <c r="H26" s="99">
        <v>56474</v>
      </c>
      <c r="I26" s="99">
        <v>52939</v>
      </c>
      <c r="J26" s="100">
        <f t="shared" si="1"/>
        <v>2.6592794833968209E-3</v>
      </c>
      <c r="K26" s="67">
        <f t="shared" si="2"/>
        <v>-6.259517654141733E-2</v>
      </c>
      <c r="L26" s="101">
        <v>48865000</v>
      </c>
      <c r="M26" s="100">
        <f t="shared" si="3"/>
        <v>2.5567997482821045E-3</v>
      </c>
      <c r="N26" s="102">
        <f t="shared" si="5"/>
        <v>-7.6956497100436283E-2</v>
      </c>
      <c r="O26" s="496">
        <v>44000000</v>
      </c>
      <c r="P26" s="100">
        <f t="shared" si="4"/>
        <v>2.1841800676425794E-3</v>
      </c>
      <c r="Q26" s="102">
        <f t="shared" si="6"/>
        <v>-9.9560012278727128E-2</v>
      </c>
      <c r="S26" s="465"/>
    </row>
    <row r="27" spans="1:20" s="78" customFormat="1" ht="15.75" thickBot="1" x14ac:dyDescent="0.25">
      <c r="A27" s="70"/>
      <c r="B27" s="71"/>
      <c r="C27" s="790" t="s">
        <v>36</v>
      </c>
      <c r="D27" s="791"/>
      <c r="E27" s="791"/>
      <c r="F27" s="791"/>
      <c r="G27" s="791"/>
      <c r="H27" s="72">
        <v>2171507</v>
      </c>
      <c r="I27" s="72">
        <v>2094905</v>
      </c>
      <c r="J27" s="73">
        <f t="shared" si="1"/>
        <v>0.10523315299052527</v>
      </c>
      <c r="K27" s="74">
        <f t="shared" si="2"/>
        <v>-3.5275962730030308E-2</v>
      </c>
      <c r="L27" s="75">
        <f>SUM(L21:L26)</f>
        <v>2005236000</v>
      </c>
      <c r="M27" s="73">
        <f>L27/$L$61</f>
        <v>0.10502544305355721</v>
      </c>
      <c r="N27" s="76">
        <f t="shared" si="5"/>
        <v>-4.2803372945312557E-2</v>
      </c>
      <c r="O27" s="492">
        <f>SUM(O21:O26)</f>
        <v>1948676600</v>
      </c>
      <c r="P27" s="73">
        <f t="shared" si="4"/>
        <v>9.6733195181852541E-2</v>
      </c>
      <c r="Q27" s="76">
        <f>O27/L27-1</f>
        <v>-2.8205857066200712E-2</v>
      </c>
      <c r="S27" s="464"/>
    </row>
    <row r="28" spans="1:20" ht="8.25" customHeight="1" x14ac:dyDescent="0.2">
      <c r="A28" s="44"/>
      <c r="B28" s="45"/>
      <c r="C28" s="46"/>
      <c r="D28" s="6"/>
      <c r="E28" s="6"/>
      <c r="F28" s="6"/>
      <c r="G28" s="6"/>
      <c r="H28" s="79"/>
      <c r="I28" s="79"/>
      <c r="J28" s="80"/>
      <c r="K28" s="85"/>
      <c r="L28" s="82"/>
      <c r="M28" s="80"/>
      <c r="N28" s="86"/>
      <c r="O28" s="493"/>
      <c r="P28" s="80"/>
      <c r="Q28" s="86"/>
      <c r="S28" s="465"/>
      <c r="T28" s="84"/>
    </row>
    <row r="29" spans="1:20" ht="15.75" thickBot="1" x14ac:dyDescent="0.25">
      <c r="A29" s="44"/>
      <c r="B29" s="45"/>
      <c r="C29" s="52" t="s">
        <v>37</v>
      </c>
      <c r="D29" s="6"/>
      <c r="E29" s="6"/>
      <c r="F29" s="6"/>
      <c r="G29" s="6"/>
      <c r="H29" s="79"/>
      <c r="I29" s="79"/>
      <c r="J29" s="85"/>
      <c r="K29" s="85"/>
      <c r="L29" s="82"/>
      <c r="M29" s="85"/>
      <c r="N29" s="86"/>
      <c r="O29" s="493"/>
      <c r="P29" s="85"/>
      <c r="Q29" s="86"/>
      <c r="S29" s="465"/>
    </row>
    <row r="30" spans="1:20" s="61" customFormat="1" x14ac:dyDescent="0.2">
      <c r="A30" s="54"/>
      <c r="B30" s="55" t="s">
        <v>30</v>
      </c>
      <c r="C30" s="788" t="s">
        <v>38</v>
      </c>
      <c r="D30" s="789"/>
      <c r="E30" s="789"/>
      <c r="F30" s="789"/>
      <c r="G30" s="789"/>
      <c r="H30" s="87">
        <v>2000</v>
      </c>
      <c r="I30" s="87">
        <v>0</v>
      </c>
      <c r="J30" s="89">
        <f>I30/$I$60</f>
        <v>0</v>
      </c>
      <c r="K30" s="88">
        <f>I30/H30-1</f>
        <v>-1</v>
      </c>
      <c r="L30" s="103">
        <v>0</v>
      </c>
      <c r="M30" s="89">
        <f>L30/$L$60</f>
        <v>0</v>
      </c>
      <c r="N30" s="104"/>
      <c r="O30" s="497"/>
      <c r="P30" s="89"/>
      <c r="Q30" s="104"/>
      <c r="S30" s="466"/>
    </row>
    <row r="31" spans="1:20" x14ac:dyDescent="0.2">
      <c r="A31" s="106" t="s">
        <v>25</v>
      </c>
      <c r="B31" s="107" t="s">
        <v>30</v>
      </c>
      <c r="C31" s="780" t="s">
        <v>39</v>
      </c>
      <c r="D31" s="781"/>
      <c r="E31" s="781"/>
      <c r="F31" s="781"/>
      <c r="G31" s="781"/>
      <c r="H31" s="93">
        <v>1150000</v>
      </c>
      <c r="I31" s="93">
        <v>1150000</v>
      </c>
      <c r="J31" s="95">
        <f>I31/$I$60</f>
        <v>5.7767834789216724E-2</v>
      </c>
      <c r="K31" s="94">
        <f>I31/H31-1</f>
        <v>0</v>
      </c>
      <c r="L31" s="96">
        <v>1150000000</v>
      </c>
      <c r="M31" s="95">
        <f>L31/$L$60</f>
        <v>6.0172305546391497E-2</v>
      </c>
      <c r="N31" s="108">
        <f>L31/I31/1000-1</f>
        <v>0</v>
      </c>
      <c r="O31" s="495">
        <v>1150000000</v>
      </c>
      <c r="P31" s="95">
        <f>O31/$O$61</f>
        <v>5.708652449520378E-2</v>
      </c>
      <c r="Q31" s="108">
        <f t="shared" ref="Q31:Q34" si="7">O31/L31-1</f>
        <v>0</v>
      </c>
      <c r="S31" s="465"/>
    </row>
    <row r="32" spans="1:20" s="61" customFormat="1" x14ac:dyDescent="0.2">
      <c r="A32" s="62"/>
      <c r="B32" s="92" t="s">
        <v>25</v>
      </c>
      <c r="C32" s="107" t="s">
        <v>40</v>
      </c>
      <c r="D32" s="109" t="s">
        <v>41</v>
      </c>
      <c r="E32" s="45"/>
      <c r="F32" s="45"/>
      <c r="G32" s="45"/>
      <c r="H32" s="110">
        <v>1035002</v>
      </c>
      <c r="I32" s="110">
        <v>1035002</v>
      </c>
      <c r="J32" s="95">
        <f>I32/$I$60</f>
        <v>5.1991151776094688E-2</v>
      </c>
      <c r="K32" s="94">
        <f>I32/H32-1</f>
        <v>0</v>
      </c>
      <c r="L32" s="111">
        <f>1150000000-115000000</f>
        <v>1035000000</v>
      </c>
      <c r="M32" s="95">
        <f>L32/$L$60</f>
        <v>5.4155074991752344E-2</v>
      </c>
      <c r="N32" s="108">
        <f>L32/I32/1000-1</f>
        <v>-1.9323634157242253E-6</v>
      </c>
      <c r="O32" s="498">
        <f>1150000000-115000000</f>
        <v>1035000000</v>
      </c>
      <c r="P32" s="95">
        <f>O32/$O$61</f>
        <v>5.13778720456834E-2</v>
      </c>
      <c r="Q32" s="108">
        <f t="shared" si="7"/>
        <v>0</v>
      </c>
      <c r="S32" s="466"/>
    </row>
    <row r="33" spans="1:19" s="61" customFormat="1" x14ac:dyDescent="0.2">
      <c r="A33" s="62"/>
      <c r="B33" s="92" t="s">
        <v>30</v>
      </c>
      <c r="C33" s="112"/>
      <c r="D33" s="113" t="s">
        <v>42</v>
      </c>
      <c r="E33" s="114"/>
      <c r="F33" s="114"/>
      <c r="G33" s="114"/>
      <c r="H33" s="116">
        <v>114998</v>
      </c>
      <c r="I33" s="115">
        <v>114998</v>
      </c>
      <c r="J33" s="95">
        <f>I33/$I$60</f>
        <v>5.7766830131220394E-3</v>
      </c>
      <c r="K33" s="94">
        <f>I33/H33-1</f>
        <v>0</v>
      </c>
      <c r="L33" s="117">
        <v>115000000</v>
      </c>
      <c r="M33" s="95">
        <f>L33/$L$60</f>
        <v>6.017230554639149E-3</v>
      </c>
      <c r="N33" s="108">
        <f>L33/I33/1000-1</f>
        <v>1.7391606810468474E-5</v>
      </c>
      <c r="O33" s="499">
        <v>115000000</v>
      </c>
      <c r="P33" s="95">
        <f>O33/$O$61</f>
        <v>5.7086524495203782E-3</v>
      </c>
      <c r="Q33" s="108">
        <f t="shared" si="7"/>
        <v>0</v>
      </c>
      <c r="S33" s="466"/>
    </row>
    <row r="34" spans="1:19" s="78" customFormat="1" ht="15.75" thickBot="1" x14ac:dyDescent="0.25">
      <c r="A34" s="70"/>
      <c r="B34" s="71"/>
      <c r="C34" s="805" t="s">
        <v>43</v>
      </c>
      <c r="D34" s="806"/>
      <c r="E34" s="806"/>
      <c r="F34" s="806"/>
      <c r="G34" s="806"/>
      <c r="H34" s="72">
        <v>1152000</v>
      </c>
      <c r="I34" s="72">
        <v>1150000</v>
      </c>
      <c r="J34" s="73">
        <f>I34/$I$60</f>
        <v>5.7767834789216724E-2</v>
      </c>
      <c r="K34" s="74">
        <f>I34/H34-1</f>
        <v>-1.7361111111111605E-3</v>
      </c>
      <c r="L34" s="75">
        <f>SUM(L30:L31)</f>
        <v>1150000000</v>
      </c>
      <c r="M34" s="73">
        <f>L34/$L$61</f>
        <v>6.0231942530251194E-2</v>
      </c>
      <c r="N34" s="76">
        <f>L34/I34/1000-1</f>
        <v>0</v>
      </c>
      <c r="O34" s="492">
        <f>SUM(O30:O31)</f>
        <v>1150000000</v>
      </c>
      <c r="P34" s="73">
        <f>O34/$O$61</f>
        <v>5.708652449520378E-2</v>
      </c>
      <c r="Q34" s="76">
        <f t="shared" si="7"/>
        <v>0</v>
      </c>
      <c r="S34" s="464"/>
    </row>
    <row r="35" spans="1:19" ht="9" customHeight="1" x14ac:dyDescent="0.2">
      <c r="A35" s="44"/>
      <c r="B35" s="45"/>
      <c r="C35" s="46"/>
      <c r="D35" s="6"/>
      <c r="E35" s="6"/>
      <c r="F35" s="6"/>
      <c r="G35" s="6"/>
      <c r="H35" s="79"/>
      <c r="I35" s="79"/>
      <c r="J35" s="80"/>
      <c r="K35" s="85"/>
      <c r="L35" s="82"/>
      <c r="M35" s="80"/>
      <c r="N35" s="86"/>
      <c r="O35" s="493"/>
      <c r="P35" s="80"/>
      <c r="Q35" s="86"/>
      <c r="S35" s="465"/>
    </row>
    <row r="36" spans="1:19" ht="15.75" thickBot="1" x14ac:dyDescent="0.25">
      <c r="A36" s="118"/>
      <c r="B36" s="119"/>
      <c r="C36" s="52" t="s">
        <v>44</v>
      </c>
      <c r="D36" s="6"/>
      <c r="E36" s="6"/>
      <c r="F36" s="6"/>
      <c r="G36" s="6"/>
      <c r="H36" s="79"/>
      <c r="I36" s="79"/>
      <c r="J36" s="85"/>
      <c r="K36" s="85"/>
      <c r="L36" s="82"/>
      <c r="M36" s="85"/>
      <c r="N36" s="86"/>
      <c r="O36" s="493"/>
      <c r="P36" s="85"/>
      <c r="Q36" s="86"/>
      <c r="S36" s="465"/>
    </row>
    <row r="37" spans="1:19" ht="15" thickBot="1" x14ac:dyDescent="0.25">
      <c r="A37" s="120" t="s">
        <v>25</v>
      </c>
      <c r="B37" s="121" t="s">
        <v>30</v>
      </c>
      <c r="C37" s="122" t="s">
        <v>45</v>
      </c>
      <c r="D37" s="123"/>
      <c r="E37" s="123"/>
      <c r="F37" s="123"/>
      <c r="G37" s="123"/>
      <c r="H37" s="124">
        <v>356223</v>
      </c>
      <c r="I37" s="124">
        <v>260000</v>
      </c>
      <c r="J37" s="126">
        <f>I37/$I$60</f>
        <v>1.306055395234465E-2</v>
      </c>
      <c r="K37" s="125">
        <f>I37/H37-1</f>
        <v>-0.27012012138463826</v>
      </c>
      <c r="L37" s="127">
        <f>SUM(L38:L44)</f>
        <v>260000000</v>
      </c>
      <c r="M37" s="126">
        <f t="shared" ref="M37:M45" si="8">L37/$L$60</f>
        <v>1.3604173427879816E-2</v>
      </c>
      <c r="N37" s="128">
        <f>L37/I37/1000-1</f>
        <v>0</v>
      </c>
      <c r="O37" s="500">
        <f>SUM(O38:O44)</f>
        <v>260000000</v>
      </c>
      <c r="P37" s="126">
        <f>O37/$L$60</f>
        <v>1.3604173427879816E-2</v>
      </c>
      <c r="Q37" s="128">
        <f>O37/L37-1</f>
        <v>0</v>
      </c>
      <c r="S37" s="465"/>
    </row>
    <row r="38" spans="1:19" s="61" customFormat="1" x14ac:dyDescent="0.2">
      <c r="A38" s="129"/>
      <c r="B38" s="130"/>
      <c r="C38" s="131" t="s">
        <v>46</v>
      </c>
      <c r="D38" s="132" t="s">
        <v>253</v>
      </c>
      <c r="E38" s="133"/>
      <c r="F38" s="133"/>
      <c r="G38" s="133"/>
      <c r="H38" s="134">
        <v>4500</v>
      </c>
      <c r="I38" s="134">
        <v>0</v>
      </c>
      <c r="J38" s="89">
        <f>I38/$I$60</f>
        <v>0</v>
      </c>
      <c r="K38" s="135">
        <f>I38/H38-1</f>
        <v>-1</v>
      </c>
      <c r="L38" s="136">
        <v>0</v>
      </c>
      <c r="M38" s="89">
        <f t="shared" si="8"/>
        <v>0</v>
      </c>
      <c r="N38" s="137"/>
      <c r="O38" s="501"/>
      <c r="P38" s="89"/>
      <c r="Q38" s="137"/>
      <c r="S38" s="466"/>
    </row>
    <row r="39" spans="1:19" s="61" customFormat="1" x14ac:dyDescent="0.2">
      <c r="A39" s="129"/>
      <c r="B39" s="138"/>
      <c r="C39" s="139"/>
      <c r="D39" s="113" t="s">
        <v>47</v>
      </c>
      <c r="E39" s="114"/>
      <c r="F39" s="114"/>
      <c r="G39" s="114"/>
      <c r="H39" s="140">
        <v>10000</v>
      </c>
      <c r="I39" s="93">
        <v>10000</v>
      </c>
      <c r="J39" s="95">
        <f>I39/$I$60</f>
        <v>5.0232899816710194E-4</v>
      </c>
      <c r="K39" s="94">
        <f>I39/H39-1</f>
        <v>0</v>
      </c>
      <c r="L39" s="96">
        <v>10000000</v>
      </c>
      <c r="M39" s="95">
        <f t="shared" si="8"/>
        <v>5.2323743953383909E-4</v>
      </c>
      <c r="N39" s="108">
        <f>L39/I39/1000-1</f>
        <v>0</v>
      </c>
      <c r="O39" s="495">
        <v>10000000</v>
      </c>
      <c r="P39" s="95">
        <f>O39/$O$61</f>
        <v>4.9640456082785897E-4</v>
      </c>
      <c r="Q39" s="108">
        <f>O39/L39-1</f>
        <v>0</v>
      </c>
      <c r="S39" s="466"/>
    </row>
    <row r="40" spans="1:19" s="61" customFormat="1" x14ac:dyDescent="0.2">
      <c r="A40" s="129"/>
      <c r="B40" s="138"/>
      <c r="C40" s="139"/>
      <c r="D40" s="138" t="s">
        <v>48</v>
      </c>
      <c r="E40" s="141"/>
      <c r="F40" s="141"/>
      <c r="G40" s="141"/>
      <c r="H40" s="140">
        <v>310000</v>
      </c>
      <c r="I40" s="93">
        <v>0</v>
      </c>
      <c r="J40" s="95">
        <f>I40/$I$60</f>
        <v>0</v>
      </c>
      <c r="K40" s="94">
        <f>I40/H40-1</f>
        <v>-1</v>
      </c>
      <c r="L40" s="96">
        <v>0</v>
      </c>
      <c r="M40" s="95">
        <f t="shared" si="8"/>
        <v>0</v>
      </c>
      <c r="N40" s="108"/>
      <c r="O40" s="495"/>
      <c r="P40" s="95"/>
      <c r="Q40" s="108"/>
      <c r="S40" s="466"/>
    </row>
    <row r="41" spans="1:19" s="61" customFormat="1" x14ac:dyDescent="0.2">
      <c r="A41" s="142"/>
      <c r="B41" s="138"/>
      <c r="C41" s="139"/>
      <c r="D41" s="138" t="s">
        <v>49</v>
      </c>
      <c r="E41" s="141"/>
      <c r="F41" s="141"/>
      <c r="G41" s="141"/>
      <c r="H41" s="140"/>
      <c r="I41" s="93">
        <v>250000</v>
      </c>
      <c r="J41" s="95"/>
      <c r="K41" s="94"/>
      <c r="L41" s="96">
        <v>250000000</v>
      </c>
      <c r="M41" s="95">
        <f t="shared" si="8"/>
        <v>1.3080935988345976E-2</v>
      </c>
      <c r="N41" s="108">
        <f>L41/I41/1000-1</f>
        <v>0</v>
      </c>
      <c r="O41" s="495">
        <v>250000000</v>
      </c>
      <c r="P41" s="95">
        <f>O41/$O$61</f>
        <v>1.2410114020696474E-2</v>
      </c>
      <c r="Q41" s="108">
        <f>O41/L41-1</f>
        <v>0</v>
      </c>
      <c r="S41" s="466"/>
    </row>
    <row r="42" spans="1:19" s="61" customFormat="1" x14ac:dyDescent="0.2">
      <c r="A42" s="142"/>
      <c r="B42" s="138"/>
      <c r="C42" s="139"/>
      <c r="D42" s="138" t="s">
        <v>50</v>
      </c>
      <c r="E42" s="141"/>
      <c r="F42" s="141"/>
      <c r="G42" s="141"/>
      <c r="H42" s="93">
        <v>10823</v>
      </c>
      <c r="I42" s="93">
        <v>0</v>
      </c>
      <c r="J42" s="95">
        <f>I42/$I$60</f>
        <v>0</v>
      </c>
      <c r="K42" s="94">
        <f>I42/H42-1</f>
        <v>-1</v>
      </c>
      <c r="L42" s="96">
        <v>0</v>
      </c>
      <c r="M42" s="95">
        <f t="shared" si="8"/>
        <v>0</v>
      </c>
      <c r="N42" s="108"/>
      <c r="O42" s="495"/>
      <c r="P42" s="95"/>
      <c r="Q42" s="108"/>
      <c r="S42" s="466"/>
    </row>
    <row r="43" spans="1:19" s="61" customFormat="1" x14ac:dyDescent="0.2">
      <c r="A43" s="129"/>
      <c r="B43" s="138"/>
      <c r="C43" s="139"/>
      <c r="D43" s="138" t="s">
        <v>51</v>
      </c>
      <c r="E43" s="141"/>
      <c r="F43" s="141"/>
      <c r="G43" s="141"/>
      <c r="H43" s="93">
        <v>14500</v>
      </c>
      <c r="I43" s="93">
        <v>0</v>
      </c>
      <c r="J43" s="95">
        <f>I43/$I$60</f>
        <v>0</v>
      </c>
      <c r="K43" s="94">
        <f>I43/H43-1</f>
        <v>-1</v>
      </c>
      <c r="L43" s="96">
        <v>0</v>
      </c>
      <c r="M43" s="95">
        <f t="shared" si="8"/>
        <v>0</v>
      </c>
      <c r="N43" s="108"/>
      <c r="O43" s="495"/>
      <c r="P43" s="95"/>
      <c r="Q43" s="108"/>
      <c r="S43" s="466"/>
    </row>
    <row r="44" spans="1:19" s="61" customFormat="1" ht="15" thickBot="1" x14ac:dyDescent="0.25">
      <c r="A44" s="129"/>
      <c r="B44" s="138"/>
      <c r="C44" s="139"/>
      <c r="D44" s="138" t="s">
        <v>52</v>
      </c>
      <c r="E44" s="141"/>
      <c r="F44" s="141"/>
      <c r="G44" s="141"/>
      <c r="H44" s="93">
        <v>6400</v>
      </c>
      <c r="I44" s="93">
        <v>0</v>
      </c>
      <c r="J44" s="95">
        <f>I44/$I$60</f>
        <v>0</v>
      </c>
      <c r="K44" s="94">
        <f>I44/H44-1</f>
        <v>-1</v>
      </c>
      <c r="L44" s="96">
        <v>0</v>
      </c>
      <c r="M44" s="95">
        <f t="shared" si="8"/>
        <v>0</v>
      </c>
      <c r="N44" s="108"/>
      <c r="O44" s="495"/>
      <c r="P44" s="95"/>
      <c r="Q44" s="108"/>
      <c r="S44" s="466"/>
    </row>
    <row r="45" spans="1:19" ht="15" thickBot="1" x14ac:dyDescent="0.25">
      <c r="A45" s="143"/>
      <c r="B45" s="144"/>
      <c r="C45" s="207" t="s">
        <v>53</v>
      </c>
      <c r="D45" s="123"/>
      <c r="E45" s="123"/>
      <c r="F45" s="123"/>
      <c r="G45" s="123"/>
      <c r="H45" s="145">
        <v>234536</v>
      </c>
      <c r="I45" s="145">
        <v>215995</v>
      </c>
      <c r="J45" s="126">
        <f>I45/$I$60</f>
        <v>1.0850055195910318E-2</v>
      </c>
      <c r="K45" s="125">
        <f>I45/H45-1</f>
        <v>-7.9053961865129474E-2</v>
      </c>
      <c r="L45" s="146">
        <f>SUM(L46:L58)</f>
        <v>251600000</v>
      </c>
      <c r="M45" s="126">
        <f t="shared" si="8"/>
        <v>1.3164653978671391E-2</v>
      </c>
      <c r="N45" s="128">
        <f>L45/I45/1000-1</f>
        <v>0.16484177874487838</v>
      </c>
      <c r="O45" s="502">
        <f>SUM(O46:O58)</f>
        <v>600159400</v>
      </c>
      <c r="P45" s="126">
        <f>O45/$O$61</f>
        <v>2.9792186338371135E-2</v>
      </c>
      <c r="Q45" s="128">
        <f>O45/L45-1</f>
        <v>1.385371224165342</v>
      </c>
      <c r="S45" s="465"/>
    </row>
    <row r="46" spans="1:19" s="61" customFormat="1" x14ac:dyDescent="0.2">
      <c r="A46" s="54" t="s">
        <v>25</v>
      </c>
      <c r="B46" s="132" t="s">
        <v>30</v>
      </c>
      <c r="C46" s="107" t="s">
        <v>46</v>
      </c>
      <c r="D46" s="147" t="s">
        <v>54</v>
      </c>
      <c r="E46" s="147"/>
      <c r="F46" s="147"/>
      <c r="G46" s="147"/>
      <c r="H46" s="148"/>
      <c r="I46" s="148"/>
      <c r="J46" s="150"/>
      <c r="K46" s="149"/>
      <c r="L46" s="151"/>
      <c r="M46" s="150"/>
      <c r="N46" s="104"/>
      <c r="O46" s="503"/>
      <c r="P46" s="150"/>
      <c r="Q46" s="104"/>
      <c r="S46" s="466"/>
    </row>
    <row r="47" spans="1:19" s="61" customFormat="1" x14ac:dyDescent="0.2">
      <c r="A47" s="62"/>
      <c r="B47" s="109"/>
      <c r="C47" s="139"/>
      <c r="D47" s="107" t="s">
        <v>40</v>
      </c>
      <c r="E47" s="141" t="s">
        <v>55</v>
      </c>
      <c r="F47" s="152"/>
      <c r="G47" s="152"/>
      <c r="H47" s="153">
        <v>46600</v>
      </c>
      <c r="I47" s="153">
        <v>51300</v>
      </c>
      <c r="J47" s="155">
        <f>I47/$I$60</f>
        <v>2.5769477605972332E-3</v>
      </c>
      <c r="K47" s="154">
        <f>I47/H47-1</f>
        <v>0.10085836909871237</v>
      </c>
      <c r="L47" s="96">
        <v>51300000</v>
      </c>
      <c r="M47" s="155">
        <f>L47/$L$60</f>
        <v>2.6842080648085942E-3</v>
      </c>
      <c r="N47" s="108">
        <f>L47/I47/1000-1</f>
        <v>0</v>
      </c>
      <c r="O47" s="495">
        <v>60000000</v>
      </c>
      <c r="P47" s="155">
        <f>O47/$O$61</f>
        <v>2.9784273649671538E-3</v>
      </c>
      <c r="Q47" s="108">
        <f t="shared" ref="Q47:Q48" si="9">O47/L47-1</f>
        <v>0.16959064327485374</v>
      </c>
      <c r="S47" s="466"/>
    </row>
    <row r="48" spans="1:19" s="61" customFormat="1" x14ac:dyDescent="0.2">
      <c r="A48" s="156"/>
      <c r="B48" s="109"/>
      <c r="C48" s="139"/>
      <c r="D48" s="139"/>
      <c r="E48" s="141" t="s">
        <v>56</v>
      </c>
      <c r="F48" s="152"/>
      <c r="G48" s="152"/>
      <c r="H48" s="153">
        <v>22000</v>
      </c>
      <c r="I48" s="153">
        <v>22000</v>
      </c>
      <c r="J48" s="155">
        <f>I48/$I$60</f>
        <v>1.1051237959676242E-3</v>
      </c>
      <c r="K48" s="154">
        <f>I48/H48-1</f>
        <v>0</v>
      </c>
      <c r="L48" s="96">
        <v>22000000</v>
      </c>
      <c r="M48" s="155">
        <f>L48/$L$60</f>
        <v>1.1511223669744459E-3</v>
      </c>
      <c r="N48" s="108">
        <f t="shared" ref="N48:N59" si="10">L48/I48/1000-1</f>
        <v>0</v>
      </c>
      <c r="O48" s="495">
        <v>22000000</v>
      </c>
      <c r="P48" s="155">
        <f>O48/$O$61</f>
        <v>1.0920900338212897E-3</v>
      </c>
      <c r="Q48" s="108">
        <f t="shared" si="9"/>
        <v>0</v>
      </c>
      <c r="S48" s="466"/>
    </row>
    <row r="49" spans="1:20" s="61" customFormat="1" x14ac:dyDescent="0.2">
      <c r="A49" s="156"/>
      <c r="B49" s="109"/>
      <c r="C49" s="139"/>
      <c r="D49" s="139"/>
      <c r="E49" s="152" t="s">
        <v>57</v>
      </c>
      <c r="F49" s="152"/>
      <c r="G49" s="157"/>
      <c r="H49" s="158">
        <v>15000</v>
      </c>
      <c r="I49" s="158">
        <v>12000</v>
      </c>
      <c r="J49" s="160">
        <f>I49/$I$60</f>
        <v>6.0279479780052229E-4</v>
      </c>
      <c r="K49" s="154">
        <v>1</v>
      </c>
      <c r="L49" s="136">
        <v>12000000</v>
      </c>
      <c r="M49" s="160">
        <f>L49/$L$60</f>
        <v>6.2788492744060684E-4</v>
      </c>
      <c r="N49" s="108">
        <f t="shared" si="10"/>
        <v>0</v>
      </c>
      <c r="O49" s="501"/>
      <c r="P49" s="160"/>
      <c r="Q49" s="108"/>
      <c r="S49" s="466"/>
    </row>
    <row r="50" spans="1:20" s="61" customFormat="1" x14ac:dyDescent="0.2">
      <c r="A50" s="156"/>
      <c r="B50" s="109"/>
      <c r="C50" s="139"/>
      <c r="D50" s="139"/>
      <c r="E50" s="152" t="s">
        <v>195</v>
      </c>
      <c r="F50" s="152"/>
      <c r="G50" s="152"/>
      <c r="H50" s="158"/>
      <c r="I50" s="158"/>
      <c r="J50" s="160"/>
      <c r="K50" s="154"/>
      <c r="L50" s="136"/>
      <c r="M50" s="160"/>
      <c r="N50" s="108"/>
      <c r="O50" s="501">
        <v>100000000</v>
      </c>
      <c r="P50" s="160">
        <f>O50/$O$61</f>
        <v>4.9640456082785892E-3</v>
      </c>
      <c r="Q50" s="108"/>
      <c r="S50" s="466"/>
    </row>
    <row r="51" spans="1:20" s="61" customFormat="1" x14ac:dyDescent="0.2">
      <c r="A51" s="156"/>
      <c r="B51" s="109"/>
      <c r="C51" s="139"/>
      <c r="D51" s="139"/>
      <c r="E51" s="152" t="s">
        <v>196</v>
      </c>
      <c r="F51" s="152"/>
      <c r="G51" s="152"/>
      <c r="H51" s="158">
        <v>50000</v>
      </c>
      <c r="I51" s="158">
        <v>50000</v>
      </c>
      <c r="J51" s="160">
        <f>I51/$I$60</f>
        <v>2.5116449908355099E-3</v>
      </c>
      <c r="K51" s="154">
        <v>0</v>
      </c>
      <c r="L51" s="136">
        <v>50000000</v>
      </c>
      <c r="M51" s="160">
        <f>L51/$L$60</f>
        <v>2.6161871976691955E-3</v>
      </c>
      <c r="N51" s="108">
        <f t="shared" si="10"/>
        <v>0</v>
      </c>
      <c r="O51" s="501">
        <v>260000000</v>
      </c>
      <c r="P51" s="160"/>
      <c r="Q51" s="108"/>
      <c r="S51" s="466"/>
    </row>
    <row r="52" spans="1:20" s="61" customFormat="1" x14ac:dyDescent="0.2">
      <c r="A52" s="156"/>
      <c r="B52" s="109"/>
      <c r="C52" s="139"/>
      <c r="D52" s="139"/>
      <c r="E52" s="141" t="s">
        <v>58</v>
      </c>
      <c r="F52" s="152"/>
      <c r="G52" s="152"/>
      <c r="H52" s="153">
        <v>10000</v>
      </c>
      <c r="I52" s="153">
        <v>9000</v>
      </c>
      <c r="J52" s="155">
        <f>I52/$I$60</f>
        <v>4.5209609835039177E-4</v>
      </c>
      <c r="K52" s="154">
        <f>I52/H52-1</f>
        <v>-9.9999999999999978E-2</v>
      </c>
      <c r="L52" s="96">
        <v>8000000</v>
      </c>
      <c r="M52" s="155">
        <f>L52/$L$60</f>
        <v>4.1858995162707128E-4</v>
      </c>
      <c r="N52" s="108">
        <f t="shared" si="10"/>
        <v>-0.11111111111111105</v>
      </c>
      <c r="O52" s="495">
        <v>8000000</v>
      </c>
      <c r="P52" s="155">
        <f>O52/$O$61</f>
        <v>3.9712364866228717E-4</v>
      </c>
      <c r="Q52" s="108">
        <f t="shared" ref="Q52:Q54" si="11">O52/L52-1</f>
        <v>0</v>
      </c>
      <c r="S52" s="466"/>
    </row>
    <row r="53" spans="1:20" s="61" customFormat="1" x14ac:dyDescent="0.2">
      <c r="A53" s="156"/>
      <c r="B53" s="109"/>
      <c r="C53" s="139"/>
      <c r="D53" s="139"/>
      <c r="E53" s="141" t="s">
        <v>59</v>
      </c>
      <c r="F53" s="141"/>
      <c r="G53" s="141"/>
      <c r="H53" s="153">
        <v>26000</v>
      </c>
      <c r="I53" s="153">
        <v>26000</v>
      </c>
      <c r="J53" s="155">
        <f>I53/$I$60</f>
        <v>1.3060553952344651E-3</v>
      </c>
      <c r="K53" s="154">
        <f>I53/H53-1</f>
        <v>0</v>
      </c>
      <c r="L53" s="96">
        <v>23000000</v>
      </c>
      <c r="M53" s="155">
        <f>L53/$L$60</f>
        <v>1.2034461109278298E-3</v>
      </c>
      <c r="N53" s="108">
        <f t="shared" si="10"/>
        <v>-0.11538461538461531</v>
      </c>
      <c r="O53" s="495">
        <v>23000000</v>
      </c>
      <c r="P53" s="155">
        <f>O53/$O$61</f>
        <v>1.1417304899040755E-3</v>
      </c>
      <c r="Q53" s="108">
        <f t="shared" si="11"/>
        <v>0</v>
      </c>
      <c r="S53" s="466"/>
    </row>
    <row r="54" spans="1:20" s="61" customFormat="1" x14ac:dyDescent="0.2">
      <c r="A54" s="156"/>
      <c r="B54" s="109"/>
      <c r="C54" s="139"/>
      <c r="D54" s="139"/>
      <c r="E54" s="161" t="s">
        <v>60</v>
      </c>
      <c r="F54" s="161"/>
      <c r="G54" s="161"/>
      <c r="H54" s="158">
        <v>54936</v>
      </c>
      <c r="I54" s="158">
        <v>13387</v>
      </c>
      <c r="J54" s="160">
        <f>I54/$I$60</f>
        <v>6.7246782984629937E-4</v>
      </c>
      <c r="K54" s="159"/>
      <c r="L54" s="136">
        <v>20000000</v>
      </c>
      <c r="M54" s="155">
        <f>L54/$L$60</f>
        <v>1.0464748790676782E-3</v>
      </c>
      <c r="N54" s="108">
        <f t="shared" si="10"/>
        <v>0.49398670351833873</v>
      </c>
      <c r="O54" s="501">
        <v>17000000</v>
      </c>
      <c r="P54" s="155">
        <f>O54/$O$61</f>
        <v>8.4388775340736024E-4</v>
      </c>
      <c r="Q54" s="108">
        <f t="shared" si="11"/>
        <v>-0.15000000000000002</v>
      </c>
      <c r="S54" s="466"/>
      <c r="T54" s="105"/>
    </row>
    <row r="55" spans="1:20" s="61" customFormat="1" x14ac:dyDescent="0.2">
      <c r="A55" s="156"/>
      <c r="B55" s="109"/>
      <c r="C55" s="139"/>
      <c r="D55" s="139"/>
      <c r="E55" s="161" t="s">
        <v>147</v>
      </c>
      <c r="F55" s="161"/>
      <c r="G55" s="161"/>
      <c r="H55" s="158"/>
      <c r="I55" s="158"/>
      <c r="J55" s="160"/>
      <c r="K55" s="159"/>
      <c r="L55" s="136">
        <v>28000000</v>
      </c>
      <c r="M55" s="155"/>
      <c r="N55" s="108"/>
      <c r="O55" s="501"/>
      <c r="P55" s="155"/>
      <c r="Q55" s="108"/>
      <c r="S55" s="466"/>
      <c r="T55" s="105"/>
    </row>
    <row r="56" spans="1:20" s="61" customFormat="1" x14ac:dyDescent="0.2">
      <c r="A56" s="156" t="s">
        <v>25</v>
      </c>
      <c r="B56" s="109"/>
      <c r="C56" s="807" t="s">
        <v>252</v>
      </c>
      <c r="D56" s="808"/>
      <c r="E56" s="808"/>
      <c r="F56" s="808"/>
      <c r="G56" s="809"/>
      <c r="H56" s="158">
        <v>10000</v>
      </c>
      <c r="I56" s="158">
        <v>32308</v>
      </c>
      <c r="J56" s="160"/>
      <c r="K56" s="159"/>
      <c r="L56" s="136"/>
      <c r="M56" s="155"/>
      <c r="N56" s="108"/>
      <c r="O56" s="501"/>
      <c r="P56" s="155"/>
      <c r="Q56" s="108"/>
      <c r="S56" s="466"/>
    </row>
    <row r="57" spans="1:20" s="61" customFormat="1" x14ac:dyDescent="0.2">
      <c r="A57" s="156"/>
      <c r="B57" s="109"/>
      <c r="C57" s="242" t="s">
        <v>69</v>
      </c>
      <c r="D57" s="243"/>
      <c r="E57" s="243"/>
      <c r="F57" s="243"/>
      <c r="G57" s="244"/>
      <c r="H57" s="158"/>
      <c r="I57" s="158"/>
      <c r="J57" s="160"/>
      <c r="K57" s="159"/>
      <c r="L57" s="136">
        <v>37300000</v>
      </c>
      <c r="M57" s="155"/>
      <c r="N57" s="108"/>
      <c r="O57" s="501">
        <v>105159400</v>
      </c>
      <c r="P57" s="155"/>
      <c r="Q57" s="108">
        <f t="shared" ref="Q57" si="12">O57/L57-1</f>
        <v>1.8192868632707775</v>
      </c>
      <c r="S57" s="466"/>
    </row>
    <row r="58" spans="1:20" s="61" customFormat="1" x14ac:dyDescent="0.2">
      <c r="A58" s="156"/>
      <c r="B58" s="109"/>
      <c r="C58" s="780" t="s">
        <v>197</v>
      </c>
      <c r="D58" s="781"/>
      <c r="E58" s="781"/>
      <c r="F58" s="781"/>
      <c r="G58" s="810"/>
      <c r="H58" s="158"/>
      <c r="I58" s="158"/>
      <c r="J58" s="160"/>
      <c r="K58" s="159"/>
      <c r="L58" s="136"/>
      <c r="M58" s="155"/>
      <c r="N58" s="108"/>
      <c r="O58" s="501">
        <v>5000000</v>
      </c>
      <c r="P58" s="155"/>
      <c r="Q58" s="108"/>
      <c r="S58" s="466"/>
    </row>
    <row r="59" spans="1:20" s="78" customFormat="1" ht="15.75" thickBot="1" x14ac:dyDescent="0.25">
      <c r="A59" s="70"/>
      <c r="B59" s="162"/>
      <c r="C59" s="163" t="s">
        <v>61</v>
      </c>
      <c r="D59" s="164"/>
      <c r="E59" s="164"/>
      <c r="F59" s="164"/>
      <c r="G59" s="164"/>
      <c r="H59" s="72">
        <v>590759</v>
      </c>
      <c r="I59" s="72">
        <v>475995</v>
      </c>
      <c r="J59" s="73">
        <f>I59/$I$60</f>
        <v>2.391060914825497E-2</v>
      </c>
      <c r="K59" s="74">
        <f>I59/H59-1</f>
        <v>-0.1942653433972229</v>
      </c>
      <c r="L59" s="75">
        <f>L37+L45</f>
        <v>511600000</v>
      </c>
      <c r="M59" s="73">
        <f>L59/$L$61</f>
        <v>2.679535808563175E-2</v>
      </c>
      <c r="N59" s="76">
        <f t="shared" si="10"/>
        <v>7.4801205895019818E-2</v>
      </c>
      <c r="O59" s="492">
        <f>O37+O45</f>
        <v>860159400</v>
      </c>
      <c r="P59" s="73">
        <f>O59/$O$61</f>
        <v>4.2698704919895469E-2</v>
      </c>
      <c r="Q59" s="76">
        <f>O59/L59-1</f>
        <v>0.68131235340109453</v>
      </c>
      <c r="S59" s="464"/>
    </row>
    <row r="60" spans="1:20" s="173" customFormat="1" ht="6.75" customHeight="1" thickBot="1" x14ac:dyDescent="0.25">
      <c r="A60" s="165"/>
      <c r="B60" s="166"/>
      <c r="C60" s="167"/>
      <c r="D60" s="167"/>
      <c r="E60" s="167"/>
      <c r="F60" s="167"/>
      <c r="G60" s="167"/>
      <c r="H60" s="168">
        <v>19907272</v>
      </c>
      <c r="I60" s="168">
        <v>19907272</v>
      </c>
      <c r="J60" s="169">
        <f>I60/$I$60</f>
        <v>1</v>
      </c>
      <c r="K60" s="170"/>
      <c r="L60" s="171">
        <v>19111782232</v>
      </c>
      <c r="M60" s="169">
        <f>L60/$L$60</f>
        <v>1</v>
      </c>
      <c r="N60" s="172"/>
      <c r="O60" s="504">
        <v>19111782232</v>
      </c>
      <c r="P60" s="169">
        <f>O60/$L$60</f>
        <v>1</v>
      </c>
      <c r="Q60" s="172"/>
    </row>
    <row r="61" spans="1:20" s="77" customFormat="1" ht="15.75" x14ac:dyDescent="0.2">
      <c r="A61" s="174"/>
      <c r="B61" s="175"/>
      <c r="C61" s="176" t="s">
        <v>62</v>
      </c>
      <c r="D61" s="177"/>
      <c r="E61" s="177"/>
      <c r="F61" s="177"/>
      <c r="G61" s="178"/>
      <c r="H61" s="179">
        <v>19907272</v>
      </c>
      <c r="I61" s="179">
        <v>19833049</v>
      </c>
      <c r="J61" s="180">
        <f>I61/$I$60</f>
        <v>0.99627156347690426</v>
      </c>
      <c r="K61" s="181">
        <f>I61/H61-1</f>
        <v>-3.728436523095735E-3</v>
      </c>
      <c r="L61" s="182">
        <f>20377076980-1575994748-36223000+300000000+28000000</f>
        <v>19092859232</v>
      </c>
      <c r="M61" s="180">
        <f>L61/$L$61</f>
        <v>1</v>
      </c>
      <c r="N61" s="183">
        <f>L61/I61/1000-1</f>
        <v>-3.7321027543470442E-2</v>
      </c>
      <c r="O61" s="505">
        <f>+O18+O27+O34+O59</f>
        <v>20144859232</v>
      </c>
      <c r="P61" s="180">
        <f>O61/$O$61</f>
        <v>1</v>
      </c>
      <c r="Q61" s="183">
        <f>O61/L61-1</f>
        <v>5.5099133514629806E-2</v>
      </c>
      <c r="S61" s="464"/>
    </row>
    <row r="62" spans="1:20" s="77" customFormat="1" ht="15.75" x14ac:dyDescent="0.2">
      <c r="A62" s="184"/>
      <c r="B62" s="185"/>
      <c r="C62" s="186" t="s">
        <v>63</v>
      </c>
      <c r="D62" s="187"/>
      <c r="E62" s="187"/>
      <c r="F62" s="187"/>
      <c r="G62" s="187"/>
      <c r="H62" s="93"/>
      <c r="I62" s="93">
        <v>-241068</v>
      </c>
      <c r="J62" s="188"/>
      <c r="K62" s="189"/>
      <c r="L62" s="190">
        <v>0</v>
      </c>
      <c r="M62" s="188"/>
      <c r="N62" s="191"/>
      <c r="O62" s="506"/>
      <c r="P62" s="188"/>
      <c r="Q62" s="191"/>
    </row>
    <row r="63" spans="1:20" s="77" customFormat="1" ht="15.75" x14ac:dyDescent="0.2">
      <c r="A63" s="184"/>
      <c r="B63" s="185"/>
      <c r="C63" s="186" t="s">
        <v>64</v>
      </c>
      <c r="D63" s="187"/>
      <c r="E63" s="187"/>
      <c r="F63" s="187"/>
      <c r="G63" s="187"/>
      <c r="H63" s="93"/>
      <c r="I63" s="93">
        <v>-400000</v>
      </c>
      <c r="J63" s="188"/>
      <c r="K63" s="189"/>
      <c r="L63" s="190">
        <v>0</v>
      </c>
      <c r="M63" s="188"/>
      <c r="N63" s="191"/>
      <c r="O63" s="506"/>
      <c r="P63" s="188"/>
      <c r="Q63" s="191"/>
    </row>
    <row r="64" spans="1:20" s="77" customFormat="1" ht="15.75" x14ac:dyDescent="0.2">
      <c r="A64" s="184"/>
      <c r="B64" s="185"/>
      <c r="C64" s="186" t="s">
        <v>65</v>
      </c>
      <c r="D64" s="187"/>
      <c r="E64" s="187"/>
      <c r="F64" s="187"/>
      <c r="G64" s="187"/>
      <c r="H64" s="93"/>
      <c r="I64" s="93"/>
      <c r="J64" s="188"/>
      <c r="K64" s="189"/>
      <c r="L64" s="208">
        <v>-110700000</v>
      </c>
      <c r="M64" s="188"/>
      <c r="N64" s="191"/>
      <c r="O64" s="507"/>
      <c r="P64" s="188"/>
      <c r="Q64" s="191"/>
    </row>
    <row r="65" spans="1:17" s="77" customFormat="1" ht="15.75" x14ac:dyDescent="0.2">
      <c r="A65" s="184"/>
      <c r="B65" s="185"/>
      <c r="C65" s="186" t="s">
        <v>66</v>
      </c>
      <c r="D65" s="187"/>
      <c r="E65" s="187"/>
      <c r="F65" s="187"/>
      <c r="G65" s="187"/>
      <c r="H65" s="93"/>
      <c r="I65" s="93"/>
      <c r="J65" s="188"/>
      <c r="K65" s="189"/>
      <c r="L65" s="208">
        <f>-200000000+10700000</f>
        <v>-189300000</v>
      </c>
      <c r="M65" s="188"/>
      <c r="N65" s="191"/>
      <c r="O65" s="507"/>
      <c r="P65" s="188"/>
      <c r="Q65" s="191"/>
    </row>
    <row r="66" spans="1:17" s="77" customFormat="1" ht="15.75" x14ac:dyDescent="0.2">
      <c r="A66" s="184"/>
      <c r="B66" s="185"/>
      <c r="C66" s="186" t="s">
        <v>67</v>
      </c>
      <c r="D66" s="187"/>
      <c r="E66" s="187"/>
      <c r="F66" s="187"/>
      <c r="G66" s="187"/>
      <c r="H66" s="93"/>
      <c r="I66" s="93"/>
      <c r="J66" s="188"/>
      <c r="K66" s="189"/>
      <c r="L66" s="208">
        <v>36223000</v>
      </c>
      <c r="M66" s="188"/>
      <c r="N66" s="191"/>
      <c r="O66" s="507"/>
      <c r="P66" s="188"/>
      <c r="Q66" s="191"/>
    </row>
    <row r="67" spans="1:17" s="77" customFormat="1" ht="15.75" x14ac:dyDescent="0.2">
      <c r="A67" s="184"/>
      <c r="B67" s="185"/>
      <c r="C67" s="186" t="s">
        <v>148</v>
      </c>
      <c r="D67" s="187"/>
      <c r="E67" s="187"/>
      <c r="F67" s="187"/>
      <c r="G67" s="187"/>
      <c r="H67" s="93"/>
      <c r="I67" s="93"/>
      <c r="J67" s="188"/>
      <c r="K67" s="189"/>
      <c r="L67" s="208">
        <v>-28000000</v>
      </c>
      <c r="M67" s="188"/>
      <c r="N67" s="191"/>
      <c r="O67" s="507"/>
      <c r="P67" s="188"/>
      <c r="Q67" s="191"/>
    </row>
    <row r="68" spans="1:17" s="78" customFormat="1" ht="18" x14ac:dyDescent="0.2">
      <c r="A68" s="192"/>
      <c r="B68" s="193"/>
      <c r="C68" s="803" t="s">
        <v>68</v>
      </c>
      <c r="D68" s="804"/>
      <c r="E68" s="804"/>
      <c r="F68" s="804"/>
      <c r="G68" s="804"/>
      <c r="H68" s="194">
        <v>19907272</v>
      </c>
      <c r="I68" s="194">
        <v>19191981</v>
      </c>
      <c r="J68" s="188">
        <f>I68/$I$60</f>
        <v>0.9640688588572055</v>
      </c>
      <c r="K68" s="195">
        <f>I68/H68-1</f>
        <v>-3.5931141142794498E-2</v>
      </c>
      <c r="L68" s="196">
        <f>+L61+L64+L65+L66+L67</f>
        <v>18801082232</v>
      </c>
      <c r="M68" s="188">
        <f>L68/$L$60</f>
        <v>0.98374301275368359</v>
      </c>
      <c r="N68" s="197">
        <f>L68/I68/1000-1</f>
        <v>-2.0367817579644343E-2</v>
      </c>
      <c r="O68" s="508">
        <v>20144859232</v>
      </c>
      <c r="P68" s="188"/>
      <c r="Q68" s="197">
        <f>O68/L68-1</f>
        <v>7.1473385596540373E-2</v>
      </c>
    </row>
    <row r="69" spans="1:17" ht="9" customHeight="1" x14ac:dyDescent="0.2">
      <c r="A69" s="198"/>
      <c r="B69" s="198"/>
      <c r="C69" s="198"/>
      <c r="D69" s="198"/>
      <c r="E69" s="198"/>
      <c r="F69" s="198"/>
      <c r="G69" s="198"/>
      <c r="H69" s="199"/>
      <c r="I69" s="200"/>
      <c r="J69" s="201"/>
      <c r="K69" s="202"/>
      <c r="L69" s="202"/>
      <c r="M69" s="201"/>
      <c r="N69" s="202"/>
      <c r="O69" s="202"/>
    </row>
    <row r="70" spans="1:17" ht="18" customHeight="1" x14ac:dyDescent="0.2">
      <c r="A70" s="486" t="s">
        <v>269</v>
      </c>
      <c r="B70" s="802" t="s">
        <v>270</v>
      </c>
      <c r="C70" s="802"/>
      <c r="D70" s="802"/>
      <c r="E70" s="802"/>
      <c r="F70" s="802"/>
      <c r="G70" s="802"/>
      <c r="H70" s="802"/>
      <c r="I70" s="802"/>
      <c r="J70" s="802"/>
      <c r="K70" s="802"/>
      <c r="L70" s="802"/>
      <c r="M70" s="802"/>
      <c r="N70" s="802"/>
      <c r="O70" s="802"/>
      <c r="P70" s="802"/>
      <c r="Q70" s="802"/>
    </row>
    <row r="71" spans="1:17" s="203" customFormat="1" ht="30" customHeight="1" x14ac:dyDescent="0.2">
      <c r="A71" s="486" t="s">
        <v>268</v>
      </c>
      <c r="B71" s="728" t="s">
        <v>271</v>
      </c>
      <c r="C71" s="728"/>
      <c r="D71" s="728"/>
      <c r="E71" s="728"/>
      <c r="F71" s="728"/>
      <c r="G71" s="728"/>
      <c r="H71" s="728"/>
      <c r="I71" s="728"/>
      <c r="J71" s="728"/>
      <c r="K71" s="728"/>
      <c r="L71" s="728"/>
      <c r="M71" s="728"/>
      <c r="N71" s="728"/>
      <c r="O71" s="728"/>
      <c r="P71" s="728"/>
      <c r="Q71" s="728"/>
    </row>
    <row r="72" spans="1:17" ht="23.25" x14ac:dyDescent="0.2">
      <c r="I72" s="206"/>
    </row>
    <row r="73" spans="1:17" ht="23.25" x14ac:dyDescent="0.2">
      <c r="I73" s="206"/>
    </row>
    <row r="74" spans="1:17" ht="23.25" x14ac:dyDescent="0.2">
      <c r="I74" s="206"/>
    </row>
    <row r="75" spans="1:17" ht="23.25" x14ac:dyDescent="0.2">
      <c r="I75" s="206"/>
    </row>
    <row r="76" spans="1:17" ht="23.25" x14ac:dyDescent="0.2">
      <c r="I76" s="206"/>
    </row>
    <row r="77" spans="1:17" ht="23.25" x14ac:dyDescent="0.2">
      <c r="I77" s="206"/>
    </row>
    <row r="78" spans="1:17" ht="23.25" x14ac:dyDescent="0.2">
      <c r="I78" s="206"/>
    </row>
    <row r="79" spans="1:17" ht="23.25" x14ac:dyDescent="0.2">
      <c r="I79" s="206"/>
    </row>
    <row r="80" spans="1:17" ht="23.25" x14ac:dyDescent="0.2">
      <c r="I80" s="206"/>
    </row>
    <row r="81" spans="9:9" ht="23.25" x14ac:dyDescent="0.2">
      <c r="I81" s="206"/>
    </row>
    <row r="82" spans="9:9" ht="23.25" x14ac:dyDescent="0.2">
      <c r="I82" s="206"/>
    </row>
    <row r="83" spans="9:9" ht="23.25" x14ac:dyDescent="0.2">
      <c r="I83" s="206"/>
    </row>
    <row r="84" spans="9:9" ht="23.25" x14ac:dyDescent="0.2">
      <c r="I84" s="206"/>
    </row>
    <row r="85" spans="9:9" ht="23.25" x14ac:dyDescent="0.2">
      <c r="I85" s="206"/>
    </row>
    <row r="86" spans="9:9" ht="23.25" x14ac:dyDescent="0.2">
      <c r="I86" s="206"/>
    </row>
    <row r="87" spans="9:9" ht="23.25" x14ac:dyDescent="0.2">
      <c r="I87" s="206"/>
    </row>
    <row r="88" spans="9:9" ht="23.25" x14ac:dyDescent="0.2">
      <c r="I88" s="206"/>
    </row>
    <row r="89" spans="9:9" ht="23.25" x14ac:dyDescent="0.2">
      <c r="I89" s="206"/>
    </row>
    <row r="90" spans="9:9" ht="23.25" x14ac:dyDescent="0.2">
      <c r="I90" s="206"/>
    </row>
    <row r="91" spans="9:9" ht="23.25" x14ac:dyDescent="0.2">
      <c r="I91" s="206"/>
    </row>
    <row r="92" spans="9:9" ht="23.25" x14ac:dyDescent="0.2">
      <c r="I92" s="206"/>
    </row>
    <row r="93" spans="9:9" ht="23.25" x14ac:dyDescent="0.2">
      <c r="I93" s="206"/>
    </row>
  </sheetData>
  <mergeCells count="44">
    <mergeCell ref="B70:Q70"/>
    <mergeCell ref="C26:G26"/>
    <mergeCell ref="C68:G68"/>
    <mergeCell ref="C27:G27"/>
    <mergeCell ref="C30:G30"/>
    <mergeCell ref="C31:G31"/>
    <mergeCell ref="C34:G34"/>
    <mergeCell ref="C56:G56"/>
    <mergeCell ref="C58:G58"/>
    <mergeCell ref="C24:G24"/>
    <mergeCell ref="L10:L12"/>
    <mergeCell ref="M10:M12"/>
    <mergeCell ref="C23:G23"/>
    <mergeCell ref="C25:G25"/>
    <mergeCell ref="C21:G21"/>
    <mergeCell ref="C22:G22"/>
    <mergeCell ref="C18:G18"/>
    <mergeCell ref="J10:J12"/>
    <mergeCell ref="K10:K12"/>
    <mergeCell ref="C16:G16"/>
    <mergeCell ref="C17:G17"/>
    <mergeCell ref="J8:K8"/>
    <mergeCell ref="A9:I9"/>
    <mergeCell ref="P10:P12"/>
    <mergeCell ref="Q10:Q12"/>
    <mergeCell ref="C13:G13"/>
    <mergeCell ref="N10:N12"/>
    <mergeCell ref="O10:O12"/>
    <mergeCell ref="B71:Q71"/>
    <mergeCell ref="A6:D6"/>
    <mergeCell ref="J6:K6"/>
    <mergeCell ref="A1:Q1"/>
    <mergeCell ref="A4:D4"/>
    <mergeCell ref="J4:K4"/>
    <mergeCell ref="A5:D5"/>
    <mergeCell ref="J5:K5"/>
    <mergeCell ref="A10:A12"/>
    <mergeCell ref="B10:B12"/>
    <mergeCell ref="C10:G12"/>
    <mergeCell ref="H10:H12"/>
    <mergeCell ref="I10:I12"/>
    <mergeCell ref="A7:D7"/>
    <mergeCell ref="J7:K7"/>
    <mergeCell ref="A8:H8"/>
  </mergeCells>
  <printOptions horizontalCentered="1"/>
  <pageMargins left="0" right="0" top="0.47244094488188981" bottom="0.31496062992125984" header="0.15748031496062992" footer="0.15748031496062992"/>
  <pageSetup paperSize="8" scale="71" orientation="landscape" r:id="rId1"/>
  <headerFooter alignWithMargins="0">
    <oddHeader>&amp;LČ. j.: MSMT-1404/2017-1</oddHeader>
    <oddFooter>&amp;R1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J39"/>
  <sheetViews>
    <sheetView zoomScaleNormal="100" workbookViewId="0">
      <selection activeCell="G31" sqref="G31"/>
    </sheetView>
  </sheetViews>
  <sheetFormatPr defaultRowHeight="12.75" x14ac:dyDescent="0.2"/>
  <cols>
    <col min="1" max="1" width="11.140625" style="322" customWidth="1"/>
    <col min="2" max="2" width="60.7109375" style="322" customWidth="1"/>
    <col min="3" max="3" width="13.85546875" style="322" bestFit="1" customWidth="1"/>
    <col min="4" max="4" width="17.7109375" style="322" customWidth="1"/>
    <col min="5" max="5" width="13.85546875" style="322" customWidth="1"/>
    <col min="6" max="6" width="11.85546875" style="322" customWidth="1"/>
    <col min="7" max="7" width="15.5703125" style="322" customWidth="1"/>
    <col min="8" max="8" width="16.85546875" style="322" customWidth="1"/>
    <col min="9" max="16384" width="9.140625" style="322"/>
  </cols>
  <sheetData>
    <row r="2" spans="1:8" ht="23.25" x14ac:dyDescent="0.35">
      <c r="A2" s="613" t="s">
        <v>198</v>
      </c>
      <c r="B2" s="612"/>
      <c r="C2" s="612"/>
      <c r="D2" s="612"/>
      <c r="E2" s="612"/>
    </row>
    <row r="3" spans="1:8" ht="23.25" x14ac:dyDescent="0.35">
      <c r="A3" s="613" t="s">
        <v>199</v>
      </c>
      <c r="B3" s="612"/>
      <c r="C3" s="612"/>
      <c r="D3" s="612"/>
      <c r="E3" s="612"/>
    </row>
    <row r="4" spans="1:8" x14ac:dyDescent="0.2">
      <c r="A4" s="612"/>
      <c r="B4" s="612"/>
      <c r="C4" s="612"/>
      <c r="D4" s="612"/>
      <c r="E4" s="612"/>
    </row>
    <row r="5" spans="1:8" ht="13.5" thickBot="1" x14ac:dyDescent="0.25">
      <c r="A5" s="612"/>
      <c r="B5" s="612"/>
      <c r="C5" s="612"/>
      <c r="D5" s="614" t="s">
        <v>250</v>
      </c>
      <c r="E5" s="612"/>
    </row>
    <row r="6" spans="1:8" ht="45.75" thickBot="1" x14ac:dyDescent="0.25">
      <c r="A6" s="528" t="s">
        <v>73</v>
      </c>
      <c r="B6" s="720" t="s">
        <v>116</v>
      </c>
      <c r="C6" s="717" t="s">
        <v>245</v>
      </c>
      <c r="D6" s="529" t="s">
        <v>200</v>
      </c>
      <c r="E6" s="612"/>
    </row>
    <row r="7" spans="1:8" s="510" customFormat="1" ht="15" customHeight="1" x14ac:dyDescent="0.2">
      <c r="A7" s="518">
        <v>11000</v>
      </c>
      <c r="B7" s="721" t="s">
        <v>170</v>
      </c>
      <c r="C7" s="718">
        <v>0.17789577707808354</v>
      </c>
      <c r="D7" s="519">
        <f>+C7*96%/C$35</f>
        <v>0.17703877581317168</v>
      </c>
      <c r="E7" s="615"/>
      <c r="G7" s="511"/>
      <c r="H7" s="511"/>
    </row>
    <row r="8" spans="1:8" s="510" customFormat="1" ht="15" customHeight="1" x14ac:dyDescent="0.2">
      <c r="A8" s="520">
        <v>12000</v>
      </c>
      <c r="B8" s="722" t="s">
        <v>91</v>
      </c>
      <c r="C8" s="707">
        <v>3.0861260346901981E-2</v>
      </c>
      <c r="D8" s="522">
        <f t="shared" ref="D8:D26" si="0">+C8*96%/C$35</f>
        <v>3.0712588244683047E-2</v>
      </c>
      <c r="E8" s="615"/>
      <c r="G8" s="511"/>
      <c r="H8" s="511"/>
    </row>
    <row r="9" spans="1:8" s="510" customFormat="1" ht="15" customHeight="1" x14ac:dyDescent="0.2">
      <c r="A9" s="520">
        <v>13000</v>
      </c>
      <c r="B9" s="723" t="s">
        <v>92</v>
      </c>
      <c r="C9" s="707">
        <v>2.4610841140287831E-2</v>
      </c>
      <c r="D9" s="522">
        <f t="shared" si="0"/>
        <v>2.4492280023581198E-2</v>
      </c>
      <c r="E9" s="615"/>
      <c r="G9" s="511"/>
      <c r="H9" s="511"/>
    </row>
    <row r="10" spans="1:8" s="510" customFormat="1" ht="15" customHeight="1" x14ac:dyDescent="0.2">
      <c r="A10" s="520">
        <v>14000</v>
      </c>
      <c r="B10" s="723" t="s">
        <v>93</v>
      </c>
      <c r="C10" s="707">
        <v>0.11356622526007304</v>
      </c>
      <c r="D10" s="522">
        <f t="shared" si="0"/>
        <v>0.11301912740144074</v>
      </c>
      <c r="E10" s="615"/>
      <c r="G10" s="511"/>
      <c r="H10" s="511"/>
    </row>
    <row r="11" spans="1:8" s="510" customFormat="1" ht="15" customHeight="1" x14ac:dyDescent="0.2">
      <c r="A11" s="520">
        <v>15000</v>
      </c>
      <c r="B11" s="723" t="s">
        <v>94</v>
      </c>
      <c r="C11" s="707">
        <v>6.3364232522764227E-2</v>
      </c>
      <c r="D11" s="522">
        <f t="shared" si="0"/>
        <v>6.3058979479020852E-2</v>
      </c>
      <c r="E11" s="615"/>
      <c r="G11" s="511"/>
      <c r="H11" s="511"/>
    </row>
    <row r="12" spans="1:8" s="510" customFormat="1" ht="15" customHeight="1" x14ac:dyDescent="0.2">
      <c r="A12" s="520">
        <v>16000</v>
      </c>
      <c r="B12" s="723" t="s">
        <v>95</v>
      </c>
      <c r="C12" s="707">
        <v>1.5718666447601608E-2</v>
      </c>
      <c r="D12" s="522">
        <f t="shared" si="0"/>
        <v>1.5642942800589969E-2</v>
      </c>
      <c r="E12" s="615"/>
      <c r="G12" s="511"/>
      <c r="H12" s="511"/>
    </row>
    <row r="13" spans="1:8" s="510" customFormat="1" ht="15" customHeight="1" x14ac:dyDescent="0.2">
      <c r="A13" s="520">
        <v>17000</v>
      </c>
      <c r="B13" s="723" t="s">
        <v>169</v>
      </c>
      <c r="C13" s="707">
        <v>2.79158347256039E-2</v>
      </c>
      <c r="D13" s="522">
        <f t="shared" si="0"/>
        <v>2.7781352018572514E-2</v>
      </c>
      <c r="E13" s="615"/>
      <c r="G13" s="511"/>
      <c r="H13" s="511"/>
    </row>
    <row r="14" spans="1:8" s="510" customFormat="1" ht="15" customHeight="1" x14ac:dyDescent="0.2">
      <c r="A14" s="520">
        <v>18000</v>
      </c>
      <c r="B14" s="722" t="s">
        <v>88</v>
      </c>
      <c r="C14" s="707">
        <v>1.7201267539871883E-2</v>
      </c>
      <c r="D14" s="522">
        <f t="shared" si="0"/>
        <v>1.7118401559116831E-2</v>
      </c>
      <c r="E14" s="615"/>
      <c r="G14" s="511"/>
      <c r="H14" s="511"/>
    </row>
    <row r="15" spans="1:8" s="510" customFormat="1" ht="15" customHeight="1" x14ac:dyDescent="0.2">
      <c r="A15" s="520">
        <v>19000</v>
      </c>
      <c r="B15" s="722" t="s">
        <v>96</v>
      </c>
      <c r="C15" s="707">
        <v>1.5398351167369333E-2</v>
      </c>
      <c r="D15" s="522">
        <f t="shared" si="0"/>
        <v>1.5324170618259388E-2</v>
      </c>
      <c r="E15" s="615"/>
      <c r="G15" s="511"/>
      <c r="H15" s="511"/>
    </row>
    <row r="16" spans="1:8" s="510" customFormat="1" ht="15" customHeight="1" x14ac:dyDescent="0.2">
      <c r="A16" s="520">
        <v>21000</v>
      </c>
      <c r="B16" s="722" t="s">
        <v>97</v>
      </c>
      <c r="C16" s="707">
        <v>8.6098452811470771E-2</v>
      </c>
      <c r="D16" s="522">
        <f t="shared" si="0"/>
        <v>8.5683679149170758E-2</v>
      </c>
      <c r="E16" s="615"/>
      <c r="G16" s="511"/>
      <c r="H16" s="511"/>
    </row>
    <row r="17" spans="1:10" s="510" customFormat="1" ht="15" customHeight="1" x14ac:dyDescent="0.2">
      <c r="A17" s="520">
        <v>22000</v>
      </c>
      <c r="B17" s="723" t="s">
        <v>98</v>
      </c>
      <c r="C17" s="707">
        <v>2.2887353144886276E-2</v>
      </c>
      <c r="D17" s="522">
        <f t="shared" si="0"/>
        <v>2.2777094818815707E-2</v>
      </c>
      <c r="E17" s="615"/>
      <c r="H17" s="511"/>
    </row>
    <row r="18" spans="1:10" s="510" customFormat="1" ht="15" customHeight="1" x14ac:dyDescent="0.2">
      <c r="A18" s="520">
        <v>23000</v>
      </c>
      <c r="B18" s="723" t="s">
        <v>99</v>
      </c>
      <c r="C18" s="707">
        <v>3.7461487775830596E-2</v>
      </c>
      <c r="D18" s="522">
        <f t="shared" si="0"/>
        <v>3.7281019509879151E-2</v>
      </c>
      <c r="E18" s="615"/>
      <c r="H18" s="511"/>
    </row>
    <row r="19" spans="1:10" s="510" customFormat="1" ht="15" customHeight="1" x14ac:dyDescent="0.2">
      <c r="A19" s="520">
        <v>24000</v>
      </c>
      <c r="B19" s="723" t="s">
        <v>100</v>
      </c>
      <c r="C19" s="707">
        <v>2.1997361338763996E-2</v>
      </c>
      <c r="D19" s="522">
        <f t="shared" si="0"/>
        <v>2.189139048998005E-2</v>
      </c>
      <c r="E19" s="615"/>
      <c r="H19" s="511"/>
    </row>
    <row r="20" spans="1:10" s="510" customFormat="1" ht="15" customHeight="1" x14ac:dyDescent="0.2">
      <c r="A20" s="520">
        <v>25000</v>
      </c>
      <c r="B20" s="723" t="s">
        <v>101</v>
      </c>
      <c r="C20" s="707">
        <v>2.6276641040091739E-2</v>
      </c>
      <c r="D20" s="522">
        <f t="shared" si="0"/>
        <v>2.6150055041374583E-2</v>
      </c>
      <c r="E20" s="615"/>
      <c r="H20" s="511"/>
    </row>
    <row r="21" spans="1:10" s="510" customFormat="1" ht="15" customHeight="1" x14ac:dyDescent="0.2">
      <c r="A21" s="520">
        <v>26000</v>
      </c>
      <c r="B21" s="723" t="s">
        <v>102</v>
      </c>
      <c r="C21" s="707">
        <v>6.9938971879817777E-2</v>
      </c>
      <c r="D21" s="522">
        <f t="shared" si="0"/>
        <v>6.9602045459460249E-2</v>
      </c>
      <c r="E21" s="615"/>
      <c r="H21" s="511"/>
    </row>
    <row r="22" spans="1:10" s="510" customFormat="1" ht="15" customHeight="1" x14ac:dyDescent="0.2">
      <c r="A22" s="520">
        <v>27000</v>
      </c>
      <c r="B22" s="723" t="s">
        <v>103</v>
      </c>
      <c r="C22" s="707">
        <v>5.121036516161858E-2</v>
      </c>
      <c r="D22" s="522">
        <f t="shared" si="0"/>
        <v>5.0963662578561525E-2</v>
      </c>
      <c r="E22" s="615"/>
      <c r="H22" s="511"/>
    </row>
    <row r="23" spans="1:10" s="510" customFormat="1" ht="15" customHeight="1" x14ac:dyDescent="0.2">
      <c r="A23" s="520">
        <v>28000</v>
      </c>
      <c r="B23" s="723" t="s">
        <v>104</v>
      </c>
      <c r="C23" s="707">
        <v>3.1838516819084291E-2</v>
      </c>
      <c r="D23" s="522">
        <f t="shared" si="0"/>
        <v>3.1685136847760427E-2</v>
      </c>
      <c r="E23" s="615"/>
      <c r="H23" s="511"/>
    </row>
    <row r="24" spans="1:10" s="510" customFormat="1" ht="15" customHeight="1" x14ac:dyDescent="0.2">
      <c r="A24" s="520">
        <v>31000</v>
      </c>
      <c r="B24" s="723" t="s">
        <v>105</v>
      </c>
      <c r="C24" s="707">
        <v>3.6265168310400546E-2</v>
      </c>
      <c r="D24" s="522">
        <f t="shared" si="0"/>
        <v>3.6090463235188934E-2</v>
      </c>
      <c r="E24" s="615"/>
      <c r="H24" s="511"/>
    </row>
    <row r="25" spans="1:10" s="510" customFormat="1" ht="15" customHeight="1" x14ac:dyDescent="0.2">
      <c r="A25" s="520">
        <v>41000</v>
      </c>
      <c r="B25" s="723" t="s">
        <v>106</v>
      </c>
      <c r="C25" s="707">
        <v>5.0831435678911685E-2</v>
      </c>
      <c r="D25" s="522">
        <f t="shared" si="0"/>
        <v>5.0586558563841144E-2</v>
      </c>
      <c r="E25" s="615"/>
      <c r="F25" s="509"/>
      <c r="G25" s="509"/>
      <c r="H25" s="511"/>
    </row>
    <row r="26" spans="1:10" s="510" customFormat="1" ht="15" customHeight="1" x14ac:dyDescent="0.2">
      <c r="A26" s="520">
        <v>43000</v>
      </c>
      <c r="B26" s="723" t="s">
        <v>107</v>
      </c>
      <c r="C26" s="707">
        <v>2.9703809494178234E-2</v>
      </c>
      <c r="D26" s="522">
        <f t="shared" si="0"/>
        <v>2.9560713335700914E-2</v>
      </c>
      <c r="E26" s="616"/>
      <c r="H26" s="511"/>
      <c r="J26" s="511"/>
    </row>
    <row r="27" spans="1:10" s="510" customFormat="1" ht="15" customHeight="1" x14ac:dyDescent="0.2">
      <c r="A27" s="520">
        <v>51000</v>
      </c>
      <c r="B27" s="723" t="s">
        <v>108</v>
      </c>
      <c r="C27" s="707">
        <v>1.5770392149426073E-2</v>
      </c>
      <c r="D27" s="522">
        <f>4*0.443%</f>
        <v>1.772E-2</v>
      </c>
      <c r="E27" s="615"/>
      <c r="H27" s="511"/>
    </row>
    <row r="28" spans="1:10" s="510" customFormat="1" ht="15" customHeight="1" x14ac:dyDescent="0.2">
      <c r="A28" s="520">
        <v>52000</v>
      </c>
      <c r="B28" s="723" t="s">
        <v>109</v>
      </c>
      <c r="C28" s="707">
        <v>4.177020776433448E-3</v>
      </c>
      <c r="D28" s="522">
        <f>4*0.121%</f>
        <v>4.8399999999999997E-3</v>
      </c>
      <c r="E28" s="615"/>
      <c r="H28" s="511"/>
    </row>
    <row r="29" spans="1:10" s="510" customFormat="1" ht="15" customHeight="1" x14ac:dyDescent="0.2">
      <c r="A29" s="520">
        <v>53000</v>
      </c>
      <c r="B29" s="723" t="s">
        <v>110</v>
      </c>
      <c r="C29" s="707">
        <v>6.3483852079917573E-3</v>
      </c>
      <c r="D29" s="522">
        <f>4*0.17%</f>
        <v>6.8000000000000005E-3</v>
      </c>
      <c r="E29" s="615"/>
      <c r="H29" s="511"/>
    </row>
    <row r="30" spans="1:10" s="510" customFormat="1" ht="15" customHeight="1" x14ac:dyDescent="0.2">
      <c r="A30" s="520">
        <v>54000</v>
      </c>
      <c r="B30" s="723" t="s">
        <v>111</v>
      </c>
      <c r="C30" s="707">
        <v>9.057077469041587E-3</v>
      </c>
      <c r="D30" s="522">
        <f>4*0.266%</f>
        <v>1.064E-2</v>
      </c>
      <c r="E30" s="615"/>
      <c r="H30" s="511"/>
    </row>
    <row r="31" spans="1:10" s="510" customFormat="1" ht="15" customHeight="1" x14ac:dyDescent="0.2">
      <c r="A31" s="520">
        <v>55000</v>
      </c>
      <c r="B31" s="723" t="s">
        <v>112</v>
      </c>
      <c r="C31" s="707">
        <v>5.5929483682562089E-3</v>
      </c>
      <c r="D31" s="522">
        <f t="shared" ref="D31:D32" si="1">+C31*96%/C$35</f>
        <v>5.5660047054840534E-3</v>
      </c>
      <c r="E31" s="615"/>
    </row>
    <row r="32" spans="1:10" s="510" customFormat="1" ht="15" customHeight="1" thickBot="1" x14ac:dyDescent="0.25">
      <c r="A32" s="523">
        <v>56000</v>
      </c>
      <c r="B32" s="724" t="s">
        <v>113</v>
      </c>
      <c r="C32" s="719">
        <v>8.0121563452390781E-3</v>
      </c>
      <c r="D32" s="524">
        <f t="shared" si="1"/>
        <v>7.9735583063461832E-3</v>
      </c>
      <c r="E32" s="615"/>
    </row>
    <row r="33" spans="1:8" s="510" customFormat="1" ht="15" customHeight="1" thickBot="1" x14ac:dyDescent="0.25">
      <c r="A33" s="525"/>
      <c r="B33" s="725" t="s">
        <v>72</v>
      </c>
      <c r="C33" s="526">
        <f>SUM(C7:C32)</f>
        <v>1</v>
      </c>
      <c r="D33" s="527">
        <f>SUM(D7:D32)</f>
        <v>0.99999999999999978</v>
      </c>
      <c r="E33" s="615"/>
      <c r="H33" s="511"/>
    </row>
    <row r="34" spans="1:8" ht="14.25" x14ac:dyDescent="0.2">
      <c r="A34" s="323"/>
      <c r="B34" s="323"/>
      <c r="C34" s="323"/>
      <c r="D34" s="323"/>
      <c r="E34" s="612"/>
    </row>
    <row r="35" spans="1:8" ht="14.25" x14ac:dyDescent="0.2">
      <c r="A35" s="323" t="s">
        <v>272</v>
      </c>
      <c r="B35" s="323"/>
      <c r="C35" s="610">
        <f>SUM(C7:C26)+C31+C32</f>
        <v>0.9646471243971072</v>
      </c>
      <c r="D35" s="611">
        <f>SUM(D7:D26)+D31+D32</f>
        <v>0.95999999999999985</v>
      </c>
      <c r="E35" s="612"/>
    </row>
    <row r="36" spans="1:8" ht="14.25" x14ac:dyDescent="0.2">
      <c r="A36" s="323"/>
      <c r="B36" s="323"/>
      <c r="C36" s="323"/>
      <c r="D36" s="323"/>
      <c r="E36" s="612"/>
    </row>
    <row r="37" spans="1:8" ht="14.25" x14ac:dyDescent="0.2">
      <c r="A37" s="323" t="s">
        <v>201</v>
      </c>
      <c r="B37" s="323"/>
      <c r="C37" s="323"/>
      <c r="D37" s="323"/>
      <c r="E37" s="612"/>
    </row>
    <row r="38" spans="1:8" ht="14.25" x14ac:dyDescent="0.2">
      <c r="A38" s="323" t="s">
        <v>266</v>
      </c>
      <c r="B38" s="323"/>
      <c r="C38" s="323"/>
      <c r="D38" s="323"/>
      <c r="E38" s="612"/>
    </row>
    <row r="39" spans="1:8" x14ac:dyDescent="0.2">
      <c r="A39" s="612"/>
      <c r="B39" s="612"/>
      <c r="C39" s="612"/>
      <c r="D39" s="612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&amp;LČ. j.: MSMT-1404/2017-1</oddHeader>
    <oddFooter>&amp;R2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177"/>
  <sheetViews>
    <sheetView zoomScale="80" zoomScaleNormal="80" zoomScaleSheetLayoutView="100" workbookViewId="0"/>
  </sheetViews>
  <sheetFormatPr defaultColWidth="7.7109375" defaultRowHeight="12.75" x14ac:dyDescent="0.2"/>
  <cols>
    <col min="1" max="1" width="5.7109375" style="325" customWidth="1"/>
    <col min="2" max="2" width="11" style="325" customWidth="1"/>
    <col min="3" max="3" width="11.140625" style="325" customWidth="1"/>
    <col min="4" max="4" width="10.7109375" style="325" customWidth="1"/>
    <col min="5" max="5" width="11.28515625" style="325" customWidth="1"/>
    <col min="6" max="6" width="12.42578125" style="325" customWidth="1"/>
    <col min="7" max="7" width="9.140625" style="444" customWidth="1"/>
    <col min="8" max="8" width="13" style="444" customWidth="1"/>
    <col min="9" max="9" width="10" style="444" customWidth="1"/>
    <col min="10" max="10" width="10.85546875" style="444" customWidth="1"/>
    <col min="11" max="11" width="7.85546875" style="444" customWidth="1"/>
    <col min="12" max="12" width="13.140625" style="444" customWidth="1"/>
    <col min="13" max="13" width="10.140625" style="444" customWidth="1"/>
    <col min="14" max="14" width="13.7109375" style="444" customWidth="1"/>
    <col min="15" max="15" width="10" style="444" customWidth="1"/>
    <col min="16" max="16" width="10.85546875" style="444" customWidth="1"/>
    <col min="17" max="17" width="7.85546875" style="444" customWidth="1"/>
    <col min="18" max="18" width="13.140625" style="444" customWidth="1"/>
    <col min="19" max="21" width="10.7109375" style="444" customWidth="1"/>
    <col min="22" max="22" width="12.140625" style="444" customWidth="1"/>
    <col min="23" max="23" width="11.5703125" style="444" customWidth="1"/>
    <col min="24" max="24" width="10" style="444" customWidth="1"/>
    <col min="25" max="25" width="12.7109375" style="325" customWidth="1"/>
    <col min="26" max="26" width="13.7109375" style="325" customWidth="1"/>
    <col min="27" max="27" width="9.5703125" style="325" bestFit="1" customWidth="1"/>
    <col min="28" max="28" width="13.7109375" style="325" customWidth="1"/>
    <col min="29" max="29" width="11.140625" style="325" customWidth="1"/>
    <col min="30" max="16384" width="7.7109375" style="325"/>
  </cols>
  <sheetData>
    <row r="1" spans="1:29" ht="29.25" customHeight="1" x14ac:dyDescent="0.25">
      <c r="A1" s="324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</row>
    <row r="2" spans="1:29" ht="18.75" customHeight="1" x14ac:dyDescent="0.25">
      <c r="A2" s="324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</row>
    <row r="3" spans="1:29" ht="19.5" x14ac:dyDescent="0.25">
      <c r="A3" s="326" t="s">
        <v>259</v>
      </c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</row>
    <row r="4" spans="1:29" ht="19.5" x14ac:dyDescent="0.25">
      <c r="A4" s="326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</row>
    <row r="5" spans="1:29" ht="13.5" thickBot="1" x14ac:dyDescent="0.25"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</row>
    <row r="6" spans="1:29" s="327" customFormat="1" ht="24.75" customHeight="1" x14ac:dyDescent="0.2">
      <c r="A6" s="820"/>
      <c r="B6" s="821"/>
      <c r="C6" s="824" t="s">
        <v>202</v>
      </c>
      <c r="D6" s="811"/>
      <c r="E6" s="811" t="s">
        <v>203</v>
      </c>
      <c r="F6" s="811"/>
      <c r="G6" s="811" t="s">
        <v>263</v>
      </c>
      <c r="H6" s="812"/>
      <c r="I6" s="814" t="s">
        <v>204</v>
      </c>
      <c r="J6" s="814"/>
      <c r="K6" s="814"/>
      <c r="L6" s="814"/>
      <c r="M6" s="811" t="s">
        <v>205</v>
      </c>
      <c r="N6" s="812"/>
      <c r="O6" s="814" t="s">
        <v>206</v>
      </c>
      <c r="P6" s="814"/>
      <c r="Q6" s="814"/>
      <c r="R6" s="814"/>
      <c r="S6" s="827" t="s">
        <v>264</v>
      </c>
      <c r="T6" s="828"/>
      <c r="U6" s="828"/>
      <c r="V6" s="829"/>
      <c r="W6" s="814" t="s">
        <v>207</v>
      </c>
      <c r="X6" s="827"/>
      <c r="Y6" s="832" t="s">
        <v>208</v>
      </c>
      <c r="Z6" s="833"/>
    </row>
    <row r="7" spans="1:29" s="324" customFormat="1" ht="18.75" customHeight="1" thickBot="1" x14ac:dyDescent="0.25">
      <c r="A7" s="822"/>
      <c r="B7" s="823"/>
      <c r="C7" s="825"/>
      <c r="D7" s="813"/>
      <c r="E7" s="813"/>
      <c r="F7" s="813"/>
      <c r="G7" s="813"/>
      <c r="H7" s="813"/>
      <c r="I7" s="328" t="s">
        <v>209</v>
      </c>
      <c r="J7" s="329" t="s">
        <v>210</v>
      </c>
      <c r="K7" s="330" t="s">
        <v>211</v>
      </c>
      <c r="L7" s="331" t="s">
        <v>72</v>
      </c>
      <c r="M7" s="813"/>
      <c r="N7" s="815"/>
      <c r="O7" s="328" t="s">
        <v>212</v>
      </c>
      <c r="P7" s="329" t="s">
        <v>213</v>
      </c>
      <c r="Q7" s="330" t="s">
        <v>211</v>
      </c>
      <c r="R7" s="332" t="s">
        <v>72</v>
      </c>
      <c r="S7" s="333" t="s">
        <v>214</v>
      </c>
      <c r="T7" s="334" t="s">
        <v>215</v>
      </c>
      <c r="U7" s="334" t="s">
        <v>72</v>
      </c>
      <c r="V7" s="335" t="s">
        <v>72</v>
      </c>
      <c r="W7" s="830"/>
      <c r="X7" s="831"/>
      <c r="Y7" s="484" t="s">
        <v>216</v>
      </c>
      <c r="Z7" s="481" t="s">
        <v>217</v>
      </c>
    </row>
    <row r="8" spans="1:29" s="324" customFormat="1" ht="12.75" customHeight="1" thickBot="1" x14ac:dyDescent="0.3">
      <c r="A8" s="816" t="s">
        <v>218</v>
      </c>
      <c r="B8" s="817"/>
      <c r="C8" s="468"/>
      <c r="D8" s="336">
        <v>0.3</v>
      </c>
      <c r="E8" s="469"/>
      <c r="F8" s="336">
        <v>0.03</v>
      </c>
      <c r="G8" s="469"/>
      <c r="H8" s="336">
        <v>0.1</v>
      </c>
      <c r="I8" s="337"/>
      <c r="J8" s="338"/>
      <c r="K8" s="338"/>
      <c r="L8" s="336">
        <v>0.04</v>
      </c>
      <c r="M8" s="339"/>
      <c r="N8" s="340">
        <v>0.1</v>
      </c>
      <c r="O8" s="337"/>
      <c r="P8" s="338"/>
      <c r="Q8" s="338"/>
      <c r="R8" s="336">
        <v>0.08</v>
      </c>
      <c r="S8" s="341"/>
      <c r="T8" s="342"/>
      <c r="U8" s="342"/>
      <c r="V8" s="336">
        <v>0.2</v>
      </c>
      <c r="W8" s="342"/>
      <c r="X8" s="483">
        <v>0.15</v>
      </c>
      <c r="Y8" s="479">
        <f>SUM(C8:X8)</f>
        <v>0.99999999999999989</v>
      </c>
      <c r="Z8" s="480"/>
    </row>
    <row r="9" spans="1:29" s="353" customFormat="1" ht="12.75" customHeight="1" x14ac:dyDescent="0.25">
      <c r="A9" s="818" t="s">
        <v>219</v>
      </c>
      <c r="B9" s="819"/>
      <c r="C9" s="470"/>
      <c r="D9" s="343">
        <v>1.0000000000000004</v>
      </c>
      <c r="E9" s="471"/>
      <c r="F9" s="343">
        <f>SUM(F10:F35)</f>
        <v>0.99999999999999989</v>
      </c>
      <c r="G9" s="471"/>
      <c r="H9" s="343">
        <f>SUM(H10:H35)</f>
        <v>0.99999999999999989</v>
      </c>
      <c r="I9" s="344"/>
      <c r="J9" s="345"/>
      <c r="K9" s="345"/>
      <c r="L9" s="346">
        <f>SUM(L10:L35)</f>
        <v>1.0000000000000002</v>
      </c>
      <c r="M9" s="347"/>
      <c r="N9" s="348">
        <f>SUM(N10:N35)</f>
        <v>1</v>
      </c>
      <c r="O9" s="344"/>
      <c r="P9" s="345"/>
      <c r="Q9" s="345"/>
      <c r="R9" s="349">
        <f>SUM(R10:R35)</f>
        <v>1</v>
      </c>
      <c r="S9" s="350"/>
      <c r="T9" s="351"/>
      <c r="U9" s="351"/>
      <c r="V9" s="348">
        <f>SUM(V10:V35)</f>
        <v>1</v>
      </c>
      <c r="W9" s="350"/>
      <c r="X9" s="351">
        <f>SUM(X10:X35)</f>
        <v>1.0000000000000002</v>
      </c>
      <c r="Y9" s="482">
        <f>SUM(Y10:Y35)</f>
        <v>1</v>
      </c>
      <c r="Z9" s="485">
        <f>SUM(Z10:Z35)</f>
        <v>0.98646043698816999</v>
      </c>
      <c r="AA9" s="352"/>
      <c r="AC9" s="354"/>
    </row>
    <row r="10" spans="1:29" s="324" customFormat="1" ht="11.25" customHeight="1" x14ac:dyDescent="0.25">
      <c r="A10" s="355">
        <v>11000</v>
      </c>
      <c r="B10" s="356" t="s">
        <v>220</v>
      </c>
      <c r="C10" s="357"/>
      <c r="D10" s="358">
        <f>+D94</f>
        <v>0.25856491417688704</v>
      </c>
      <c r="E10" s="359"/>
      <c r="F10" s="358">
        <f>+F38</f>
        <v>1.5328347192936491E-2</v>
      </c>
      <c r="G10" s="360"/>
      <c r="H10" s="358">
        <f>+H66*0.5+H94*0.3+H122*0.2</f>
        <v>0.29055124371274399</v>
      </c>
      <c r="I10" s="472"/>
      <c r="J10" s="473"/>
      <c r="K10" s="473"/>
      <c r="L10" s="358">
        <f>+L66*0.5+L94*0.3+L122*0.2</f>
        <v>0.22889223826145211</v>
      </c>
      <c r="M10" s="361"/>
      <c r="N10" s="362">
        <f>+N38</f>
        <v>0.15286231652212703</v>
      </c>
      <c r="O10" s="472"/>
      <c r="P10" s="473"/>
      <c r="Q10" s="473"/>
      <c r="R10" s="362">
        <f>+R38*0.5+R66*0.3+R94*0.2</f>
        <v>0.19895901834196927</v>
      </c>
      <c r="S10" s="363"/>
      <c r="T10" s="364"/>
      <c r="U10" s="364"/>
      <c r="V10" s="362">
        <f>+V38*0.5+V66*0.3+V94*0.2</f>
        <v>0.22272373061524653</v>
      </c>
      <c r="W10" s="363"/>
      <c r="X10" s="372">
        <f>+X66*0.5+X94*0.3+X122*0.2</f>
        <v>0.13615725719136937</v>
      </c>
      <c r="Y10" s="365">
        <f>SUMPRODUCT(C$8:X$8,C10:X10)</f>
        <v>0.21241142639191166</v>
      </c>
      <c r="Z10" s="366">
        <f>Y10*(100-0.556600470548405-0.797355830634618)/100</f>
        <v>0.20953546849984567</v>
      </c>
      <c r="AA10" s="367"/>
      <c r="AB10" s="368"/>
    </row>
    <row r="11" spans="1:29" s="324" customFormat="1" ht="11.25" customHeight="1" x14ac:dyDescent="0.25">
      <c r="A11" s="355">
        <v>12000</v>
      </c>
      <c r="B11" s="356" t="s">
        <v>74</v>
      </c>
      <c r="C11" s="357"/>
      <c r="D11" s="358">
        <f t="shared" ref="D11:D35" si="0">+D95</f>
        <v>3.7052515777364244E-2</v>
      </c>
      <c r="E11" s="359"/>
      <c r="F11" s="358">
        <f t="shared" ref="F11:F35" si="1">+F39</f>
        <v>4.527726096719021E-3</v>
      </c>
      <c r="G11" s="369"/>
      <c r="H11" s="358">
        <f t="shared" ref="H11:H35" si="2">+H67*0.5+H95*0.3+H123*0.2</f>
        <v>2.4694154397153119E-2</v>
      </c>
      <c r="I11" s="474"/>
      <c r="J11" s="475"/>
      <c r="K11" s="475"/>
      <c r="L11" s="358">
        <f t="shared" ref="L11:L35" si="3">+L67*0.5+L95*0.3+L123*0.2</f>
        <v>3.0344724386818279E-2</v>
      </c>
      <c r="M11" s="370"/>
      <c r="N11" s="362">
        <f t="shared" ref="N11:N35" si="4">+N39</f>
        <v>3.9747807171841482E-2</v>
      </c>
      <c r="O11" s="474"/>
      <c r="P11" s="475"/>
      <c r="Q11" s="475"/>
      <c r="R11" s="362">
        <f t="shared" ref="R11:R35" si="5">+R39*0.5+R67*0.3+R95*0.2</f>
        <v>1.8525750333739675E-2</v>
      </c>
      <c r="S11" s="371"/>
      <c r="T11" s="372"/>
      <c r="U11" s="372"/>
      <c r="V11" s="362">
        <f t="shared" ref="V11:V35" si="6">+V39*0.5+V67*0.3+V95*0.2</f>
        <v>1.5516331336143017E-2</v>
      </c>
      <c r="W11" s="371"/>
      <c r="X11" s="372">
        <f t="shared" ref="X11:X35" si="7">+X67*0.5+X95*0.3+X123*0.2</f>
        <v>3.7194186100862885E-2</v>
      </c>
      <c r="Y11" s="365">
        <f t="shared" ref="Y11:Y35" si="8">SUMPRODUCT(C$8:X$8,C11:X11)</f>
        <v>2.9074025857540247E-2</v>
      </c>
      <c r="Z11" s="366">
        <f t="shared" ref="Z11:Z33" si="9">Y11*(100-0.556600470548405-0.797355830634618)/100</f>
        <v>2.8680376252434501E-2</v>
      </c>
      <c r="AA11" s="367"/>
      <c r="AB11" s="368"/>
    </row>
    <row r="12" spans="1:29" s="324" customFormat="1" ht="11.25" customHeight="1" x14ac:dyDescent="0.25">
      <c r="A12" s="355">
        <v>13000</v>
      </c>
      <c r="B12" s="356" t="s">
        <v>221</v>
      </c>
      <c r="C12" s="357"/>
      <c r="D12" s="358">
        <f t="shared" si="0"/>
        <v>9.473115126715663E-3</v>
      </c>
      <c r="E12" s="359"/>
      <c r="F12" s="358">
        <f t="shared" si="1"/>
        <v>5.993688816967517E-2</v>
      </c>
      <c r="G12" s="369"/>
      <c r="H12" s="358">
        <f t="shared" si="2"/>
        <v>5.940152866467676E-3</v>
      </c>
      <c r="I12" s="474"/>
      <c r="J12" s="475"/>
      <c r="K12" s="475"/>
      <c r="L12" s="358">
        <f t="shared" si="3"/>
        <v>1.8821576220269001E-2</v>
      </c>
      <c r="M12" s="370"/>
      <c r="N12" s="362">
        <f t="shared" si="4"/>
        <v>2.525388803687308E-2</v>
      </c>
      <c r="O12" s="474"/>
      <c r="P12" s="475"/>
      <c r="Q12" s="475"/>
      <c r="R12" s="362">
        <f t="shared" si="5"/>
        <v>7.9961513037070664E-3</v>
      </c>
      <c r="S12" s="371"/>
      <c r="T12" s="372"/>
      <c r="U12" s="372"/>
      <c r="V12" s="362">
        <f t="shared" si="6"/>
        <v>1.9169288770952905E-2</v>
      </c>
      <c r="W12" s="371"/>
      <c r="X12" s="372">
        <f t="shared" si="7"/>
        <v>2.352889845187087E-2</v>
      </c>
      <c r="Y12" s="365">
        <f t="shared" si="8"/>
        <v>1.6515192948517565E-2</v>
      </c>
      <c r="Z12" s="366">
        <f t="shared" si="9"/>
        <v>1.6291584452938577E-2</v>
      </c>
      <c r="AA12" s="367"/>
      <c r="AB12" s="368"/>
    </row>
    <row r="13" spans="1:29" s="324" customFormat="1" ht="11.25" customHeight="1" x14ac:dyDescent="0.25">
      <c r="A13" s="355">
        <v>14000</v>
      </c>
      <c r="B13" s="356" t="s">
        <v>75</v>
      </c>
      <c r="C13" s="357"/>
      <c r="D13" s="358">
        <f t="shared" si="0"/>
        <v>0.10653328285825792</v>
      </c>
      <c r="E13" s="359"/>
      <c r="F13" s="358">
        <f t="shared" si="1"/>
        <v>8.4009082977893352E-3</v>
      </c>
      <c r="G13" s="369"/>
      <c r="H13" s="358">
        <f t="shared" si="2"/>
        <v>0.11977398653223267</v>
      </c>
      <c r="I13" s="474"/>
      <c r="J13" s="475"/>
      <c r="K13" s="475"/>
      <c r="L13" s="358">
        <f t="shared" si="3"/>
        <v>8.6333257476314096E-2</v>
      </c>
      <c r="M13" s="370"/>
      <c r="N13" s="362">
        <f t="shared" si="4"/>
        <v>9.9565786380662422E-2</v>
      </c>
      <c r="O13" s="474"/>
      <c r="P13" s="475"/>
      <c r="Q13" s="475"/>
      <c r="R13" s="362">
        <f t="shared" si="5"/>
        <v>0.18146568137984295</v>
      </c>
      <c r="S13" s="371"/>
      <c r="T13" s="372"/>
      <c r="U13" s="372"/>
      <c r="V13" s="362">
        <f t="shared" si="6"/>
        <v>0.16369995861246769</v>
      </c>
      <c r="W13" s="371"/>
      <c r="X13" s="372">
        <f t="shared" si="7"/>
        <v>0.12019652646936321</v>
      </c>
      <c r="Y13" s="365">
        <f t="shared" si="8"/>
        <v>0.12288604490003859</v>
      </c>
      <c r="Z13" s="366">
        <f t="shared" si="9"/>
        <v>0.12122222155183993</v>
      </c>
      <c r="AA13" s="367"/>
      <c r="AB13" s="368"/>
    </row>
    <row r="14" spans="1:29" s="324" customFormat="1" ht="11.25" customHeight="1" x14ac:dyDescent="0.25">
      <c r="A14" s="355">
        <v>15000</v>
      </c>
      <c r="B14" s="356" t="s">
        <v>76</v>
      </c>
      <c r="C14" s="357"/>
      <c r="D14" s="358">
        <f t="shared" si="0"/>
        <v>8.1635452078608686E-2</v>
      </c>
      <c r="E14" s="359"/>
      <c r="F14" s="358">
        <f t="shared" si="1"/>
        <v>1.3247066496143878E-2</v>
      </c>
      <c r="G14" s="369"/>
      <c r="H14" s="358">
        <f t="shared" si="2"/>
        <v>6.0777321991498739E-2</v>
      </c>
      <c r="I14" s="474"/>
      <c r="J14" s="475"/>
      <c r="K14" s="475"/>
      <c r="L14" s="358">
        <f t="shared" si="3"/>
        <v>5.8812707023960201E-2</v>
      </c>
      <c r="M14" s="370"/>
      <c r="N14" s="362">
        <f t="shared" si="4"/>
        <v>6.3086924065286709E-2</v>
      </c>
      <c r="O14" s="474"/>
      <c r="P14" s="475"/>
      <c r="Q14" s="475"/>
      <c r="R14" s="362">
        <f t="shared" si="5"/>
        <v>4.950678766093309E-2</v>
      </c>
      <c r="S14" s="371"/>
      <c r="T14" s="372"/>
      <c r="U14" s="372"/>
      <c r="V14" s="362">
        <f t="shared" si="6"/>
        <v>6.3343733090513138E-2</v>
      </c>
      <c r="W14" s="371"/>
      <c r="X14" s="372">
        <f t="shared" si="7"/>
        <v>6.0936843624253639E-2</v>
      </c>
      <c r="Y14" s="365">
        <f t="shared" si="8"/>
        <v>6.5396796679719191E-2</v>
      </c>
      <c r="Z14" s="366">
        <f t="shared" si="9"/>
        <v>6.4511352630302291E-2</v>
      </c>
      <c r="AA14" s="367"/>
      <c r="AB14" s="368"/>
    </row>
    <row r="15" spans="1:29" s="324" customFormat="1" ht="11.25" customHeight="1" x14ac:dyDescent="0.25">
      <c r="A15" s="355">
        <v>16000</v>
      </c>
      <c r="B15" s="356" t="s">
        <v>222</v>
      </c>
      <c r="C15" s="357"/>
      <c r="D15" s="358">
        <f t="shared" si="0"/>
        <v>9.741566342689946E-3</v>
      </c>
      <c r="E15" s="359"/>
      <c r="F15" s="358">
        <f t="shared" si="1"/>
        <v>0</v>
      </c>
      <c r="G15" s="369"/>
      <c r="H15" s="358">
        <f t="shared" si="2"/>
        <v>1.1731902236937132E-2</v>
      </c>
      <c r="I15" s="474"/>
      <c r="J15" s="475"/>
      <c r="K15" s="475"/>
      <c r="L15" s="358">
        <f t="shared" si="3"/>
        <v>1.242917018654355E-2</v>
      </c>
      <c r="M15" s="370"/>
      <c r="N15" s="362">
        <f t="shared" si="4"/>
        <v>1.9437515908334056E-2</v>
      </c>
      <c r="O15" s="474"/>
      <c r="P15" s="475"/>
      <c r="Q15" s="475"/>
      <c r="R15" s="362">
        <f t="shared" si="5"/>
        <v>1.376163773063716E-2</v>
      </c>
      <c r="S15" s="371"/>
      <c r="T15" s="372"/>
      <c r="U15" s="372"/>
      <c r="V15" s="362">
        <f t="shared" si="6"/>
        <v>6.8548388536537937E-3</v>
      </c>
      <c r="W15" s="371"/>
      <c r="X15" s="372">
        <f t="shared" si="7"/>
        <v>8.085234277127807E-3</v>
      </c>
      <c r="Y15" s="365">
        <f t="shared" si="8"/>
        <v>1.0221262455546748E-2</v>
      </c>
      <c r="Z15" s="366">
        <f t="shared" si="9"/>
        <v>1.0082871028469418E-2</v>
      </c>
      <c r="AA15" s="367"/>
      <c r="AB15" s="368"/>
    </row>
    <row r="16" spans="1:29" s="324" customFormat="1" ht="11.25" customHeight="1" x14ac:dyDescent="0.25">
      <c r="A16" s="355">
        <v>17000</v>
      </c>
      <c r="B16" s="356" t="s">
        <v>77</v>
      </c>
      <c r="C16" s="357"/>
      <c r="D16" s="358">
        <f t="shared" si="0"/>
        <v>1.6373394104820648E-2</v>
      </c>
      <c r="E16" s="359"/>
      <c r="F16" s="358">
        <f t="shared" si="1"/>
        <v>5.2054278739790807E-2</v>
      </c>
      <c r="G16" s="369"/>
      <c r="H16" s="358">
        <f t="shared" si="2"/>
        <v>1.1797804611303916E-2</v>
      </c>
      <c r="I16" s="474"/>
      <c r="J16" s="475"/>
      <c r="K16" s="475"/>
      <c r="L16" s="358">
        <f t="shared" si="3"/>
        <v>2.5473266751889746E-2</v>
      </c>
      <c r="M16" s="370"/>
      <c r="N16" s="362">
        <f t="shared" si="4"/>
        <v>3.7716646642752552E-2</v>
      </c>
      <c r="O16" s="474"/>
      <c r="P16" s="475"/>
      <c r="Q16" s="475"/>
      <c r="R16" s="362">
        <f t="shared" si="5"/>
        <v>1.65834230050479E-2</v>
      </c>
      <c r="S16" s="371"/>
      <c r="T16" s="372"/>
      <c r="U16" s="372"/>
      <c r="V16" s="362">
        <f t="shared" si="6"/>
        <v>1.9987546206282444E-2</v>
      </c>
      <c r="W16" s="371"/>
      <c r="X16" s="372">
        <f t="shared" si="7"/>
        <v>3.3007232235551846E-2</v>
      </c>
      <c r="Y16" s="365">
        <f t="shared" si="8"/>
        <v>2.2719290306114255E-2</v>
      </c>
      <c r="Z16" s="366">
        <f t="shared" si="9"/>
        <v>2.2411681043430561E-2</v>
      </c>
      <c r="AA16" s="367"/>
      <c r="AB16" s="368"/>
    </row>
    <row r="17" spans="1:28" s="324" customFormat="1" ht="11.25" customHeight="1" x14ac:dyDescent="0.25">
      <c r="A17" s="355">
        <v>18000</v>
      </c>
      <c r="B17" s="356" t="s">
        <v>78</v>
      </c>
      <c r="C17" s="357"/>
      <c r="D17" s="358">
        <f t="shared" si="0"/>
        <v>8.8083968096859862E-3</v>
      </c>
      <c r="E17" s="359"/>
      <c r="F17" s="358">
        <f t="shared" si="1"/>
        <v>2.351086457522733E-2</v>
      </c>
      <c r="G17" s="369"/>
      <c r="H17" s="358">
        <f t="shared" si="2"/>
        <v>2.5743585448573122E-3</v>
      </c>
      <c r="I17" s="474"/>
      <c r="J17" s="475"/>
      <c r="K17" s="475"/>
      <c r="L17" s="358">
        <f t="shared" si="3"/>
        <v>1.6176839318617006E-2</v>
      </c>
      <c r="M17" s="370"/>
      <c r="N17" s="362">
        <f t="shared" si="4"/>
        <v>2.3997701441101086E-2</v>
      </c>
      <c r="O17" s="474"/>
      <c r="P17" s="475"/>
      <c r="Q17" s="475"/>
      <c r="R17" s="362">
        <f t="shared" si="5"/>
        <v>7.3365038310740189E-3</v>
      </c>
      <c r="S17" s="371"/>
      <c r="T17" s="372"/>
      <c r="U17" s="372"/>
      <c r="V17" s="362">
        <f t="shared" si="6"/>
        <v>2.0592709187096297E-2</v>
      </c>
      <c r="W17" s="371"/>
      <c r="X17" s="372">
        <f t="shared" si="7"/>
        <v>2.6097309678650343E-2</v>
      </c>
      <c r="Y17" s="365">
        <f t="shared" si="8"/>
        <v>1.5272183147205867E-2</v>
      </c>
      <c r="Z17" s="366">
        <f t="shared" si="9"/>
        <v>1.5065404461156062E-2</v>
      </c>
      <c r="AA17" s="367"/>
      <c r="AB17" s="368"/>
    </row>
    <row r="18" spans="1:28" s="324" customFormat="1" ht="11.25" customHeight="1" x14ac:dyDescent="0.25">
      <c r="A18" s="355">
        <v>19000</v>
      </c>
      <c r="B18" s="356" t="s">
        <v>79</v>
      </c>
      <c r="C18" s="357"/>
      <c r="D18" s="358">
        <f t="shared" si="0"/>
        <v>9.4888673210571529E-3</v>
      </c>
      <c r="E18" s="359"/>
      <c r="F18" s="358">
        <f t="shared" si="1"/>
        <v>4.2591708508156113E-2</v>
      </c>
      <c r="G18" s="369"/>
      <c r="H18" s="358">
        <f t="shared" si="2"/>
        <v>3.0468123772077454E-3</v>
      </c>
      <c r="I18" s="474"/>
      <c r="J18" s="475"/>
      <c r="K18" s="475"/>
      <c r="L18" s="358">
        <f t="shared" si="3"/>
        <v>1.1226583553934719E-2</v>
      </c>
      <c r="M18" s="370"/>
      <c r="N18" s="362">
        <f t="shared" si="4"/>
        <v>1.7814710722968769E-2</v>
      </c>
      <c r="O18" s="474"/>
      <c r="P18" s="475"/>
      <c r="Q18" s="475"/>
      <c r="R18" s="362">
        <f t="shared" si="5"/>
        <v>1.2071213756796855E-2</v>
      </c>
      <c r="S18" s="371"/>
      <c r="T18" s="372"/>
      <c r="U18" s="372"/>
      <c r="V18" s="362">
        <f t="shared" si="6"/>
        <v>6.6251509083152318E-3</v>
      </c>
      <c r="W18" s="371"/>
      <c r="X18" s="372">
        <f t="shared" si="7"/>
        <v>2.1597558140705166E-2</v>
      </c>
      <c r="Y18" s="365">
        <f t="shared" si="8"/>
        <v>1.2189988107049439E-2</v>
      </c>
      <c r="Z18" s="366">
        <f t="shared" si="9"/>
        <v>1.2024940994960582E-2</v>
      </c>
      <c r="AA18" s="367"/>
      <c r="AB18" s="368"/>
    </row>
    <row r="19" spans="1:28" s="324" customFormat="1" ht="11.25" customHeight="1" x14ac:dyDescent="0.25">
      <c r="A19" s="355">
        <v>21000</v>
      </c>
      <c r="B19" s="356" t="s">
        <v>80</v>
      </c>
      <c r="C19" s="357"/>
      <c r="D19" s="358">
        <f t="shared" si="0"/>
        <v>0.11623275777654146</v>
      </c>
      <c r="E19" s="359"/>
      <c r="F19" s="358">
        <f t="shared" si="1"/>
        <v>6.8363651220850127E-2</v>
      </c>
      <c r="G19" s="369"/>
      <c r="H19" s="358">
        <f t="shared" si="2"/>
        <v>0.13157481074616897</v>
      </c>
      <c r="I19" s="474"/>
      <c r="J19" s="475"/>
      <c r="K19" s="475"/>
      <c r="L19" s="358">
        <f t="shared" si="3"/>
        <v>0.11743276584724228</v>
      </c>
      <c r="M19" s="370"/>
      <c r="N19" s="362">
        <f t="shared" si="4"/>
        <v>7.4890118178428486E-2</v>
      </c>
      <c r="O19" s="474"/>
      <c r="P19" s="475"/>
      <c r="Q19" s="475"/>
      <c r="R19" s="362">
        <f t="shared" si="5"/>
        <v>7.5604435573391915E-2</v>
      </c>
      <c r="S19" s="371"/>
      <c r="T19" s="372"/>
      <c r="U19" s="372"/>
      <c r="V19" s="362">
        <f t="shared" si="6"/>
        <v>7.9277463678543214E-2</v>
      </c>
      <c r="W19" s="371"/>
      <c r="X19" s="372">
        <f t="shared" si="7"/>
        <v>6.826114023819975E-2</v>
      </c>
      <c r="Y19" s="365">
        <f t="shared" si="8"/>
        <v>9.4407559013247336E-2</v>
      </c>
      <c r="Z19" s="366">
        <f t="shared" si="9"/>
        <v>9.3129321919194402E-2</v>
      </c>
      <c r="AA19" s="367"/>
      <c r="AB19" s="368"/>
    </row>
    <row r="20" spans="1:28" s="324" customFormat="1" ht="11.25" customHeight="1" x14ac:dyDescent="0.25">
      <c r="A20" s="355">
        <v>22000</v>
      </c>
      <c r="B20" s="356" t="s">
        <v>223</v>
      </c>
      <c r="C20" s="357"/>
      <c r="D20" s="358">
        <f t="shared" si="0"/>
        <v>4.4177344074597315E-2</v>
      </c>
      <c r="E20" s="359"/>
      <c r="F20" s="358">
        <f t="shared" si="1"/>
        <v>2.8693565779604267E-4</v>
      </c>
      <c r="G20" s="369"/>
      <c r="H20" s="358">
        <f t="shared" si="2"/>
        <v>5.6478496622959097E-2</v>
      </c>
      <c r="I20" s="474"/>
      <c r="J20" s="475"/>
      <c r="K20" s="475"/>
      <c r="L20" s="358">
        <f t="shared" si="3"/>
        <v>2.8685973368715117E-2</v>
      </c>
      <c r="M20" s="370"/>
      <c r="N20" s="362">
        <f t="shared" si="4"/>
        <v>2.1225759292991073E-2</v>
      </c>
      <c r="O20" s="474"/>
      <c r="P20" s="475"/>
      <c r="Q20" s="475"/>
      <c r="R20" s="362">
        <f t="shared" si="5"/>
        <v>2.1663437949395219E-2</v>
      </c>
      <c r="S20" s="371"/>
      <c r="T20" s="372"/>
      <c r="U20" s="372"/>
      <c r="V20" s="362">
        <f t="shared" si="6"/>
        <v>1.4661467117676557E-2</v>
      </c>
      <c r="W20" s="371"/>
      <c r="X20" s="372">
        <f t="shared" si="7"/>
        <v>1.2768881133380551E-2</v>
      </c>
      <c r="Y20" s="365">
        <f t="shared" si="8"/>
        <v>2.8760376447950715E-2</v>
      </c>
      <c r="Z20" s="366">
        <f t="shared" si="9"/>
        <v>2.8370973518789731E-2</v>
      </c>
      <c r="AA20" s="367"/>
      <c r="AB20" s="368"/>
    </row>
    <row r="21" spans="1:28" s="324" customFormat="1" ht="11.25" customHeight="1" x14ac:dyDescent="0.25">
      <c r="A21" s="355">
        <v>23000</v>
      </c>
      <c r="B21" s="356" t="s">
        <v>224</v>
      </c>
      <c r="C21" s="357"/>
      <c r="D21" s="358">
        <f t="shared" si="0"/>
        <v>3.9421530456463599E-2</v>
      </c>
      <c r="E21" s="359"/>
      <c r="F21" s="358">
        <f t="shared" si="1"/>
        <v>6.3263545083404218E-2</v>
      </c>
      <c r="G21" s="369"/>
      <c r="H21" s="358">
        <f t="shared" si="2"/>
        <v>4.2555923358904013E-2</v>
      </c>
      <c r="I21" s="474"/>
      <c r="J21" s="475"/>
      <c r="K21" s="475"/>
      <c r="L21" s="358">
        <f t="shared" si="3"/>
        <v>3.791656654935488E-2</v>
      </c>
      <c r="M21" s="370"/>
      <c r="N21" s="362">
        <f t="shared" si="4"/>
        <v>4.1544330761781323E-2</v>
      </c>
      <c r="O21" s="474"/>
      <c r="P21" s="475"/>
      <c r="Q21" s="475"/>
      <c r="R21" s="362">
        <f t="shared" si="5"/>
        <v>1.7721387626356687E-2</v>
      </c>
      <c r="S21" s="371"/>
      <c r="T21" s="372"/>
      <c r="U21" s="372"/>
      <c r="V21" s="362">
        <f t="shared" si="6"/>
        <v>2.8503708593299471E-2</v>
      </c>
      <c r="W21" s="371"/>
      <c r="X21" s="372">
        <f t="shared" si="7"/>
        <v>4.0787074376917205E-2</v>
      </c>
      <c r="Y21" s="365">
        <f t="shared" si="8"/>
        <v>3.6887567448789946E-2</v>
      </c>
      <c r="Z21" s="366">
        <f t="shared" si="9"/>
        <v>3.6388125904963917E-2</v>
      </c>
      <c r="AA21" s="367"/>
      <c r="AB21" s="368"/>
    </row>
    <row r="22" spans="1:28" s="324" customFormat="1" ht="11.25" customHeight="1" x14ac:dyDescent="0.25">
      <c r="A22" s="355">
        <v>24000</v>
      </c>
      <c r="B22" s="356" t="s">
        <v>81</v>
      </c>
      <c r="C22" s="357"/>
      <c r="D22" s="358">
        <f t="shared" si="0"/>
        <v>1.8686140167783215E-2</v>
      </c>
      <c r="E22" s="359"/>
      <c r="F22" s="358">
        <f t="shared" si="1"/>
        <v>2.6529672048713589E-2</v>
      </c>
      <c r="G22" s="369"/>
      <c r="H22" s="358">
        <f t="shared" si="2"/>
        <v>1.9717473340744699E-2</v>
      </c>
      <c r="I22" s="474"/>
      <c r="J22" s="475"/>
      <c r="K22" s="475"/>
      <c r="L22" s="358">
        <f t="shared" si="3"/>
        <v>2.3755304385479906E-2</v>
      </c>
      <c r="M22" s="370"/>
      <c r="N22" s="362">
        <f t="shared" si="4"/>
        <v>1.994589375879325E-2</v>
      </c>
      <c r="O22" s="474"/>
      <c r="P22" s="475"/>
      <c r="Q22" s="475"/>
      <c r="R22" s="362">
        <f t="shared" si="5"/>
        <v>1.4582076563504975E-2</v>
      </c>
      <c r="S22" s="371"/>
      <c r="T22" s="372"/>
      <c r="U22" s="372"/>
      <c r="V22" s="362">
        <f t="shared" si="6"/>
        <v>1.9394437951592743E-2</v>
      </c>
      <c r="W22" s="371"/>
      <c r="X22" s="372">
        <f t="shared" si="7"/>
        <v>2.1914179233808798E-2</v>
      </c>
      <c r="Y22" s="365">
        <f t="shared" si="8"/>
        <v>1.9650861697639632E-2</v>
      </c>
      <c r="Z22" s="366">
        <f t="shared" si="9"/>
        <v>1.9384797617447679E-2</v>
      </c>
      <c r="AA22" s="367"/>
      <c r="AB22" s="368"/>
    </row>
    <row r="23" spans="1:28" s="324" customFormat="1" ht="11.25" customHeight="1" x14ac:dyDescent="0.25">
      <c r="A23" s="355">
        <v>25000</v>
      </c>
      <c r="B23" s="356" t="s">
        <v>225</v>
      </c>
      <c r="C23" s="357"/>
      <c r="D23" s="358">
        <f t="shared" si="0"/>
        <v>3.0559984246990402E-2</v>
      </c>
      <c r="E23" s="359"/>
      <c r="F23" s="358">
        <f t="shared" si="1"/>
        <v>5.5026425480446985E-3</v>
      </c>
      <c r="G23" s="369"/>
      <c r="H23" s="358">
        <f t="shared" si="2"/>
        <v>1.4719568104746401E-2</v>
      </c>
      <c r="I23" s="474"/>
      <c r="J23" s="475"/>
      <c r="K23" s="475"/>
      <c r="L23" s="358">
        <f t="shared" si="3"/>
        <v>2.6813455260686351E-2</v>
      </c>
      <c r="M23" s="370"/>
      <c r="N23" s="362">
        <f t="shared" si="4"/>
        <v>2.9772704221993879E-2</v>
      </c>
      <c r="O23" s="474"/>
      <c r="P23" s="475"/>
      <c r="Q23" s="475"/>
      <c r="R23" s="362">
        <f t="shared" si="5"/>
        <v>1.1036969374393997E-2</v>
      </c>
      <c r="S23" s="371"/>
      <c r="T23" s="372"/>
      <c r="U23" s="372"/>
      <c r="V23" s="362">
        <f t="shared" si="6"/>
        <v>1.855866553608412E-2</v>
      </c>
      <c r="W23" s="371"/>
      <c r="X23" s="372">
        <f t="shared" si="7"/>
        <v>2.7190721736280867E-2</v>
      </c>
      <c r="Y23" s="365">
        <f t="shared" si="8"/>
        <v>2.3528138911250416E-2</v>
      </c>
      <c r="Z23" s="366">
        <f t="shared" si="9"/>
        <v>2.3209578191910447E-2</v>
      </c>
      <c r="AA23" s="367"/>
      <c r="AB23" s="368"/>
    </row>
    <row r="24" spans="1:28" s="324" customFormat="1" ht="11.25" customHeight="1" x14ac:dyDescent="0.25">
      <c r="A24" s="355">
        <v>26000</v>
      </c>
      <c r="B24" s="356" t="s">
        <v>226</v>
      </c>
      <c r="C24" s="357"/>
      <c r="D24" s="358">
        <f t="shared" si="0"/>
        <v>7.4086398215742685E-2</v>
      </c>
      <c r="E24" s="359"/>
      <c r="F24" s="358">
        <f t="shared" si="1"/>
        <v>7.2449618581299183E-2</v>
      </c>
      <c r="G24" s="369"/>
      <c r="H24" s="358">
        <f t="shared" si="2"/>
        <v>7.6804502802213986E-2</v>
      </c>
      <c r="I24" s="474"/>
      <c r="J24" s="475"/>
      <c r="K24" s="475"/>
      <c r="L24" s="358">
        <f t="shared" si="3"/>
        <v>7.2911046088242018E-2</v>
      </c>
      <c r="M24" s="370"/>
      <c r="N24" s="362">
        <f t="shared" si="4"/>
        <v>6.9755196547253873E-2</v>
      </c>
      <c r="O24" s="474"/>
      <c r="P24" s="475"/>
      <c r="Q24" s="475"/>
      <c r="R24" s="362">
        <f t="shared" si="5"/>
        <v>0.10103592587153777</v>
      </c>
      <c r="S24" s="371"/>
      <c r="T24" s="372"/>
      <c r="U24" s="372"/>
      <c r="V24" s="362">
        <f t="shared" si="6"/>
        <v>5.6699015087360194E-2</v>
      </c>
      <c r="W24" s="371"/>
      <c r="X24" s="372">
        <f t="shared" si="7"/>
        <v>7.3981919228574264E-2</v>
      </c>
      <c r="Y24" s="365">
        <f t="shared" si="8"/>
        <v>7.2491784772119441E-2</v>
      </c>
      <c r="Z24" s="366">
        <f t="shared" si="9"/>
        <v>7.1510277684357304E-2</v>
      </c>
      <c r="AA24" s="367"/>
      <c r="AB24" s="368"/>
    </row>
    <row r="25" spans="1:28" s="324" customFormat="1" ht="11.25" customHeight="1" x14ac:dyDescent="0.25">
      <c r="A25" s="355">
        <v>27000</v>
      </c>
      <c r="B25" s="356" t="s">
        <v>82</v>
      </c>
      <c r="C25" s="357"/>
      <c r="D25" s="358">
        <f t="shared" si="0"/>
        <v>4.352879251757439E-2</v>
      </c>
      <c r="E25" s="359"/>
      <c r="F25" s="358">
        <f t="shared" si="1"/>
        <v>4.6444947153800398E-3</v>
      </c>
      <c r="G25" s="369"/>
      <c r="H25" s="358">
        <f t="shared" si="2"/>
        <v>4.5789613959025574E-2</v>
      </c>
      <c r="I25" s="474"/>
      <c r="J25" s="475"/>
      <c r="K25" s="475"/>
      <c r="L25" s="358">
        <f t="shared" si="3"/>
        <v>5.1850961102545702E-2</v>
      </c>
      <c r="M25" s="370"/>
      <c r="N25" s="362">
        <f t="shared" si="4"/>
        <v>5.1033984781827191E-2</v>
      </c>
      <c r="O25" s="474"/>
      <c r="P25" s="475"/>
      <c r="Q25" s="475"/>
      <c r="R25" s="362">
        <f t="shared" si="5"/>
        <v>3.3397317256450045E-2</v>
      </c>
      <c r="S25" s="371"/>
      <c r="T25" s="372"/>
      <c r="U25" s="372"/>
      <c r="V25" s="362">
        <f t="shared" si="6"/>
        <v>3.9931630147231806E-2</v>
      </c>
      <c r="W25" s="371"/>
      <c r="X25" s="372">
        <f t="shared" si="7"/>
        <v>6.041872116759775E-2</v>
      </c>
      <c r="Y25" s="365">
        <f t="shared" si="8"/>
        <v>4.4675290500022849E-2</v>
      </c>
      <c r="Z25" s="366">
        <f t="shared" si="9"/>
        <v>4.4070406589225966E-2</v>
      </c>
      <c r="AA25" s="367"/>
      <c r="AB25" s="368"/>
    </row>
    <row r="26" spans="1:28" s="324" customFormat="1" ht="11.25" customHeight="1" x14ac:dyDescent="0.25">
      <c r="A26" s="355">
        <v>28000</v>
      </c>
      <c r="B26" s="356" t="s">
        <v>227</v>
      </c>
      <c r="C26" s="357"/>
      <c r="D26" s="358">
        <f t="shared" si="0"/>
        <v>2.0320165481361344E-2</v>
      </c>
      <c r="E26" s="359"/>
      <c r="F26" s="358">
        <f t="shared" si="1"/>
        <v>4.7391062236344171E-2</v>
      </c>
      <c r="G26" s="369"/>
      <c r="H26" s="358">
        <f t="shared" si="2"/>
        <v>9.7096109353648069E-3</v>
      </c>
      <c r="I26" s="474"/>
      <c r="J26" s="475"/>
      <c r="K26" s="475"/>
      <c r="L26" s="358">
        <f t="shared" si="3"/>
        <v>2.1567159466024687E-2</v>
      </c>
      <c r="M26" s="370"/>
      <c r="N26" s="362">
        <f t="shared" si="4"/>
        <v>3.6772206039372445E-2</v>
      </c>
      <c r="O26" s="474"/>
      <c r="P26" s="475"/>
      <c r="Q26" s="475"/>
      <c r="R26" s="362">
        <f t="shared" si="5"/>
        <v>2.4308792137073265E-2</v>
      </c>
      <c r="S26" s="371"/>
      <c r="T26" s="372"/>
      <c r="U26" s="372"/>
      <c r="V26" s="362">
        <f t="shared" si="6"/>
        <v>1.9859365944786052E-2</v>
      </c>
      <c r="W26" s="371"/>
      <c r="X26" s="372">
        <f t="shared" si="7"/>
        <v>3.9010104596734686E-2</v>
      </c>
      <c r="Y26" s="365">
        <f t="shared" si="8"/>
        <v>2.4796741837046717E-2</v>
      </c>
      <c r="Z26" s="366">
        <f t="shared" si="9"/>
        <v>2.4461004788455937E-2</v>
      </c>
      <c r="AA26" s="367"/>
      <c r="AB26" s="368"/>
    </row>
    <row r="27" spans="1:28" s="324" customFormat="1" ht="11.25" customHeight="1" x14ac:dyDescent="0.25">
      <c r="A27" s="355">
        <v>31000</v>
      </c>
      <c r="B27" s="356" t="s">
        <v>83</v>
      </c>
      <c r="C27" s="357"/>
      <c r="D27" s="358">
        <f t="shared" si="0"/>
        <v>1.2178228077769897E-2</v>
      </c>
      <c r="E27" s="359"/>
      <c r="F27" s="358">
        <f t="shared" si="1"/>
        <v>3.7416625382608574E-4</v>
      </c>
      <c r="G27" s="369"/>
      <c r="H27" s="358">
        <f t="shared" si="2"/>
        <v>1.6233000723278476E-2</v>
      </c>
      <c r="I27" s="474"/>
      <c r="J27" s="475"/>
      <c r="K27" s="475"/>
      <c r="L27" s="358">
        <f t="shared" si="3"/>
        <v>3.2054620788955678E-2</v>
      </c>
      <c r="M27" s="370"/>
      <c r="N27" s="362">
        <f t="shared" si="4"/>
        <v>3.3335138356075149E-2</v>
      </c>
      <c r="O27" s="474"/>
      <c r="P27" s="475"/>
      <c r="Q27" s="475"/>
      <c r="R27" s="362">
        <f t="shared" si="5"/>
        <v>7.7776064677877968E-2</v>
      </c>
      <c r="S27" s="371"/>
      <c r="T27" s="372"/>
      <c r="U27" s="372"/>
      <c r="V27" s="362">
        <f t="shared" si="6"/>
        <v>6.9887351015932062E-2</v>
      </c>
      <c r="W27" s="371"/>
      <c r="X27" s="372">
        <f t="shared" si="7"/>
        <v>6.56124909649866E-2</v>
      </c>
      <c r="Y27" s="365">
        <f t="shared" si="8"/>
        <v>3.9945121172603987E-2</v>
      </c>
      <c r="Z27" s="366">
        <f t="shared" si="9"/>
        <v>3.9404281687472321E-2</v>
      </c>
      <c r="AA27" s="367"/>
      <c r="AB27" s="368"/>
    </row>
    <row r="28" spans="1:28" s="324" customFormat="1" ht="11.25" customHeight="1" x14ac:dyDescent="0.25">
      <c r="A28" s="355">
        <v>41000</v>
      </c>
      <c r="B28" s="356" t="s">
        <v>228</v>
      </c>
      <c r="C28" s="357"/>
      <c r="D28" s="358">
        <f t="shared" si="0"/>
        <v>3.2118719058546283E-2</v>
      </c>
      <c r="E28" s="359"/>
      <c r="F28" s="358">
        <f t="shared" si="1"/>
        <v>1.3439440953753284E-3</v>
      </c>
      <c r="G28" s="369"/>
      <c r="H28" s="358">
        <f t="shared" si="2"/>
        <v>2.9258393255963341E-2</v>
      </c>
      <c r="I28" s="474"/>
      <c r="J28" s="475"/>
      <c r="K28" s="475"/>
      <c r="L28" s="358">
        <f t="shared" si="3"/>
        <v>3.378852940597396E-2</v>
      </c>
      <c r="M28" s="370"/>
      <c r="N28" s="362">
        <f t="shared" si="4"/>
        <v>6.612232594519217E-2</v>
      </c>
      <c r="O28" s="474"/>
      <c r="P28" s="475"/>
      <c r="Q28" s="475"/>
      <c r="R28" s="362">
        <f t="shared" si="5"/>
        <v>6.4527337646095501E-2</v>
      </c>
      <c r="S28" s="371"/>
      <c r="T28" s="372"/>
      <c r="U28" s="372"/>
      <c r="V28" s="362">
        <f t="shared" si="6"/>
        <v>6.3065354182858496E-2</v>
      </c>
      <c r="W28" s="371"/>
      <c r="X28" s="372">
        <f t="shared" si="7"/>
        <v>7.5706254432795522E-2</v>
      </c>
      <c r="Y28" s="365">
        <f t="shared" si="8"/>
        <v>4.9696743149958325E-2</v>
      </c>
      <c r="Z28" s="366">
        <f t="shared" si="9"/>
        <v>4.9023870964596726E-2</v>
      </c>
      <c r="AA28" s="367"/>
      <c r="AB28" s="368"/>
    </row>
    <row r="29" spans="1:28" s="324" customFormat="1" ht="11.25" customHeight="1" x14ac:dyDescent="0.25">
      <c r="A29" s="355">
        <v>43000</v>
      </c>
      <c r="B29" s="356" t="s">
        <v>84</v>
      </c>
      <c r="C29" s="357"/>
      <c r="D29" s="358">
        <f t="shared" si="0"/>
        <v>2.6136078578611385E-2</v>
      </c>
      <c r="E29" s="359"/>
      <c r="F29" s="358">
        <f t="shared" si="1"/>
        <v>6.3383853233974184E-3</v>
      </c>
      <c r="G29" s="369"/>
      <c r="H29" s="358">
        <f t="shared" si="2"/>
        <v>1.8350852948629492E-2</v>
      </c>
      <c r="I29" s="474"/>
      <c r="J29" s="475"/>
      <c r="K29" s="475"/>
      <c r="L29" s="358">
        <f t="shared" si="3"/>
        <v>2.9917537154660143E-2</v>
      </c>
      <c r="M29" s="370"/>
      <c r="N29" s="362">
        <f t="shared" si="4"/>
        <v>3.8298894692258161E-2</v>
      </c>
      <c r="O29" s="474"/>
      <c r="P29" s="475"/>
      <c r="Q29" s="475"/>
      <c r="R29" s="362">
        <f t="shared" si="5"/>
        <v>3.7539258632462665E-2</v>
      </c>
      <c r="S29" s="371"/>
      <c r="T29" s="372"/>
      <c r="U29" s="372"/>
      <c r="V29" s="362">
        <f t="shared" si="6"/>
        <v>3.1265771036868895E-2</v>
      </c>
      <c r="W29" s="371"/>
      <c r="X29" s="372">
        <f t="shared" si="7"/>
        <v>3.5928841858433695E-2</v>
      </c>
      <c r="Y29" s="365">
        <f t="shared" si="8"/>
        <v>2.9538272560296355E-2</v>
      </c>
      <c r="Z29" s="366">
        <f t="shared" si="9"/>
        <v>2.9138337257705607E-2</v>
      </c>
      <c r="AA29" s="367"/>
      <c r="AB29" s="368"/>
    </row>
    <row r="30" spans="1:28" s="324" customFormat="1" ht="11.25" customHeight="1" x14ac:dyDescent="0.25">
      <c r="A30" s="355">
        <v>51000</v>
      </c>
      <c r="B30" s="356" t="s">
        <v>229</v>
      </c>
      <c r="C30" s="357"/>
      <c r="D30" s="358">
        <f t="shared" si="0"/>
        <v>2.6481596077360245E-3</v>
      </c>
      <c r="E30" s="359"/>
      <c r="F30" s="358">
        <f t="shared" si="1"/>
        <v>0.16906611894117257</v>
      </c>
      <c r="G30" s="373"/>
      <c r="H30" s="358">
        <f t="shared" si="2"/>
        <v>4.9347593596288132E-3</v>
      </c>
      <c r="I30" s="474"/>
      <c r="J30" s="475"/>
      <c r="K30" s="475"/>
      <c r="L30" s="358">
        <f t="shared" si="3"/>
        <v>1.8380118675221008E-2</v>
      </c>
      <c r="M30" s="370"/>
      <c r="N30" s="362">
        <f t="shared" si="4"/>
        <v>1.7402261789088266E-2</v>
      </c>
      <c r="O30" s="474"/>
      <c r="P30" s="475"/>
      <c r="Q30" s="475"/>
      <c r="R30" s="362">
        <f t="shared" si="5"/>
        <v>5.8310028129660652E-3</v>
      </c>
      <c r="S30" s="371"/>
      <c r="T30" s="372"/>
      <c r="U30" s="372"/>
      <c r="V30" s="362">
        <f t="shared" si="6"/>
        <v>9.0849898677257557E-3</v>
      </c>
      <c r="W30" s="371"/>
      <c r="X30" s="372">
        <f t="shared" si="7"/>
        <v>5.7182598327676724E-3</v>
      </c>
      <c r="Y30" s="365">
        <f t="shared" si="8"/>
        <v>1.1976555485934121E-2</v>
      </c>
      <c r="Z30" s="366">
        <f t="shared" si="9"/>
        <v>1.1814398158267635E-2</v>
      </c>
      <c r="AA30" s="367"/>
      <c r="AB30" s="368"/>
    </row>
    <row r="31" spans="1:28" s="324" customFormat="1" ht="11.25" customHeight="1" x14ac:dyDescent="0.25">
      <c r="A31" s="355">
        <v>52000</v>
      </c>
      <c r="B31" s="356" t="s">
        <v>230</v>
      </c>
      <c r="C31" s="357"/>
      <c r="D31" s="358">
        <f t="shared" si="0"/>
        <v>4.780263018523736E-4</v>
      </c>
      <c r="E31" s="359"/>
      <c r="F31" s="358">
        <f t="shared" si="1"/>
        <v>6.3567226140891303E-2</v>
      </c>
      <c r="G31" s="373"/>
      <c r="H31" s="358">
        <f t="shared" si="2"/>
        <v>9.5384225415112538E-4</v>
      </c>
      <c r="I31" s="474"/>
      <c r="J31" s="475"/>
      <c r="K31" s="475"/>
      <c r="L31" s="358">
        <f t="shared" si="3"/>
        <v>3.2449616550162281E-3</v>
      </c>
      <c r="M31" s="370"/>
      <c r="N31" s="362">
        <f t="shared" si="4"/>
        <v>3.5979875868973315E-3</v>
      </c>
      <c r="O31" s="474"/>
      <c r="P31" s="475"/>
      <c r="Q31" s="475"/>
      <c r="R31" s="362">
        <f t="shared" si="5"/>
        <v>1.4389296372105381E-3</v>
      </c>
      <c r="S31" s="371"/>
      <c r="T31" s="372"/>
      <c r="U31" s="372"/>
      <c r="V31" s="362">
        <f t="shared" si="6"/>
        <v>1.993306779426338E-3</v>
      </c>
      <c r="W31" s="371"/>
      <c r="X31" s="372">
        <f t="shared" si="7"/>
        <v>9.7106123300888709E-4</v>
      </c>
      <c r="Y31" s="365">
        <f t="shared" si="8"/>
        <v>3.2948410369013897E-3</v>
      </c>
      <c r="Z31" s="366">
        <f t="shared" si="9"/>
        <v>3.2502303290682993E-3</v>
      </c>
      <c r="AA31" s="367"/>
      <c r="AB31" s="368"/>
    </row>
    <row r="32" spans="1:28" s="324" customFormat="1" ht="11.25" customHeight="1" x14ac:dyDescent="0.25">
      <c r="A32" s="355">
        <v>53000</v>
      </c>
      <c r="B32" s="356" t="s">
        <v>231</v>
      </c>
      <c r="C32" s="357"/>
      <c r="D32" s="358">
        <f t="shared" si="0"/>
        <v>8.6216952542946283E-4</v>
      </c>
      <c r="E32" s="359"/>
      <c r="F32" s="358">
        <f t="shared" si="1"/>
        <v>0.11515008235161181</v>
      </c>
      <c r="G32" s="373"/>
      <c r="H32" s="358">
        <f t="shared" si="2"/>
        <v>1.3676083894983578E-3</v>
      </c>
      <c r="I32" s="474"/>
      <c r="J32" s="475"/>
      <c r="K32" s="475"/>
      <c r="L32" s="358">
        <f t="shared" si="3"/>
        <v>3.1074373746897543E-3</v>
      </c>
      <c r="M32" s="370"/>
      <c r="N32" s="362">
        <f t="shared" si="4"/>
        <v>4.8476901547031721E-3</v>
      </c>
      <c r="O32" s="474"/>
      <c r="P32" s="475"/>
      <c r="Q32" s="475"/>
      <c r="R32" s="362">
        <f t="shared" si="5"/>
        <v>2.5838695360520477E-3</v>
      </c>
      <c r="S32" s="371"/>
      <c r="T32" s="372"/>
      <c r="U32" s="372"/>
      <c r="V32" s="362">
        <f t="shared" si="6"/>
        <v>5.5344310863226932E-3</v>
      </c>
      <c r="W32" s="371"/>
      <c r="X32" s="372">
        <f t="shared" si="7"/>
        <v>2.25012535675415E-3</v>
      </c>
      <c r="Y32" s="365">
        <f t="shared" si="8"/>
        <v>6.1100952612467615E-3</v>
      </c>
      <c r="Z32" s="366">
        <f t="shared" si="9"/>
        <v>6.0273672414488258E-3</v>
      </c>
      <c r="AA32" s="367"/>
      <c r="AB32" s="368"/>
    </row>
    <row r="33" spans="1:31" s="324" customFormat="1" ht="11.25" customHeight="1" x14ac:dyDescent="0.25">
      <c r="A33" s="355">
        <v>54000</v>
      </c>
      <c r="B33" s="356" t="s">
        <v>85</v>
      </c>
      <c r="C33" s="357"/>
      <c r="D33" s="358">
        <f t="shared" si="0"/>
        <v>8.9400131691293498E-4</v>
      </c>
      <c r="E33" s="359"/>
      <c r="F33" s="358">
        <f t="shared" si="1"/>
        <v>0.13613066672545523</v>
      </c>
      <c r="G33" s="373"/>
      <c r="H33" s="358">
        <f t="shared" si="2"/>
        <v>6.6380592832058442E-4</v>
      </c>
      <c r="I33" s="474"/>
      <c r="J33" s="475"/>
      <c r="K33" s="475"/>
      <c r="L33" s="358">
        <f t="shared" si="3"/>
        <v>1.0063199697393463E-2</v>
      </c>
      <c r="M33" s="370"/>
      <c r="N33" s="362">
        <f t="shared" si="4"/>
        <v>1.1972211001397098E-2</v>
      </c>
      <c r="O33" s="474"/>
      <c r="P33" s="475"/>
      <c r="Q33" s="475"/>
      <c r="R33" s="362">
        <f t="shared" si="5"/>
        <v>4.7470273614833285E-3</v>
      </c>
      <c r="S33" s="371"/>
      <c r="T33" s="372"/>
      <c r="U33" s="372"/>
      <c r="V33" s="362">
        <f t="shared" si="6"/>
        <v>3.7697543936205838E-3</v>
      </c>
      <c r="W33" s="371"/>
      <c r="X33" s="372">
        <f t="shared" si="7"/>
        <v>2.6791784400044378E-3</v>
      </c>
      <c r="Y33" s="365">
        <f t="shared" si="8"/>
        <v>7.553839911348492E-3</v>
      </c>
      <c r="Z33" s="366">
        <f t="shared" si="9"/>
        <v>7.4515642198875109E-3</v>
      </c>
      <c r="AA33" s="367"/>
      <c r="AB33" s="368"/>
    </row>
    <row r="34" spans="1:31" s="324" customFormat="1" ht="11.25" customHeight="1" x14ac:dyDescent="0.25">
      <c r="A34" s="355">
        <v>55000</v>
      </c>
      <c r="B34" s="356" t="s">
        <v>86</v>
      </c>
      <c r="C34" s="374"/>
      <c r="D34" s="358">
        <f t="shared" si="0"/>
        <v>0</v>
      </c>
      <c r="E34" s="359"/>
      <c r="F34" s="358">
        <f t="shared" si="1"/>
        <v>0</v>
      </c>
      <c r="G34" s="369"/>
      <c r="H34" s="358">
        <f t="shared" si="2"/>
        <v>0</v>
      </c>
      <c r="I34" s="474"/>
      <c r="J34" s="475"/>
      <c r="K34" s="475"/>
      <c r="L34" s="358">
        <f t="shared" si="3"/>
        <v>0</v>
      </c>
      <c r="M34" s="370"/>
      <c r="N34" s="362">
        <f t="shared" si="4"/>
        <v>0</v>
      </c>
      <c r="O34" s="474"/>
      <c r="P34" s="475"/>
      <c r="Q34" s="475"/>
      <c r="R34" s="362">
        <f t="shared" si="5"/>
        <v>0</v>
      </c>
      <c r="S34" s="371"/>
      <c r="T34" s="372"/>
      <c r="U34" s="372"/>
      <c r="V34" s="362">
        <f t="shared" si="6"/>
        <v>0</v>
      </c>
      <c r="W34" s="371"/>
      <c r="X34" s="372">
        <f t="shared" si="7"/>
        <v>0</v>
      </c>
      <c r="Y34" s="365">
        <f t="shared" si="8"/>
        <v>0</v>
      </c>
      <c r="Z34" s="366">
        <f t="shared" ref="Z34:Z35" si="10">ROUND(Y34*(100-0.56-0.8)/100,4)</f>
        <v>0</v>
      </c>
      <c r="AA34" s="367"/>
      <c r="AB34" s="368"/>
    </row>
    <row r="35" spans="1:31" s="324" customFormat="1" ht="11.25" customHeight="1" thickBot="1" x14ac:dyDescent="0.3">
      <c r="A35" s="375">
        <v>56000</v>
      </c>
      <c r="B35" s="376" t="s">
        <v>87</v>
      </c>
      <c r="C35" s="377"/>
      <c r="D35" s="378">
        <f t="shared" si="0"/>
        <v>0</v>
      </c>
      <c r="E35" s="379"/>
      <c r="F35" s="378">
        <f t="shared" si="1"/>
        <v>0</v>
      </c>
      <c r="G35" s="380"/>
      <c r="H35" s="378">
        <f t="shared" si="2"/>
        <v>0</v>
      </c>
      <c r="I35" s="476"/>
      <c r="J35" s="477"/>
      <c r="K35" s="477"/>
      <c r="L35" s="378">
        <f t="shared" si="3"/>
        <v>0</v>
      </c>
      <c r="M35" s="380"/>
      <c r="N35" s="381">
        <f t="shared" si="4"/>
        <v>0</v>
      </c>
      <c r="O35" s="476"/>
      <c r="P35" s="477"/>
      <c r="Q35" s="477"/>
      <c r="R35" s="381">
        <f t="shared" si="5"/>
        <v>0</v>
      </c>
      <c r="S35" s="382"/>
      <c r="T35" s="383"/>
      <c r="U35" s="383"/>
      <c r="V35" s="381">
        <f t="shared" si="6"/>
        <v>0</v>
      </c>
      <c r="W35" s="382"/>
      <c r="X35" s="383">
        <f t="shared" si="7"/>
        <v>0</v>
      </c>
      <c r="Y35" s="384">
        <f t="shared" si="8"/>
        <v>0</v>
      </c>
      <c r="Z35" s="385">
        <f t="shared" si="10"/>
        <v>0</v>
      </c>
      <c r="AA35" s="367"/>
      <c r="AB35" s="368"/>
    </row>
    <row r="36" spans="1:31" ht="11.25" customHeight="1" x14ac:dyDescent="0.25">
      <c r="E36" s="478"/>
      <c r="G36" s="478"/>
      <c r="H36" s="325"/>
      <c r="I36" s="325"/>
      <c r="J36" s="325"/>
      <c r="K36" s="325"/>
      <c r="L36" s="325"/>
      <c r="M36" s="478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86"/>
      <c r="AE36" s="324"/>
    </row>
    <row r="37" spans="1:31" ht="11.25" customHeight="1" x14ac:dyDescent="0.25">
      <c r="A37" s="387" t="s">
        <v>188</v>
      </c>
      <c r="B37" s="388" t="s">
        <v>219</v>
      </c>
      <c r="E37" s="389">
        <f>SUM(E38:E63)</f>
        <v>556570.77</v>
      </c>
      <c r="F37" s="390">
        <f>SUM(F38:F63)</f>
        <v>0.99999999999999989</v>
      </c>
      <c r="G37" s="478"/>
      <c r="H37" s="325"/>
      <c r="I37" s="325"/>
      <c r="J37" s="325"/>
      <c r="K37" s="325"/>
      <c r="L37" s="325"/>
      <c r="M37" s="389">
        <f t="shared" ref="M37:V37" si="11">SUM(M38:M63)</f>
        <v>82268.621848412105</v>
      </c>
      <c r="N37" s="390">
        <f t="shared" si="11"/>
        <v>1</v>
      </c>
      <c r="O37" s="391">
        <f t="shared" si="11"/>
        <v>39862</v>
      </c>
      <c r="P37" s="392">
        <f t="shared" si="11"/>
        <v>2360</v>
      </c>
      <c r="Q37" s="392">
        <f t="shared" si="11"/>
        <v>44582</v>
      </c>
      <c r="R37" s="393">
        <f t="shared" si="11"/>
        <v>1</v>
      </c>
      <c r="S37" s="394">
        <f t="shared" si="11"/>
        <v>1402357</v>
      </c>
      <c r="T37" s="395">
        <f t="shared" si="11"/>
        <v>1885973</v>
      </c>
      <c r="U37" s="396">
        <f t="shared" si="11"/>
        <v>3288330</v>
      </c>
      <c r="V37" s="397">
        <f t="shared" si="11"/>
        <v>1.0000000000000002</v>
      </c>
      <c r="W37" s="325"/>
      <c r="X37" s="325"/>
      <c r="Y37" s="386"/>
      <c r="AE37" s="324"/>
    </row>
    <row r="38" spans="1:31" ht="11.25" customHeight="1" x14ac:dyDescent="0.25">
      <c r="A38" s="398">
        <v>11000</v>
      </c>
      <c r="B38" s="399" t="s">
        <v>220</v>
      </c>
      <c r="E38" s="400">
        <v>8531.3100000000013</v>
      </c>
      <c r="F38" s="401">
        <f>+E38/E$37</f>
        <v>1.5328347192936491E-2</v>
      </c>
      <c r="G38" s="478"/>
      <c r="H38" s="325"/>
      <c r="I38" s="325"/>
      <c r="J38" s="325"/>
      <c r="K38" s="325"/>
      <c r="L38" s="325"/>
      <c r="M38" s="400">
        <v>12575.772112831146</v>
      </c>
      <c r="N38" s="401">
        <f>M38/$M$37</f>
        <v>0.15286231652212703</v>
      </c>
      <c r="O38" s="402">
        <v>7411</v>
      </c>
      <c r="P38" s="403">
        <v>689.5</v>
      </c>
      <c r="Q38" s="403">
        <f>+O38+P38*2</f>
        <v>8790</v>
      </c>
      <c r="R38" s="404">
        <f>Q38/$Q$37</f>
        <v>0.19716477502130905</v>
      </c>
      <c r="S38" s="394">
        <v>246657</v>
      </c>
      <c r="T38" s="395">
        <v>491973</v>
      </c>
      <c r="U38" s="396">
        <f>+S38+T38</f>
        <v>738630</v>
      </c>
      <c r="V38" s="405">
        <f>+U38/U$37</f>
        <v>0.22462161644360512</v>
      </c>
      <c r="W38" s="325"/>
      <c r="X38" s="406" t="s">
        <v>232</v>
      </c>
      <c r="Y38" s="386"/>
      <c r="AE38" s="324"/>
    </row>
    <row r="39" spans="1:31" ht="11.25" customHeight="1" x14ac:dyDescent="0.25">
      <c r="A39" s="355">
        <v>12000</v>
      </c>
      <c r="B39" s="356" t="s">
        <v>74</v>
      </c>
      <c r="E39" s="400">
        <v>2520</v>
      </c>
      <c r="F39" s="401">
        <f t="shared" ref="F39:F63" si="12">+E39/E$37</f>
        <v>4.527726096719021E-3</v>
      </c>
      <c r="G39" s="478"/>
      <c r="H39" s="325"/>
      <c r="I39" s="325"/>
      <c r="J39" s="325"/>
      <c r="K39" s="325"/>
      <c r="L39" s="325"/>
      <c r="M39" s="400">
        <v>3269.9973175238292</v>
      </c>
      <c r="N39" s="401">
        <f t="shared" ref="N39:N63" si="13">M39/$M$37</f>
        <v>3.9747807171841482E-2</v>
      </c>
      <c r="O39" s="402">
        <v>548</v>
      </c>
      <c r="P39" s="403">
        <v>151</v>
      </c>
      <c r="Q39" s="403">
        <f t="shared" ref="Q39:Q63" si="14">+O39+P39*2</f>
        <v>850</v>
      </c>
      <c r="R39" s="404">
        <f t="shared" ref="R39:R63" si="15">Q39/$Q$37</f>
        <v>1.9065990758602127E-2</v>
      </c>
      <c r="S39" s="407">
        <v>24218</v>
      </c>
      <c r="T39" s="408">
        <v>24327</v>
      </c>
      <c r="U39" s="409">
        <f t="shared" ref="U39:U63" si="16">+S39+T39</f>
        <v>48545</v>
      </c>
      <c r="V39" s="401">
        <f t="shared" ref="V39:V63" si="17">+U39/U$37</f>
        <v>1.4762812734731611E-2</v>
      </c>
      <c r="W39" s="325"/>
      <c r="X39" s="826" t="s">
        <v>233</v>
      </c>
      <c r="Y39" s="826"/>
      <c r="Z39" s="826"/>
      <c r="AE39" s="324"/>
    </row>
    <row r="40" spans="1:31" ht="11.25" customHeight="1" x14ac:dyDescent="0.25">
      <c r="A40" s="355">
        <v>13000</v>
      </c>
      <c r="B40" s="356" t="s">
        <v>221</v>
      </c>
      <c r="E40" s="400">
        <v>33359.120000000003</v>
      </c>
      <c r="F40" s="401">
        <f t="shared" si="12"/>
        <v>5.993688816967517E-2</v>
      </c>
      <c r="G40" s="478"/>
      <c r="H40" s="325"/>
      <c r="I40" s="325"/>
      <c r="J40" s="325"/>
      <c r="K40" s="325"/>
      <c r="L40" s="325"/>
      <c r="M40" s="400">
        <v>2077.6025651076498</v>
      </c>
      <c r="N40" s="401">
        <f t="shared" si="13"/>
        <v>2.525388803687308E-2</v>
      </c>
      <c r="O40" s="402">
        <v>299</v>
      </c>
      <c r="P40" s="403">
        <v>27</v>
      </c>
      <c r="Q40" s="403">
        <f t="shared" si="14"/>
        <v>353</v>
      </c>
      <c r="R40" s="404">
        <f t="shared" si="15"/>
        <v>7.9179938091606481E-3</v>
      </c>
      <c r="S40" s="407">
        <v>37153</v>
      </c>
      <c r="T40" s="408">
        <v>24705</v>
      </c>
      <c r="U40" s="409">
        <f t="shared" si="16"/>
        <v>61858</v>
      </c>
      <c r="V40" s="401">
        <f t="shared" si="17"/>
        <v>1.8811372337934455E-2</v>
      </c>
      <c r="W40" s="325"/>
      <c r="X40" s="826"/>
      <c r="Y40" s="826"/>
      <c r="Z40" s="826"/>
    </row>
    <row r="41" spans="1:31" ht="11.25" customHeight="1" x14ac:dyDescent="0.25">
      <c r="A41" s="355">
        <v>14000</v>
      </c>
      <c r="B41" s="356" t="s">
        <v>75</v>
      </c>
      <c r="E41" s="400">
        <v>4675.7</v>
      </c>
      <c r="F41" s="401">
        <f t="shared" si="12"/>
        <v>8.4009082977893352E-3</v>
      </c>
      <c r="G41" s="478"/>
      <c r="H41" s="325"/>
      <c r="I41" s="325"/>
      <c r="J41" s="325"/>
      <c r="K41" s="325"/>
      <c r="L41" s="325"/>
      <c r="M41" s="400">
        <v>8191.1400287904971</v>
      </c>
      <c r="N41" s="401">
        <f t="shared" si="13"/>
        <v>9.9565786380662422E-2</v>
      </c>
      <c r="O41" s="402">
        <v>7129</v>
      </c>
      <c r="P41" s="403">
        <v>392.5</v>
      </c>
      <c r="Q41" s="403">
        <f t="shared" si="14"/>
        <v>7914</v>
      </c>
      <c r="R41" s="404">
        <f t="shared" si="15"/>
        <v>0.17751558925126731</v>
      </c>
      <c r="S41" s="407">
        <v>232288</v>
      </c>
      <c r="T41" s="408">
        <v>290733</v>
      </c>
      <c r="U41" s="409">
        <f t="shared" si="16"/>
        <v>523021</v>
      </c>
      <c r="V41" s="401">
        <f t="shared" si="17"/>
        <v>0.1590536837847783</v>
      </c>
      <c r="W41" s="325"/>
      <c r="X41" s="826"/>
      <c r="Y41" s="826"/>
      <c r="Z41" s="826"/>
    </row>
    <row r="42" spans="1:31" ht="11.25" customHeight="1" x14ac:dyDescent="0.25">
      <c r="A42" s="355">
        <v>15000</v>
      </c>
      <c r="B42" s="356" t="s">
        <v>76</v>
      </c>
      <c r="E42" s="400">
        <v>7372.93</v>
      </c>
      <c r="F42" s="401">
        <f t="shared" si="12"/>
        <v>1.3247066496143878E-2</v>
      </c>
      <c r="G42" s="478"/>
      <c r="H42" s="325"/>
      <c r="I42" s="325"/>
      <c r="J42" s="325"/>
      <c r="K42" s="325"/>
      <c r="L42" s="325"/>
      <c r="M42" s="400">
        <v>5190.0742995065621</v>
      </c>
      <c r="N42" s="401">
        <f t="shared" si="13"/>
        <v>6.3086924065286709E-2</v>
      </c>
      <c r="O42" s="402">
        <v>1819</v>
      </c>
      <c r="P42" s="403">
        <v>203.5</v>
      </c>
      <c r="Q42" s="403">
        <f t="shared" si="14"/>
        <v>2226</v>
      </c>
      <c r="R42" s="404">
        <f t="shared" si="15"/>
        <v>4.993046521017451E-2</v>
      </c>
      <c r="S42" s="407">
        <v>131165</v>
      </c>
      <c r="T42" s="408">
        <v>71507</v>
      </c>
      <c r="U42" s="409">
        <f t="shared" si="16"/>
        <v>202672</v>
      </c>
      <c r="V42" s="401">
        <f t="shared" si="17"/>
        <v>6.1633716810660731E-2</v>
      </c>
      <c r="W42" s="325"/>
      <c r="X42" s="826"/>
      <c r="Y42" s="826"/>
      <c r="Z42" s="826"/>
    </row>
    <row r="43" spans="1:31" ht="11.25" customHeight="1" x14ac:dyDescent="0.25">
      <c r="A43" s="355">
        <v>16000</v>
      </c>
      <c r="B43" s="356" t="s">
        <v>222</v>
      </c>
      <c r="E43" s="400">
        <v>0</v>
      </c>
      <c r="F43" s="401">
        <f t="shared" si="12"/>
        <v>0</v>
      </c>
      <c r="G43" s="478"/>
      <c r="H43" s="325"/>
      <c r="I43" s="325"/>
      <c r="J43" s="325"/>
      <c r="K43" s="325"/>
      <c r="L43" s="325"/>
      <c r="M43" s="400">
        <v>1599.0976459352291</v>
      </c>
      <c r="N43" s="401">
        <f t="shared" si="13"/>
        <v>1.9437515908334056E-2</v>
      </c>
      <c r="O43" s="402">
        <v>541</v>
      </c>
      <c r="P43" s="403">
        <v>42.5</v>
      </c>
      <c r="Q43" s="403">
        <f t="shared" si="14"/>
        <v>626</v>
      </c>
      <c r="R43" s="404">
        <f t="shared" si="15"/>
        <v>1.404154142927639E-2</v>
      </c>
      <c r="S43" s="407">
        <v>4977</v>
      </c>
      <c r="T43" s="408">
        <v>16460</v>
      </c>
      <c r="U43" s="409">
        <f t="shared" si="16"/>
        <v>21437</v>
      </c>
      <c r="V43" s="401">
        <f t="shared" si="17"/>
        <v>6.5191145657522206E-3</v>
      </c>
      <c r="W43" s="325"/>
      <c r="X43" s="826"/>
      <c r="Y43" s="826"/>
      <c r="Z43" s="826"/>
    </row>
    <row r="44" spans="1:31" ht="11.25" customHeight="1" x14ac:dyDescent="0.25">
      <c r="A44" s="355">
        <v>17000</v>
      </c>
      <c r="B44" s="356" t="s">
        <v>77</v>
      </c>
      <c r="E44" s="400">
        <v>28971.89</v>
      </c>
      <c r="F44" s="401">
        <f t="shared" si="12"/>
        <v>5.2054278739790807E-2</v>
      </c>
      <c r="G44" s="478"/>
      <c r="H44" s="325"/>
      <c r="I44" s="325"/>
      <c r="J44" s="325"/>
      <c r="K44" s="325"/>
      <c r="L44" s="325"/>
      <c r="M44" s="400">
        <v>3102.8965400427919</v>
      </c>
      <c r="N44" s="401">
        <f t="shared" si="13"/>
        <v>3.7716646642752552E-2</v>
      </c>
      <c r="O44" s="402">
        <v>647</v>
      </c>
      <c r="P44" s="403">
        <v>62.5</v>
      </c>
      <c r="Q44" s="403">
        <f t="shared" si="14"/>
        <v>772</v>
      </c>
      <c r="R44" s="404">
        <f t="shared" si="15"/>
        <v>1.7316405724283342E-2</v>
      </c>
      <c r="S44" s="407">
        <v>34472</v>
      </c>
      <c r="T44" s="408">
        <v>32467</v>
      </c>
      <c r="U44" s="409">
        <f t="shared" si="16"/>
        <v>66939</v>
      </c>
      <c r="V44" s="401">
        <f t="shared" si="17"/>
        <v>2.0356533559587997E-2</v>
      </c>
      <c r="W44" s="325"/>
      <c r="X44" s="826"/>
      <c r="Y44" s="826"/>
      <c r="Z44" s="826"/>
    </row>
    <row r="45" spans="1:31" ht="11.25" customHeight="1" x14ac:dyDescent="0.25">
      <c r="A45" s="355">
        <v>18000</v>
      </c>
      <c r="B45" s="356" t="s">
        <v>78</v>
      </c>
      <c r="E45" s="400">
        <v>13085.46</v>
      </c>
      <c r="F45" s="401">
        <f t="shared" si="12"/>
        <v>2.351086457522733E-2</v>
      </c>
      <c r="G45" s="478"/>
      <c r="H45" s="325"/>
      <c r="I45" s="325"/>
      <c r="J45" s="325"/>
      <c r="K45" s="325"/>
      <c r="L45" s="325"/>
      <c r="M45" s="400">
        <v>1974.2578250890394</v>
      </c>
      <c r="N45" s="401">
        <f t="shared" si="13"/>
        <v>2.3997701441101086E-2</v>
      </c>
      <c r="O45" s="402">
        <v>282</v>
      </c>
      <c r="P45" s="403">
        <v>26</v>
      </c>
      <c r="Q45" s="403">
        <f t="shared" si="14"/>
        <v>334</v>
      </c>
      <c r="R45" s="404">
        <f t="shared" si="15"/>
        <v>7.4918128392624829E-3</v>
      </c>
      <c r="S45" s="407">
        <v>37636</v>
      </c>
      <c r="T45" s="408">
        <v>34666</v>
      </c>
      <c r="U45" s="409">
        <f t="shared" si="16"/>
        <v>72302</v>
      </c>
      <c r="V45" s="401">
        <f t="shared" si="17"/>
        <v>2.1987452597519105E-2</v>
      </c>
      <c r="W45" s="325"/>
      <c r="X45" s="826"/>
      <c r="Y45" s="826"/>
      <c r="Z45" s="826"/>
    </row>
    <row r="46" spans="1:31" ht="11.25" customHeight="1" x14ac:dyDescent="0.25">
      <c r="A46" s="355">
        <v>19000</v>
      </c>
      <c r="B46" s="356" t="s">
        <v>79</v>
      </c>
      <c r="E46" s="400">
        <v>23705.3</v>
      </c>
      <c r="F46" s="401">
        <f t="shared" si="12"/>
        <v>4.2591708508156113E-2</v>
      </c>
      <c r="G46" s="478"/>
      <c r="H46" s="325"/>
      <c r="I46" s="325"/>
      <c r="J46" s="325"/>
      <c r="K46" s="325"/>
      <c r="L46" s="325"/>
      <c r="M46" s="400">
        <v>1465.5916998067698</v>
      </c>
      <c r="N46" s="401">
        <f t="shared" si="13"/>
        <v>1.7814710722968769E-2</v>
      </c>
      <c r="O46" s="402">
        <v>404</v>
      </c>
      <c r="P46" s="403">
        <v>43.5</v>
      </c>
      <c r="Q46" s="403">
        <f t="shared" si="14"/>
        <v>491</v>
      </c>
      <c r="R46" s="404">
        <f t="shared" si="15"/>
        <v>1.1013413485263111E-2</v>
      </c>
      <c r="S46" s="407">
        <v>14022</v>
      </c>
      <c r="T46" s="408">
        <v>4426</v>
      </c>
      <c r="U46" s="409">
        <f t="shared" si="16"/>
        <v>18448</v>
      </c>
      <c r="V46" s="401">
        <f t="shared" si="17"/>
        <v>5.610142534356345E-3</v>
      </c>
      <c r="W46" s="325"/>
      <c r="X46" s="325"/>
      <c r="Y46" s="386"/>
    </row>
    <row r="47" spans="1:31" ht="11.25" customHeight="1" x14ac:dyDescent="0.25">
      <c r="A47" s="355">
        <v>21000</v>
      </c>
      <c r="B47" s="356" t="s">
        <v>80</v>
      </c>
      <c r="E47" s="400">
        <v>38049.21</v>
      </c>
      <c r="F47" s="401">
        <f t="shared" si="12"/>
        <v>6.8363651220850127E-2</v>
      </c>
      <c r="G47" s="478"/>
      <c r="H47" s="325"/>
      <c r="I47" s="325"/>
      <c r="J47" s="325"/>
      <c r="K47" s="325"/>
      <c r="L47" s="325"/>
      <c r="M47" s="400">
        <v>6161.1068126040263</v>
      </c>
      <c r="N47" s="401">
        <f t="shared" si="13"/>
        <v>7.4890118178428486E-2</v>
      </c>
      <c r="O47" s="402">
        <v>3215</v>
      </c>
      <c r="P47" s="403">
        <v>83.5</v>
      </c>
      <c r="Q47" s="403">
        <f t="shared" si="14"/>
        <v>3382</v>
      </c>
      <c r="R47" s="404">
        <f t="shared" si="15"/>
        <v>7.5860212641873398E-2</v>
      </c>
      <c r="S47" s="407">
        <v>91061</v>
      </c>
      <c r="T47" s="408">
        <v>181255</v>
      </c>
      <c r="U47" s="409">
        <f t="shared" si="16"/>
        <v>272316</v>
      </c>
      <c r="V47" s="401">
        <f t="shared" si="17"/>
        <v>8.2812856373904078E-2</v>
      </c>
      <c r="W47" s="325"/>
      <c r="X47" s="325"/>
      <c r="Y47" s="386"/>
    </row>
    <row r="48" spans="1:31" ht="11.25" customHeight="1" x14ac:dyDescent="0.25">
      <c r="A48" s="355">
        <v>22000</v>
      </c>
      <c r="B48" s="356" t="s">
        <v>223</v>
      </c>
      <c r="E48" s="400">
        <v>159.69999999999999</v>
      </c>
      <c r="F48" s="401">
        <f t="shared" si="12"/>
        <v>2.8693565779604267E-4</v>
      </c>
      <c r="G48" s="478"/>
      <c r="H48" s="325"/>
      <c r="I48" s="325"/>
      <c r="J48" s="325"/>
      <c r="K48" s="325"/>
      <c r="L48" s="325"/>
      <c r="M48" s="400">
        <v>1746.2139647205017</v>
      </c>
      <c r="N48" s="401">
        <f t="shared" si="13"/>
        <v>2.1225759292991073E-2</v>
      </c>
      <c r="O48" s="402">
        <v>820</v>
      </c>
      <c r="P48" s="403">
        <v>72</v>
      </c>
      <c r="Q48" s="403">
        <f t="shared" si="14"/>
        <v>964</v>
      </c>
      <c r="R48" s="404">
        <f t="shared" si="15"/>
        <v>2.1623076577991118E-2</v>
      </c>
      <c r="S48" s="407">
        <v>12657</v>
      </c>
      <c r="T48" s="408">
        <v>38059</v>
      </c>
      <c r="U48" s="409">
        <f t="shared" si="16"/>
        <v>50716</v>
      </c>
      <c r="V48" s="401">
        <f t="shared" si="17"/>
        <v>1.5423026277776258E-2</v>
      </c>
      <c r="W48" s="325"/>
      <c r="X48" s="325"/>
      <c r="Y48" s="386"/>
    </row>
    <row r="49" spans="1:25" ht="11.25" customHeight="1" x14ac:dyDescent="0.25">
      <c r="A49" s="355">
        <v>23000</v>
      </c>
      <c r="B49" s="356" t="s">
        <v>224</v>
      </c>
      <c r="E49" s="400">
        <v>35210.639999999999</v>
      </c>
      <c r="F49" s="401">
        <f t="shared" si="12"/>
        <v>6.3263545083404218E-2</v>
      </c>
      <c r="G49" s="478"/>
      <c r="H49" s="325"/>
      <c r="I49" s="325"/>
      <c r="J49" s="325"/>
      <c r="K49" s="325"/>
      <c r="L49" s="325"/>
      <c r="M49" s="400">
        <v>3417.7948373863424</v>
      </c>
      <c r="N49" s="401">
        <f t="shared" si="13"/>
        <v>4.1544330761781323E-2</v>
      </c>
      <c r="O49" s="402">
        <v>691</v>
      </c>
      <c r="P49" s="403">
        <v>76.5</v>
      </c>
      <c r="Q49" s="403">
        <f t="shared" si="14"/>
        <v>844</v>
      </c>
      <c r="R49" s="404">
        <f t="shared" si="15"/>
        <v>1.8931407294423757E-2</v>
      </c>
      <c r="S49" s="407">
        <v>52281</v>
      </c>
      <c r="T49" s="408">
        <v>37891</v>
      </c>
      <c r="U49" s="409">
        <f t="shared" si="16"/>
        <v>90172</v>
      </c>
      <c r="V49" s="401">
        <f t="shared" si="17"/>
        <v>2.7421822019079594E-2</v>
      </c>
      <c r="W49" s="325"/>
      <c r="X49" s="325"/>
      <c r="Y49" s="386"/>
    </row>
    <row r="50" spans="1:25" ht="11.25" customHeight="1" x14ac:dyDescent="0.25">
      <c r="A50" s="355">
        <v>24000</v>
      </c>
      <c r="B50" s="356" t="s">
        <v>81</v>
      </c>
      <c r="E50" s="400">
        <v>14765.640000000001</v>
      </c>
      <c r="F50" s="401">
        <f t="shared" si="12"/>
        <v>2.6529672048713589E-2</v>
      </c>
      <c r="G50" s="478"/>
      <c r="H50" s="325"/>
      <c r="I50" s="325"/>
      <c r="J50" s="325"/>
      <c r="K50" s="325"/>
      <c r="L50" s="325"/>
      <c r="M50" s="400">
        <v>1640.921191070765</v>
      </c>
      <c r="N50" s="401">
        <f t="shared" si="13"/>
        <v>1.994589375879325E-2</v>
      </c>
      <c r="O50" s="402">
        <v>552</v>
      </c>
      <c r="P50" s="403">
        <v>48.5</v>
      </c>
      <c r="Q50" s="403">
        <f t="shared" si="14"/>
        <v>649</v>
      </c>
      <c r="R50" s="404">
        <f t="shared" si="15"/>
        <v>1.4557444708626801E-2</v>
      </c>
      <c r="S50" s="407">
        <v>34487</v>
      </c>
      <c r="T50" s="408">
        <v>28558</v>
      </c>
      <c r="U50" s="409">
        <f t="shared" si="16"/>
        <v>63045</v>
      </c>
      <c r="V50" s="401">
        <f t="shared" si="17"/>
        <v>1.917234584120207E-2</v>
      </c>
      <c r="W50" s="325"/>
      <c r="X50" s="325"/>
      <c r="Y50" s="386"/>
    </row>
    <row r="51" spans="1:25" ht="11.25" customHeight="1" x14ac:dyDescent="0.25">
      <c r="A51" s="355">
        <v>25000</v>
      </c>
      <c r="B51" s="356" t="s">
        <v>225</v>
      </c>
      <c r="E51" s="400">
        <v>3062.61</v>
      </c>
      <c r="F51" s="401">
        <f t="shared" si="12"/>
        <v>5.5026425480446985E-3</v>
      </c>
      <c r="G51" s="478"/>
      <c r="H51" s="325"/>
      <c r="I51" s="325"/>
      <c r="J51" s="325"/>
      <c r="K51" s="325"/>
      <c r="L51" s="325"/>
      <c r="M51" s="400">
        <v>2449.359345043837</v>
      </c>
      <c r="N51" s="401">
        <f t="shared" si="13"/>
        <v>2.9772704221993879E-2</v>
      </c>
      <c r="O51" s="402">
        <v>439</v>
      </c>
      <c r="P51" s="403">
        <v>28.5</v>
      </c>
      <c r="Q51" s="403">
        <f t="shared" si="14"/>
        <v>496</v>
      </c>
      <c r="R51" s="404">
        <f t="shared" si="15"/>
        <v>1.1125566372078417E-2</v>
      </c>
      <c r="S51" s="407">
        <v>31278</v>
      </c>
      <c r="T51" s="408">
        <v>28776</v>
      </c>
      <c r="U51" s="409">
        <f t="shared" si="16"/>
        <v>60054</v>
      </c>
      <c r="V51" s="401">
        <f t="shared" si="17"/>
        <v>1.8262765598343233E-2</v>
      </c>
      <c r="W51" s="325"/>
      <c r="X51" s="325"/>
      <c r="Y51" s="386"/>
    </row>
    <row r="52" spans="1:25" ht="11.25" customHeight="1" x14ac:dyDescent="0.25">
      <c r="A52" s="355">
        <v>26000</v>
      </c>
      <c r="B52" s="356" t="s">
        <v>226</v>
      </c>
      <c r="E52" s="400">
        <v>40323.339999999997</v>
      </c>
      <c r="F52" s="401">
        <f t="shared" si="12"/>
        <v>7.2449618581299183E-2</v>
      </c>
      <c r="G52" s="478"/>
      <c r="H52" s="325"/>
      <c r="I52" s="325"/>
      <c r="J52" s="325"/>
      <c r="K52" s="325"/>
      <c r="L52" s="325"/>
      <c r="M52" s="400">
        <v>5738.6638867076908</v>
      </c>
      <c r="N52" s="401">
        <f t="shared" si="13"/>
        <v>6.9755196547253873E-2</v>
      </c>
      <c r="O52" s="402">
        <v>4414</v>
      </c>
      <c r="P52" s="403">
        <v>86.5</v>
      </c>
      <c r="Q52" s="403">
        <f t="shared" si="14"/>
        <v>4587</v>
      </c>
      <c r="R52" s="404">
        <f t="shared" si="15"/>
        <v>0.1028890583643623</v>
      </c>
      <c r="S52" s="407">
        <v>97454</v>
      </c>
      <c r="T52" s="408">
        <v>82245</v>
      </c>
      <c r="U52" s="409">
        <f t="shared" si="16"/>
        <v>179699</v>
      </c>
      <c r="V52" s="401">
        <f t="shared" si="17"/>
        <v>5.4647495841354123E-2</v>
      </c>
      <c r="W52" s="325"/>
      <c r="X52" s="325"/>
      <c r="Y52" s="386"/>
    </row>
    <row r="53" spans="1:25" ht="11.25" customHeight="1" x14ac:dyDescent="0.25">
      <c r="A53" s="355">
        <v>27000</v>
      </c>
      <c r="B53" s="356" t="s">
        <v>82</v>
      </c>
      <c r="E53" s="400">
        <v>2584.9899999999998</v>
      </c>
      <c r="F53" s="401">
        <f t="shared" si="12"/>
        <v>4.6444947153800398E-3</v>
      </c>
      <c r="G53" s="478"/>
      <c r="H53" s="325"/>
      <c r="I53" s="325"/>
      <c r="J53" s="325"/>
      <c r="K53" s="325"/>
      <c r="L53" s="325"/>
      <c r="M53" s="400">
        <v>4198.4955954337593</v>
      </c>
      <c r="N53" s="401">
        <f t="shared" si="13"/>
        <v>5.1033984781827191E-2</v>
      </c>
      <c r="O53" s="402">
        <v>1299</v>
      </c>
      <c r="P53" s="403">
        <v>50</v>
      </c>
      <c r="Q53" s="403">
        <f t="shared" si="14"/>
        <v>1399</v>
      </c>
      <c r="R53" s="404">
        <f t="shared" si="15"/>
        <v>3.1380377730922795E-2</v>
      </c>
      <c r="S53" s="407">
        <v>39931</v>
      </c>
      <c r="T53" s="408">
        <v>96729</v>
      </c>
      <c r="U53" s="409">
        <f t="shared" si="16"/>
        <v>136660</v>
      </c>
      <c r="V53" s="401">
        <f t="shared" si="17"/>
        <v>4.1559089264155365E-2</v>
      </c>
      <c r="W53" s="325"/>
      <c r="X53" s="325"/>
      <c r="Y53" s="386"/>
    </row>
    <row r="54" spans="1:25" ht="11.25" customHeight="1" x14ac:dyDescent="0.25">
      <c r="A54" s="355">
        <v>28000</v>
      </c>
      <c r="B54" s="356" t="s">
        <v>227</v>
      </c>
      <c r="E54" s="400">
        <v>26376.48</v>
      </c>
      <c r="F54" s="401">
        <f t="shared" si="12"/>
        <v>4.7391062236344171E-2</v>
      </c>
      <c r="G54" s="478"/>
      <c r="H54" s="325"/>
      <c r="I54" s="325"/>
      <c r="J54" s="325"/>
      <c r="K54" s="325"/>
      <c r="L54" s="325"/>
      <c r="M54" s="400">
        <v>3025.1987131850274</v>
      </c>
      <c r="N54" s="401">
        <f t="shared" si="13"/>
        <v>3.6772206039372445E-2</v>
      </c>
      <c r="O54" s="402">
        <v>890</v>
      </c>
      <c r="P54" s="403">
        <v>90.5</v>
      </c>
      <c r="Q54" s="403">
        <f t="shared" si="14"/>
        <v>1071</v>
      </c>
      <c r="R54" s="404">
        <f t="shared" si="15"/>
        <v>2.4023148355838679E-2</v>
      </c>
      <c r="S54" s="407">
        <v>27786</v>
      </c>
      <c r="T54" s="408">
        <v>41032</v>
      </c>
      <c r="U54" s="409">
        <f t="shared" si="16"/>
        <v>68818</v>
      </c>
      <c r="V54" s="401">
        <f t="shared" si="17"/>
        <v>2.0927948229040271E-2</v>
      </c>
      <c r="W54" s="325"/>
      <c r="X54" s="325"/>
      <c r="Y54" s="386"/>
    </row>
    <row r="55" spans="1:25" ht="11.25" customHeight="1" x14ac:dyDescent="0.25">
      <c r="A55" s="355">
        <v>31000</v>
      </c>
      <c r="B55" s="356" t="s">
        <v>83</v>
      </c>
      <c r="E55" s="400">
        <v>208.25</v>
      </c>
      <c r="F55" s="401">
        <f t="shared" si="12"/>
        <v>3.7416625382608574E-4</v>
      </c>
      <c r="G55" s="478"/>
      <c r="H55" s="325"/>
      <c r="I55" s="325"/>
      <c r="J55" s="325"/>
      <c r="K55" s="325"/>
      <c r="L55" s="325"/>
      <c r="M55" s="400">
        <v>2742.4358916804445</v>
      </c>
      <c r="N55" s="401">
        <f t="shared" si="13"/>
        <v>3.3335138356075149E-2</v>
      </c>
      <c r="O55" s="402">
        <v>3356</v>
      </c>
      <c r="P55" s="403">
        <v>31</v>
      </c>
      <c r="Q55" s="403">
        <f t="shared" si="14"/>
        <v>3418</v>
      </c>
      <c r="R55" s="404">
        <f t="shared" si="15"/>
        <v>7.6667713426943604E-2</v>
      </c>
      <c r="S55" s="407">
        <v>116641</v>
      </c>
      <c r="T55" s="408">
        <v>118142</v>
      </c>
      <c r="U55" s="409">
        <f t="shared" si="16"/>
        <v>234783</v>
      </c>
      <c r="V55" s="401">
        <f t="shared" si="17"/>
        <v>7.1398855954238172E-2</v>
      </c>
      <c r="W55" s="325"/>
      <c r="X55" s="325"/>
      <c r="Y55" s="386"/>
    </row>
    <row r="56" spans="1:25" ht="11.25" customHeight="1" x14ac:dyDescent="0.25">
      <c r="A56" s="355">
        <v>41000</v>
      </c>
      <c r="B56" s="356" t="s">
        <v>228</v>
      </c>
      <c r="E56" s="400">
        <v>748</v>
      </c>
      <c r="F56" s="401">
        <f t="shared" si="12"/>
        <v>1.3439440953753284E-3</v>
      </c>
      <c r="G56" s="478"/>
      <c r="H56" s="325"/>
      <c r="I56" s="325"/>
      <c r="J56" s="325"/>
      <c r="K56" s="325"/>
      <c r="L56" s="325"/>
      <c r="M56" s="400">
        <v>5439.7926289224633</v>
      </c>
      <c r="N56" s="401">
        <f t="shared" si="13"/>
        <v>6.612232594519217E-2</v>
      </c>
      <c r="O56" s="402">
        <v>3022</v>
      </c>
      <c r="P56" s="403">
        <v>38</v>
      </c>
      <c r="Q56" s="403">
        <f t="shared" si="14"/>
        <v>3098</v>
      </c>
      <c r="R56" s="404">
        <f t="shared" si="15"/>
        <v>6.9489928670763992E-2</v>
      </c>
      <c r="S56" s="407">
        <v>65095</v>
      </c>
      <c r="T56" s="408">
        <v>150594</v>
      </c>
      <c r="U56" s="409">
        <f t="shared" si="16"/>
        <v>215689</v>
      </c>
      <c r="V56" s="401">
        <f t="shared" si="17"/>
        <v>6.5592261117345285E-2</v>
      </c>
      <c r="W56" s="325"/>
      <c r="X56" s="325"/>
      <c r="Y56" s="386"/>
    </row>
    <row r="57" spans="1:25" ht="11.25" customHeight="1" x14ac:dyDescent="0.25">
      <c r="A57" s="355">
        <v>43000</v>
      </c>
      <c r="B57" s="356" t="s">
        <v>84</v>
      </c>
      <c r="E57" s="400">
        <v>3527.76</v>
      </c>
      <c r="F57" s="401">
        <f t="shared" si="12"/>
        <v>6.3383853233974184E-3</v>
      </c>
      <c r="G57" s="478"/>
      <c r="H57" s="325"/>
      <c r="I57" s="325"/>
      <c r="J57" s="325"/>
      <c r="K57" s="325"/>
      <c r="L57" s="325"/>
      <c r="M57" s="400">
        <v>3150.7972846495441</v>
      </c>
      <c r="N57" s="401">
        <f t="shared" si="13"/>
        <v>3.8298894692258161E-2</v>
      </c>
      <c r="O57" s="402">
        <v>1564</v>
      </c>
      <c r="P57" s="403">
        <v>59</v>
      </c>
      <c r="Q57" s="403">
        <f t="shared" si="14"/>
        <v>1682</v>
      </c>
      <c r="R57" s="404">
        <f t="shared" si="15"/>
        <v>3.7728231124669151E-2</v>
      </c>
      <c r="S57" s="407">
        <v>39395</v>
      </c>
      <c r="T57" s="408">
        <v>58861</v>
      </c>
      <c r="U57" s="409">
        <f t="shared" si="16"/>
        <v>98256</v>
      </c>
      <c r="V57" s="401">
        <f t="shared" si="17"/>
        <v>2.9880212752369743E-2</v>
      </c>
      <c r="W57" s="325"/>
      <c r="X57" s="325"/>
      <c r="Y57" s="386"/>
    </row>
    <row r="58" spans="1:25" ht="11.25" customHeight="1" x14ac:dyDescent="0.25">
      <c r="A58" s="355">
        <v>51000</v>
      </c>
      <c r="B58" s="356" t="s">
        <v>229</v>
      </c>
      <c r="E58" s="400">
        <v>94097.260000000009</v>
      </c>
      <c r="F58" s="401">
        <f t="shared" si="12"/>
        <v>0.16906611894117257</v>
      </c>
      <c r="G58" s="478"/>
      <c r="H58" s="325"/>
      <c r="I58" s="325"/>
      <c r="J58" s="325"/>
      <c r="K58" s="325"/>
      <c r="L58" s="325"/>
      <c r="M58" s="400">
        <v>1431.6600944335739</v>
      </c>
      <c r="N58" s="401">
        <f t="shared" si="13"/>
        <v>1.7402261789088266E-2</v>
      </c>
      <c r="O58" s="402">
        <v>207</v>
      </c>
      <c r="P58" s="403">
        <v>18</v>
      </c>
      <c r="Q58" s="403">
        <f t="shared" si="14"/>
        <v>243</v>
      </c>
      <c r="R58" s="404">
        <f t="shared" si="15"/>
        <v>5.4506302992239023E-3</v>
      </c>
      <c r="S58" s="407">
        <v>12810</v>
      </c>
      <c r="T58" s="408">
        <v>13038</v>
      </c>
      <c r="U58" s="409">
        <f t="shared" si="16"/>
        <v>25848</v>
      </c>
      <c r="V58" s="401">
        <f t="shared" si="17"/>
        <v>7.8605249473136813E-3</v>
      </c>
      <c r="W58" s="325"/>
      <c r="X58" s="325"/>
      <c r="Y58" s="386"/>
    </row>
    <row r="59" spans="1:25" ht="11.25" customHeight="1" x14ac:dyDescent="0.25">
      <c r="A59" s="355">
        <v>52000</v>
      </c>
      <c r="B59" s="356" t="s">
        <v>230</v>
      </c>
      <c r="E59" s="400">
        <v>35379.660000000003</v>
      </c>
      <c r="F59" s="401">
        <f t="shared" si="12"/>
        <v>6.3567226140891303E-2</v>
      </c>
      <c r="G59" s="478"/>
      <c r="H59" s="325"/>
      <c r="I59" s="325"/>
      <c r="J59" s="325"/>
      <c r="K59" s="325"/>
      <c r="L59" s="325"/>
      <c r="M59" s="400">
        <v>296.00148020173737</v>
      </c>
      <c r="N59" s="401">
        <f t="shared" si="13"/>
        <v>3.5979875868973315E-3</v>
      </c>
      <c r="O59" s="402">
        <v>45</v>
      </c>
      <c r="P59" s="403">
        <v>8</v>
      </c>
      <c r="Q59" s="403">
        <f t="shared" si="14"/>
        <v>61</v>
      </c>
      <c r="R59" s="404">
        <f t="shared" si="15"/>
        <v>1.3682652191467409E-3</v>
      </c>
      <c r="S59" s="407">
        <v>609</v>
      </c>
      <c r="T59" s="408">
        <v>5520</v>
      </c>
      <c r="U59" s="409">
        <f t="shared" si="16"/>
        <v>6129</v>
      </c>
      <c r="V59" s="401">
        <f t="shared" si="17"/>
        <v>1.8638640282453403E-3</v>
      </c>
      <c r="W59" s="325"/>
      <c r="X59" s="325"/>
      <c r="Y59" s="386"/>
    </row>
    <row r="60" spans="1:25" ht="11.25" customHeight="1" x14ac:dyDescent="0.25">
      <c r="A60" s="355">
        <v>53000</v>
      </c>
      <c r="B60" s="356" t="s">
        <v>231</v>
      </c>
      <c r="E60" s="400">
        <v>64089.17</v>
      </c>
      <c r="F60" s="401">
        <f t="shared" si="12"/>
        <v>0.11515008235161181</v>
      </c>
      <c r="G60" s="478"/>
      <c r="H60" s="325"/>
      <c r="I60" s="325"/>
      <c r="J60" s="325"/>
      <c r="K60" s="325"/>
      <c r="L60" s="325"/>
      <c r="M60" s="400">
        <v>398.81278817554562</v>
      </c>
      <c r="N60" s="401">
        <f t="shared" si="13"/>
        <v>4.8476901547031721E-3</v>
      </c>
      <c r="O60" s="402">
        <v>103</v>
      </c>
      <c r="P60" s="403">
        <v>8</v>
      </c>
      <c r="Q60" s="403">
        <f t="shared" si="14"/>
        <v>119</v>
      </c>
      <c r="R60" s="404">
        <f t="shared" si="15"/>
        <v>2.6692387062042977E-3</v>
      </c>
      <c r="S60" s="407">
        <v>9571</v>
      </c>
      <c r="T60" s="408">
        <v>9766</v>
      </c>
      <c r="U60" s="409">
        <f t="shared" si="16"/>
        <v>19337</v>
      </c>
      <c r="V60" s="401">
        <f t="shared" si="17"/>
        <v>5.8804925296427057E-3</v>
      </c>
      <c r="W60" s="325"/>
      <c r="X60" s="325"/>
      <c r="Y60" s="386"/>
    </row>
    <row r="61" spans="1:25" ht="11.25" customHeight="1" x14ac:dyDescent="0.25">
      <c r="A61" s="355">
        <v>54000</v>
      </c>
      <c r="B61" s="356" t="s">
        <v>85</v>
      </c>
      <c r="E61" s="400">
        <v>75766.350000000006</v>
      </c>
      <c r="F61" s="401">
        <f t="shared" si="12"/>
        <v>0.13613066672545523</v>
      </c>
      <c r="G61" s="478"/>
      <c r="H61" s="325"/>
      <c r="I61" s="325"/>
      <c r="J61" s="325"/>
      <c r="K61" s="325"/>
      <c r="L61" s="325"/>
      <c r="M61" s="400">
        <v>984.93729956333709</v>
      </c>
      <c r="N61" s="401">
        <f t="shared" si="13"/>
        <v>1.1972211001397098E-2</v>
      </c>
      <c r="O61" s="402">
        <v>165</v>
      </c>
      <c r="P61" s="403">
        <v>24</v>
      </c>
      <c r="Q61" s="403">
        <f t="shared" si="14"/>
        <v>213</v>
      </c>
      <c r="R61" s="404">
        <f t="shared" si="15"/>
        <v>4.777712978332062E-3</v>
      </c>
      <c r="S61" s="407">
        <v>8713</v>
      </c>
      <c r="T61" s="408">
        <v>4243</v>
      </c>
      <c r="U61" s="409">
        <f t="shared" si="16"/>
        <v>12956</v>
      </c>
      <c r="V61" s="401">
        <f t="shared" si="17"/>
        <v>3.9399938570642244E-3</v>
      </c>
      <c r="W61" s="325"/>
      <c r="X61" s="325"/>
      <c r="Y61" s="386"/>
    </row>
    <row r="62" spans="1:25" ht="11.25" customHeight="1" x14ac:dyDescent="0.25">
      <c r="A62" s="355">
        <v>55000</v>
      </c>
      <c r="B62" s="356" t="s">
        <v>86</v>
      </c>
      <c r="E62" s="400">
        <v>0</v>
      </c>
      <c r="F62" s="401">
        <f t="shared" si="12"/>
        <v>0</v>
      </c>
      <c r="G62" s="478"/>
      <c r="H62" s="325"/>
      <c r="I62" s="325"/>
      <c r="J62" s="325"/>
      <c r="K62" s="325"/>
      <c r="L62" s="325"/>
      <c r="M62" s="400"/>
      <c r="N62" s="401">
        <f t="shared" si="13"/>
        <v>0</v>
      </c>
      <c r="O62" s="402">
        <v>0</v>
      </c>
      <c r="P62" s="403">
        <v>0</v>
      </c>
      <c r="Q62" s="403">
        <f t="shared" si="14"/>
        <v>0</v>
      </c>
      <c r="R62" s="404">
        <f t="shared" si="15"/>
        <v>0</v>
      </c>
      <c r="S62" s="407"/>
      <c r="T62" s="408"/>
      <c r="U62" s="409">
        <f t="shared" si="16"/>
        <v>0</v>
      </c>
      <c r="V62" s="401">
        <f t="shared" si="17"/>
        <v>0</v>
      </c>
      <c r="W62" s="325"/>
      <c r="X62" s="325"/>
      <c r="Y62" s="386"/>
    </row>
    <row r="63" spans="1:25" ht="11.25" customHeight="1" x14ac:dyDescent="0.25">
      <c r="A63" s="410">
        <v>56000</v>
      </c>
      <c r="B63" s="411" t="s">
        <v>87</v>
      </c>
      <c r="E63" s="412">
        <v>0</v>
      </c>
      <c r="F63" s="413">
        <f t="shared" si="12"/>
        <v>0</v>
      </c>
      <c r="G63" s="478"/>
      <c r="H63" s="325"/>
      <c r="I63" s="325"/>
      <c r="J63" s="325"/>
      <c r="K63" s="325"/>
      <c r="L63" s="325"/>
      <c r="M63" s="412"/>
      <c r="N63" s="413">
        <f t="shared" si="13"/>
        <v>0</v>
      </c>
      <c r="O63" s="414">
        <v>0</v>
      </c>
      <c r="P63" s="415">
        <v>0</v>
      </c>
      <c r="Q63" s="415">
        <f t="shared" si="14"/>
        <v>0</v>
      </c>
      <c r="R63" s="416">
        <f t="shared" si="15"/>
        <v>0</v>
      </c>
      <c r="S63" s="417"/>
      <c r="T63" s="418"/>
      <c r="U63" s="419">
        <f t="shared" si="16"/>
        <v>0</v>
      </c>
      <c r="V63" s="413">
        <f t="shared" si="17"/>
        <v>0</v>
      </c>
      <c r="W63" s="325"/>
      <c r="X63" s="325"/>
      <c r="Y63" s="386"/>
    </row>
    <row r="64" spans="1:25" ht="11.25" customHeight="1" x14ac:dyDescent="0.25">
      <c r="B64" s="420"/>
      <c r="E64" s="478"/>
      <c r="G64" s="478"/>
      <c r="H64" s="325"/>
      <c r="I64" s="325"/>
      <c r="J64" s="325"/>
      <c r="K64" s="325"/>
      <c r="L64" s="325"/>
      <c r="M64" s="478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86"/>
    </row>
    <row r="65" spans="1:26" ht="15" x14ac:dyDescent="0.25">
      <c r="A65" s="387" t="s">
        <v>187</v>
      </c>
      <c r="B65" s="421" t="s">
        <v>219</v>
      </c>
      <c r="C65" s="422"/>
      <c r="D65" s="423"/>
      <c r="E65" s="422"/>
      <c r="F65" s="423"/>
      <c r="G65" s="389">
        <f t="shared" ref="G65:L65" si="18">SUM(G66:G91)</f>
        <v>8192119.1240999997</v>
      </c>
      <c r="H65" s="390">
        <f t="shared" si="18"/>
        <v>0.99999999999999989</v>
      </c>
      <c r="I65" s="391">
        <f t="shared" si="18"/>
        <v>2349.8000000000002</v>
      </c>
      <c r="J65" s="392">
        <f t="shared" si="18"/>
        <v>4284.7687500000011</v>
      </c>
      <c r="K65" s="392">
        <f t="shared" si="18"/>
        <v>12301.653124999999</v>
      </c>
      <c r="L65" s="393">
        <f t="shared" si="18"/>
        <v>1.0000000000000002</v>
      </c>
      <c r="M65" s="422"/>
      <c r="N65" s="423"/>
      <c r="O65" s="391">
        <f>SUM(O66:O91)</f>
        <v>38500</v>
      </c>
      <c r="P65" s="392">
        <f>SUM(P66:P91)</f>
        <v>2319.25</v>
      </c>
      <c r="Q65" s="392">
        <f>SUM(Q66:Q91)</f>
        <v>43138.5</v>
      </c>
      <c r="R65" s="393">
        <f>SUM(R66:R91)</f>
        <v>0.99999999999999978</v>
      </c>
      <c r="S65" s="394">
        <f>SUM(S66:S91)</f>
        <v>1464110</v>
      </c>
      <c r="T65" s="395">
        <f t="shared" ref="T65:V65" si="19">SUM(T66:T91)</f>
        <v>1667889</v>
      </c>
      <c r="U65" s="396">
        <f t="shared" si="19"/>
        <v>3131999</v>
      </c>
      <c r="V65" s="397">
        <f t="shared" si="19"/>
        <v>0.99999999999999978</v>
      </c>
      <c r="W65" s="389">
        <f>SUM(W66:W91)</f>
        <v>80342</v>
      </c>
      <c r="X65" s="390">
        <f>SUM(X66:X91)</f>
        <v>0.99999999999999989</v>
      </c>
      <c r="Y65" s="467"/>
      <c r="Z65" s="467"/>
    </row>
    <row r="66" spans="1:26" ht="11.25" customHeight="1" x14ac:dyDescent="0.2">
      <c r="A66" s="398">
        <v>11000</v>
      </c>
      <c r="B66" s="424" t="s">
        <v>220</v>
      </c>
      <c r="C66" s="422"/>
      <c r="D66" s="425"/>
      <c r="E66" s="422"/>
      <c r="F66" s="425"/>
      <c r="G66" s="400">
        <v>2321743.3322399994</v>
      </c>
      <c r="H66" s="401">
        <f>G66/$G$65</f>
        <v>0.28341181287388445</v>
      </c>
      <c r="I66" s="402">
        <v>581.34375</v>
      </c>
      <c r="J66" s="403">
        <v>897.52499999999998</v>
      </c>
      <c r="K66" s="403">
        <f t="shared" ref="K66:K91" si="20">I66*2.5+J66*1.5</f>
        <v>2799.6468749999999</v>
      </c>
      <c r="L66" s="404">
        <f>K66/$K$65</f>
        <v>0.22758297982816844</v>
      </c>
      <c r="M66" s="422"/>
      <c r="N66" s="425"/>
      <c r="O66" s="402">
        <v>7420</v>
      </c>
      <c r="P66" s="403">
        <v>658.5</v>
      </c>
      <c r="Q66" s="403">
        <f>+O66+P66*2</f>
        <v>8737</v>
      </c>
      <c r="R66" s="404">
        <f>Q66/$Q$65</f>
        <v>0.20253369959548895</v>
      </c>
      <c r="S66" s="394">
        <v>263033</v>
      </c>
      <c r="T66" s="395">
        <v>426645</v>
      </c>
      <c r="U66" s="396">
        <f>+S66+T66</f>
        <v>689678</v>
      </c>
      <c r="V66" s="405">
        <f>+U66/U$65</f>
        <v>0.2202037740114221</v>
      </c>
      <c r="W66" s="400">
        <v>11173</v>
      </c>
      <c r="X66" s="401">
        <f>W66/$W$65</f>
        <v>0.13906798436683179</v>
      </c>
      <c r="Y66" s="386"/>
    </row>
    <row r="67" spans="1:26" ht="11.25" customHeight="1" x14ac:dyDescent="0.2">
      <c r="A67" s="355">
        <v>12000</v>
      </c>
      <c r="B67" s="426" t="s">
        <v>74</v>
      </c>
      <c r="C67" s="422"/>
      <c r="D67" s="425"/>
      <c r="E67" s="422"/>
      <c r="F67" s="425"/>
      <c r="G67" s="400">
        <v>198452.46</v>
      </c>
      <c r="H67" s="401">
        <f t="shared" ref="H67:H91" si="21">G67/$G$65</f>
        <v>2.4224801543251767E-2</v>
      </c>
      <c r="I67" s="402">
        <v>51.162500000000001</v>
      </c>
      <c r="J67" s="403">
        <v>165.75624999999999</v>
      </c>
      <c r="K67" s="403">
        <f t="shared" si="20"/>
        <v>376.54062499999998</v>
      </c>
      <c r="L67" s="404">
        <f t="shared" ref="L67:L91" si="22">K67/$K$65</f>
        <v>3.0608945088426886E-2</v>
      </c>
      <c r="M67" s="422"/>
      <c r="N67" s="425"/>
      <c r="O67" s="402">
        <v>502</v>
      </c>
      <c r="P67" s="403">
        <v>141</v>
      </c>
      <c r="Q67" s="403">
        <f t="shared" ref="Q67:Q91" si="23">+O67+P67*2</f>
        <v>784</v>
      </c>
      <c r="R67" s="404">
        <f t="shared" ref="R67:R91" si="24">Q67/$Q$65</f>
        <v>1.8174020886215329E-2</v>
      </c>
      <c r="S67" s="407">
        <v>27104</v>
      </c>
      <c r="T67" s="408">
        <v>22707</v>
      </c>
      <c r="U67" s="409">
        <f t="shared" ref="U67:U91" si="25">+S67+T67</f>
        <v>49811</v>
      </c>
      <c r="V67" s="401">
        <f t="shared" ref="V67:V91" si="26">+U67/U$65</f>
        <v>1.5903900352458606E-2</v>
      </c>
      <c r="W67" s="400">
        <v>2937</v>
      </c>
      <c r="X67" s="401">
        <f t="shared" ref="X67:X91" si="27">W67/$W$65</f>
        <v>3.6556222150307432E-2</v>
      </c>
      <c r="Y67" s="386"/>
    </row>
    <row r="68" spans="1:26" ht="11.25" customHeight="1" x14ac:dyDescent="0.2">
      <c r="A68" s="355">
        <v>13000</v>
      </c>
      <c r="B68" s="426" t="s">
        <v>221</v>
      </c>
      <c r="C68" s="422"/>
      <c r="D68" s="425"/>
      <c r="E68" s="422"/>
      <c r="F68" s="425"/>
      <c r="G68" s="400">
        <v>47711</v>
      </c>
      <c r="H68" s="401">
        <f t="shared" si="21"/>
        <v>5.8240119897233081E-3</v>
      </c>
      <c r="I68" s="402">
        <v>35.475000000000001</v>
      </c>
      <c r="J68" s="403">
        <v>104.53125</v>
      </c>
      <c r="K68" s="403">
        <f t="shared" si="20"/>
        <v>245.484375</v>
      </c>
      <c r="L68" s="404">
        <f t="shared" si="22"/>
        <v>1.9955397254789693E-2</v>
      </c>
      <c r="M68" s="422"/>
      <c r="N68" s="425"/>
      <c r="O68" s="402">
        <v>296</v>
      </c>
      <c r="P68" s="403">
        <v>24</v>
      </c>
      <c r="Q68" s="403">
        <f t="shared" si="23"/>
        <v>344</v>
      </c>
      <c r="R68" s="404">
        <f t="shared" si="24"/>
        <v>7.9743152868087669E-3</v>
      </c>
      <c r="S68" s="407">
        <v>39411</v>
      </c>
      <c r="T68" s="408">
        <v>19936</v>
      </c>
      <c r="U68" s="409">
        <f t="shared" si="25"/>
        <v>59347</v>
      </c>
      <c r="V68" s="401">
        <f t="shared" si="26"/>
        <v>1.894860119687139E-2</v>
      </c>
      <c r="W68" s="400">
        <v>1860</v>
      </c>
      <c r="X68" s="401">
        <f t="shared" si="27"/>
        <v>2.3151029349530755E-2</v>
      </c>
      <c r="Y68" s="386"/>
    </row>
    <row r="69" spans="1:26" ht="11.25" customHeight="1" x14ac:dyDescent="0.2">
      <c r="A69" s="355">
        <v>14000</v>
      </c>
      <c r="B69" s="426" t="s">
        <v>75</v>
      </c>
      <c r="C69" s="422"/>
      <c r="D69" s="425"/>
      <c r="E69" s="422"/>
      <c r="F69" s="425"/>
      <c r="G69" s="400">
        <v>1027775.2730000002</v>
      </c>
      <c r="H69" s="401">
        <f t="shared" si="21"/>
        <v>0.12545902439045811</v>
      </c>
      <c r="I69" s="402">
        <v>215.11875000000001</v>
      </c>
      <c r="J69" s="403">
        <v>369.15625</v>
      </c>
      <c r="K69" s="403">
        <f t="shared" si="20"/>
        <v>1091.53125</v>
      </c>
      <c r="L69" s="404">
        <f t="shared" si="22"/>
        <v>8.8730452639876403E-2</v>
      </c>
      <c r="M69" s="422"/>
      <c r="N69" s="425"/>
      <c r="O69" s="402">
        <v>7060</v>
      </c>
      <c r="P69" s="403">
        <v>378</v>
      </c>
      <c r="Q69" s="403">
        <f t="shared" si="23"/>
        <v>7816</v>
      </c>
      <c r="R69" s="404">
        <f t="shared" si="24"/>
        <v>0.18118386128400385</v>
      </c>
      <c r="S69" s="407">
        <v>243775</v>
      </c>
      <c r="T69" s="408">
        <v>280934</v>
      </c>
      <c r="U69" s="409">
        <f t="shared" si="25"/>
        <v>524709</v>
      </c>
      <c r="V69" s="401">
        <f t="shared" si="26"/>
        <v>0.16753166268571607</v>
      </c>
      <c r="W69" s="400">
        <v>9608</v>
      </c>
      <c r="X69" s="401">
        <f t="shared" si="27"/>
        <v>0.1195887580592965</v>
      </c>
      <c r="Y69" s="386"/>
    </row>
    <row r="70" spans="1:26" ht="11.25" customHeight="1" x14ac:dyDescent="0.2">
      <c r="A70" s="355">
        <v>15000</v>
      </c>
      <c r="B70" s="426" t="s">
        <v>76</v>
      </c>
      <c r="C70" s="422"/>
      <c r="D70" s="425"/>
      <c r="E70" s="422"/>
      <c r="F70" s="425"/>
      <c r="G70" s="400">
        <v>492865</v>
      </c>
      <c r="H70" s="401">
        <f t="shared" si="21"/>
        <v>6.0163309704575008E-2</v>
      </c>
      <c r="I70" s="402">
        <v>134.1875</v>
      </c>
      <c r="J70" s="403">
        <v>238.58750000000001</v>
      </c>
      <c r="K70" s="403">
        <f t="shared" si="20"/>
        <v>693.35</v>
      </c>
      <c r="L70" s="404">
        <f t="shared" si="22"/>
        <v>5.636234357729869E-2</v>
      </c>
      <c r="M70" s="422"/>
      <c r="N70" s="425"/>
      <c r="O70" s="402">
        <v>1685</v>
      </c>
      <c r="P70" s="403">
        <v>240.5</v>
      </c>
      <c r="Q70" s="403">
        <f t="shared" si="23"/>
        <v>2166</v>
      </c>
      <c r="R70" s="404">
        <f t="shared" si="24"/>
        <v>5.0210368927987761E-2</v>
      </c>
      <c r="S70" s="407">
        <v>142319</v>
      </c>
      <c r="T70" s="408">
        <v>68850</v>
      </c>
      <c r="U70" s="409">
        <f t="shared" si="25"/>
        <v>211169</v>
      </c>
      <c r="V70" s="401">
        <f t="shared" si="26"/>
        <v>6.742307388987033E-2</v>
      </c>
      <c r="W70" s="400">
        <v>4819</v>
      </c>
      <c r="X70" s="401">
        <f t="shared" si="27"/>
        <v>5.9981080879241241E-2</v>
      </c>
      <c r="Y70" s="386"/>
    </row>
    <row r="71" spans="1:26" ht="11.25" customHeight="1" x14ac:dyDescent="0.2">
      <c r="A71" s="355">
        <v>16000</v>
      </c>
      <c r="B71" s="426" t="s">
        <v>222</v>
      </c>
      <c r="C71" s="422"/>
      <c r="D71" s="425"/>
      <c r="E71" s="422"/>
      <c r="F71" s="425"/>
      <c r="G71" s="400">
        <v>96676.760000000009</v>
      </c>
      <c r="H71" s="401">
        <f t="shared" si="21"/>
        <v>1.1801190697482818E-2</v>
      </c>
      <c r="I71" s="402">
        <v>32.174999999999997</v>
      </c>
      <c r="J71" s="403">
        <v>49.349999999999994</v>
      </c>
      <c r="K71" s="403">
        <f t="shared" si="20"/>
        <v>154.46249999999998</v>
      </c>
      <c r="L71" s="404">
        <f t="shared" si="22"/>
        <v>1.2556239265606832E-2</v>
      </c>
      <c r="M71" s="422"/>
      <c r="N71" s="425"/>
      <c r="O71" s="402">
        <v>506</v>
      </c>
      <c r="P71" s="403">
        <v>39</v>
      </c>
      <c r="Q71" s="403">
        <f t="shared" si="23"/>
        <v>584</v>
      </c>
      <c r="R71" s="404">
        <f t="shared" si="24"/>
        <v>1.3537791068303256E-2</v>
      </c>
      <c r="S71" s="407">
        <v>4864</v>
      </c>
      <c r="T71" s="408">
        <v>17902</v>
      </c>
      <c r="U71" s="409">
        <f t="shared" si="25"/>
        <v>22766</v>
      </c>
      <c r="V71" s="401">
        <f t="shared" si="26"/>
        <v>7.2688401241507421E-3</v>
      </c>
      <c r="W71" s="400">
        <v>667</v>
      </c>
      <c r="X71" s="401">
        <f t="shared" si="27"/>
        <v>8.3020089119016198E-3</v>
      </c>
      <c r="Y71" s="386"/>
    </row>
    <row r="72" spans="1:26" ht="11.25" customHeight="1" x14ac:dyDescent="0.2">
      <c r="A72" s="355">
        <v>17000</v>
      </c>
      <c r="B72" s="426" t="s">
        <v>77</v>
      </c>
      <c r="C72" s="422"/>
      <c r="D72" s="425"/>
      <c r="E72" s="422"/>
      <c r="F72" s="425"/>
      <c r="G72" s="400">
        <v>97409.331260000006</v>
      </c>
      <c r="H72" s="401">
        <f t="shared" si="21"/>
        <v>1.1890614599760421E-2</v>
      </c>
      <c r="I72" s="402">
        <v>47.524999999999999</v>
      </c>
      <c r="J72" s="403">
        <v>123.825</v>
      </c>
      <c r="K72" s="403">
        <f t="shared" si="20"/>
        <v>304.55</v>
      </c>
      <c r="L72" s="404">
        <f t="shared" si="22"/>
        <v>2.4756835272901588E-2</v>
      </c>
      <c r="M72" s="422"/>
      <c r="N72" s="425"/>
      <c r="O72" s="402">
        <v>573</v>
      </c>
      <c r="P72" s="403">
        <v>61</v>
      </c>
      <c r="Q72" s="403">
        <f t="shared" si="23"/>
        <v>695</v>
      </c>
      <c r="R72" s="404">
        <f t="shared" si="24"/>
        <v>1.6110898617244455E-2</v>
      </c>
      <c r="S72" s="407">
        <v>29940</v>
      </c>
      <c r="T72" s="408">
        <v>25794</v>
      </c>
      <c r="U72" s="409">
        <f t="shared" si="25"/>
        <v>55734</v>
      </c>
      <c r="V72" s="401">
        <f t="shared" si="26"/>
        <v>1.7795024838769106E-2</v>
      </c>
      <c r="W72" s="400">
        <v>2621</v>
      </c>
      <c r="X72" s="401">
        <f t="shared" si="27"/>
        <v>3.2623036518881779E-2</v>
      </c>
      <c r="Y72" s="386"/>
    </row>
    <row r="73" spans="1:26" ht="11.25" customHeight="1" x14ac:dyDescent="0.2">
      <c r="A73" s="355">
        <v>18000</v>
      </c>
      <c r="B73" s="426" t="s">
        <v>78</v>
      </c>
      <c r="C73" s="422"/>
      <c r="D73" s="425"/>
      <c r="E73" s="422"/>
      <c r="F73" s="425"/>
      <c r="G73" s="400">
        <v>21789</v>
      </c>
      <c r="H73" s="401">
        <f t="shared" si="21"/>
        <v>2.6597513622452088E-3</v>
      </c>
      <c r="I73" s="402">
        <v>34.362499999999997</v>
      </c>
      <c r="J73" s="403">
        <v>72.125</v>
      </c>
      <c r="K73" s="403">
        <f t="shared" si="20"/>
        <v>194.09375</v>
      </c>
      <c r="L73" s="404">
        <f t="shared" si="22"/>
        <v>1.5777859124116705E-2</v>
      </c>
      <c r="M73" s="422"/>
      <c r="N73" s="425"/>
      <c r="O73" s="402">
        <v>260</v>
      </c>
      <c r="P73" s="403">
        <v>25.5</v>
      </c>
      <c r="Q73" s="403">
        <f t="shared" si="23"/>
        <v>311</v>
      </c>
      <c r="R73" s="404">
        <f t="shared" si="24"/>
        <v>7.2093373668532749E-3</v>
      </c>
      <c r="S73" s="407">
        <v>39075</v>
      </c>
      <c r="T73" s="408">
        <v>23440</v>
      </c>
      <c r="U73" s="409">
        <f t="shared" si="25"/>
        <v>62515</v>
      </c>
      <c r="V73" s="401">
        <f t="shared" si="26"/>
        <v>1.9960095772699801E-2</v>
      </c>
      <c r="W73" s="400">
        <v>2083</v>
      </c>
      <c r="X73" s="401">
        <f t="shared" si="27"/>
        <v>2.5926663513479872E-2</v>
      </c>
      <c r="Y73" s="386"/>
    </row>
    <row r="74" spans="1:26" ht="11.25" customHeight="1" x14ac:dyDescent="0.2">
      <c r="A74" s="355">
        <v>19000</v>
      </c>
      <c r="B74" s="426" t="s">
        <v>79</v>
      </c>
      <c r="C74" s="422"/>
      <c r="D74" s="425"/>
      <c r="E74" s="422"/>
      <c r="F74" s="425"/>
      <c r="G74" s="400">
        <v>23307</v>
      </c>
      <c r="H74" s="401">
        <f t="shared" si="21"/>
        <v>2.8450514020766939E-3</v>
      </c>
      <c r="I74" s="402">
        <v>21.125</v>
      </c>
      <c r="J74" s="403">
        <v>54.3</v>
      </c>
      <c r="K74" s="403">
        <f t="shared" si="20"/>
        <v>134.26249999999999</v>
      </c>
      <c r="L74" s="404">
        <f t="shared" si="22"/>
        <v>1.0914183535800193E-2</v>
      </c>
      <c r="M74" s="422"/>
      <c r="N74" s="425"/>
      <c r="O74" s="402">
        <v>443</v>
      </c>
      <c r="P74" s="403">
        <v>41</v>
      </c>
      <c r="Q74" s="403">
        <f t="shared" si="23"/>
        <v>525</v>
      </c>
      <c r="R74" s="404">
        <f t="shared" si="24"/>
        <v>1.2170103272019193E-2</v>
      </c>
      <c r="S74" s="407">
        <v>18183</v>
      </c>
      <c r="T74" s="408">
        <v>4691</v>
      </c>
      <c r="U74" s="409">
        <f t="shared" si="25"/>
        <v>22874</v>
      </c>
      <c r="V74" s="401">
        <f t="shared" si="26"/>
        <v>7.3033228937812557E-3</v>
      </c>
      <c r="W74" s="400">
        <v>1614</v>
      </c>
      <c r="X74" s="401">
        <f t="shared" si="27"/>
        <v>2.008911901620572E-2</v>
      </c>
      <c r="Y74" s="386"/>
    </row>
    <row r="75" spans="1:26" ht="11.25" customHeight="1" x14ac:dyDescent="0.2">
      <c r="A75" s="355">
        <v>21000</v>
      </c>
      <c r="B75" s="426" t="s">
        <v>80</v>
      </c>
      <c r="C75" s="422"/>
      <c r="D75" s="425"/>
      <c r="E75" s="422"/>
      <c r="F75" s="425"/>
      <c r="G75" s="400">
        <v>1032408</v>
      </c>
      <c r="H75" s="401">
        <f t="shared" si="21"/>
        <v>0.12602453459969945</v>
      </c>
      <c r="I75" s="402">
        <v>305.75</v>
      </c>
      <c r="J75" s="403">
        <v>483.75</v>
      </c>
      <c r="K75" s="403">
        <f t="shared" si="20"/>
        <v>1490</v>
      </c>
      <c r="L75" s="404">
        <f t="shared" si="22"/>
        <v>0.12112193254514321</v>
      </c>
      <c r="M75" s="422"/>
      <c r="N75" s="425"/>
      <c r="O75" s="402">
        <v>3129</v>
      </c>
      <c r="P75" s="403">
        <v>84</v>
      </c>
      <c r="Q75" s="403">
        <f t="shared" si="23"/>
        <v>3297</v>
      </c>
      <c r="R75" s="404">
        <f t="shared" si="24"/>
        <v>7.6428248548280536E-2</v>
      </c>
      <c r="S75" s="407">
        <v>94242</v>
      </c>
      <c r="T75" s="408">
        <v>138035</v>
      </c>
      <c r="U75" s="409">
        <f t="shared" si="25"/>
        <v>232277</v>
      </c>
      <c r="V75" s="401">
        <f t="shared" si="26"/>
        <v>7.4162539643211886E-2</v>
      </c>
      <c r="W75" s="400">
        <v>5432</v>
      </c>
      <c r="X75" s="401">
        <f t="shared" si="27"/>
        <v>6.7610963132608101E-2</v>
      </c>
      <c r="Y75" s="386"/>
    </row>
    <row r="76" spans="1:26" ht="11.25" customHeight="1" x14ac:dyDescent="0.2">
      <c r="A76" s="355">
        <v>22000</v>
      </c>
      <c r="B76" s="426" t="s">
        <v>223</v>
      </c>
      <c r="C76" s="422"/>
      <c r="D76" s="425"/>
      <c r="E76" s="422"/>
      <c r="F76" s="425"/>
      <c r="G76" s="400">
        <v>472991.24059999996</v>
      </c>
      <c r="H76" s="401">
        <f t="shared" si="21"/>
        <v>5.7737348961214428E-2</v>
      </c>
      <c r="I76" s="402">
        <v>72.674999999999997</v>
      </c>
      <c r="J76" s="403">
        <v>108.30624999999999</v>
      </c>
      <c r="K76" s="403">
        <f t="shared" si="20"/>
        <v>344.14687500000002</v>
      </c>
      <c r="L76" s="404">
        <f t="shared" si="22"/>
        <v>2.797566079152472E-2</v>
      </c>
      <c r="M76" s="422"/>
      <c r="N76" s="425"/>
      <c r="O76" s="402">
        <v>789</v>
      </c>
      <c r="P76" s="403">
        <v>62.5</v>
      </c>
      <c r="Q76" s="403">
        <f t="shared" si="23"/>
        <v>914</v>
      </c>
      <c r="R76" s="404">
        <f t="shared" si="24"/>
        <v>2.1187570267858179E-2</v>
      </c>
      <c r="S76" s="407">
        <v>12165</v>
      </c>
      <c r="T76" s="408">
        <v>30112</v>
      </c>
      <c r="U76" s="409">
        <f t="shared" si="25"/>
        <v>42277</v>
      </c>
      <c r="V76" s="401">
        <f t="shared" si="26"/>
        <v>1.3498407885826272E-2</v>
      </c>
      <c r="W76" s="400">
        <v>1135</v>
      </c>
      <c r="X76" s="401">
        <f t="shared" si="27"/>
        <v>1.4127106619202908E-2</v>
      </c>
      <c r="Y76" s="386"/>
    </row>
    <row r="77" spans="1:26" ht="11.25" customHeight="1" x14ac:dyDescent="0.2">
      <c r="A77" s="355">
        <v>23000</v>
      </c>
      <c r="B77" s="426" t="s">
        <v>224</v>
      </c>
      <c r="C77" s="422"/>
      <c r="D77" s="425"/>
      <c r="E77" s="422"/>
      <c r="F77" s="425"/>
      <c r="G77" s="400">
        <v>355051</v>
      </c>
      <c r="H77" s="401">
        <f t="shared" si="21"/>
        <v>4.3340556286039909E-2</v>
      </c>
      <c r="I77" s="402">
        <v>70.05</v>
      </c>
      <c r="J77" s="403">
        <v>179.16250000000002</v>
      </c>
      <c r="K77" s="403">
        <f t="shared" si="20"/>
        <v>443.86875000000003</v>
      </c>
      <c r="L77" s="404">
        <f t="shared" si="22"/>
        <v>3.6082040802951035E-2</v>
      </c>
      <c r="M77" s="422"/>
      <c r="N77" s="425"/>
      <c r="O77" s="402">
        <v>579</v>
      </c>
      <c r="P77" s="403">
        <v>66.5</v>
      </c>
      <c r="Q77" s="403">
        <f t="shared" si="23"/>
        <v>712</v>
      </c>
      <c r="R77" s="404">
        <f t="shared" si="24"/>
        <v>1.6504978151766984E-2</v>
      </c>
      <c r="S77" s="407">
        <v>57203</v>
      </c>
      <c r="T77" s="408">
        <v>39684</v>
      </c>
      <c r="U77" s="409">
        <f t="shared" si="25"/>
        <v>96887</v>
      </c>
      <c r="V77" s="401">
        <f t="shared" si="26"/>
        <v>3.0934556492514843E-2</v>
      </c>
      <c r="W77" s="400">
        <v>3249</v>
      </c>
      <c r="X77" s="401">
        <f t="shared" si="27"/>
        <v>4.0439620621841629E-2</v>
      </c>
      <c r="Y77" s="386"/>
    </row>
    <row r="78" spans="1:26" ht="11.25" customHeight="1" x14ac:dyDescent="0.2">
      <c r="A78" s="355">
        <v>24000</v>
      </c>
      <c r="B78" s="426" t="s">
        <v>81</v>
      </c>
      <c r="C78" s="422"/>
      <c r="D78" s="425"/>
      <c r="E78" s="422"/>
      <c r="F78" s="425"/>
      <c r="G78" s="400">
        <v>145804.20699999999</v>
      </c>
      <c r="H78" s="401">
        <f t="shared" si="21"/>
        <v>1.7798106300855127E-2</v>
      </c>
      <c r="I78" s="402">
        <v>54.4</v>
      </c>
      <c r="J78" s="403">
        <v>97.9</v>
      </c>
      <c r="K78" s="403">
        <f t="shared" si="20"/>
        <v>282.85000000000002</v>
      </c>
      <c r="L78" s="404">
        <f t="shared" si="22"/>
        <v>2.2992844711673663E-2</v>
      </c>
      <c r="M78" s="422"/>
      <c r="N78" s="425"/>
      <c r="O78" s="402">
        <v>525</v>
      </c>
      <c r="P78" s="403">
        <v>50</v>
      </c>
      <c r="Q78" s="403">
        <f t="shared" si="23"/>
        <v>625</v>
      </c>
      <c r="R78" s="404">
        <f t="shared" si="24"/>
        <v>1.448821818097523E-2</v>
      </c>
      <c r="S78" s="407">
        <v>35057</v>
      </c>
      <c r="T78" s="408">
        <v>24900</v>
      </c>
      <c r="U78" s="409">
        <f t="shared" si="25"/>
        <v>59957</v>
      </c>
      <c r="V78" s="401">
        <f t="shared" si="26"/>
        <v>1.9143364988302998E-2</v>
      </c>
      <c r="W78" s="400">
        <v>1729</v>
      </c>
      <c r="X78" s="401">
        <f t="shared" si="27"/>
        <v>2.152049986308531E-2</v>
      </c>
      <c r="Y78" s="386"/>
    </row>
    <row r="79" spans="1:26" ht="11.25" customHeight="1" x14ac:dyDescent="0.2">
      <c r="A79" s="355">
        <v>25000</v>
      </c>
      <c r="B79" s="426" t="s">
        <v>225</v>
      </c>
      <c r="C79" s="422"/>
      <c r="D79" s="425"/>
      <c r="E79" s="422"/>
      <c r="F79" s="425"/>
      <c r="G79" s="400">
        <v>117489</v>
      </c>
      <c r="H79" s="401">
        <f t="shared" si="21"/>
        <v>1.4341710395099698E-2</v>
      </c>
      <c r="I79" s="402">
        <v>62.618749999999999</v>
      </c>
      <c r="J79" s="403">
        <v>110.88124999999999</v>
      </c>
      <c r="K79" s="403">
        <f t="shared" si="20"/>
        <v>322.86874999999998</v>
      </c>
      <c r="L79" s="404">
        <f t="shared" si="22"/>
        <v>2.6245964401634028E-2</v>
      </c>
      <c r="M79" s="422"/>
      <c r="N79" s="425"/>
      <c r="O79" s="402">
        <v>404</v>
      </c>
      <c r="P79" s="403">
        <v>26.5</v>
      </c>
      <c r="Q79" s="403">
        <f t="shared" si="23"/>
        <v>457</v>
      </c>
      <c r="R79" s="404">
        <f t="shared" si="24"/>
        <v>1.059378513392909E-2</v>
      </c>
      <c r="S79" s="407">
        <v>28894</v>
      </c>
      <c r="T79" s="408">
        <v>29517</v>
      </c>
      <c r="U79" s="409">
        <f t="shared" si="25"/>
        <v>58411</v>
      </c>
      <c r="V79" s="401">
        <f t="shared" si="26"/>
        <v>1.8649750526740269E-2</v>
      </c>
      <c r="W79" s="400">
        <v>2225</v>
      </c>
      <c r="X79" s="401">
        <f t="shared" si="27"/>
        <v>2.7694107689626844E-2</v>
      </c>
      <c r="Y79" s="386"/>
    </row>
    <row r="80" spans="1:26" ht="11.25" customHeight="1" x14ac:dyDescent="0.2">
      <c r="A80" s="355">
        <v>26000</v>
      </c>
      <c r="B80" s="426" t="s">
        <v>226</v>
      </c>
      <c r="C80" s="422"/>
      <c r="D80" s="425"/>
      <c r="E80" s="422"/>
      <c r="F80" s="425"/>
      <c r="G80" s="400">
        <v>671116</v>
      </c>
      <c r="H80" s="401">
        <f t="shared" si="21"/>
        <v>8.1922148571506523E-2</v>
      </c>
      <c r="I80" s="402">
        <v>177.49374999999998</v>
      </c>
      <c r="J80" s="403">
        <v>310.80624999999998</v>
      </c>
      <c r="K80" s="403">
        <f t="shared" si="20"/>
        <v>909.94374999999991</v>
      </c>
      <c r="L80" s="404">
        <f t="shared" si="22"/>
        <v>7.3969225172734659E-2</v>
      </c>
      <c r="M80" s="422"/>
      <c r="N80" s="425"/>
      <c r="O80" s="402">
        <v>4140</v>
      </c>
      <c r="P80" s="403">
        <v>88.5</v>
      </c>
      <c r="Q80" s="403">
        <f t="shared" si="23"/>
        <v>4317</v>
      </c>
      <c r="R80" s="404">
        <f t="shared" si="24"/>
        <v>0.10007302061963212</v>
      </c>
      <c r="S80" s="407">
        <v>92446</v>
      </c>
      <c r="T80" s="408">
        <v>85043</v>
      </c>
      <c r="U80" s="409">
        <f t="shared" si="25"/>
        <v>177489</v>
      </c>
      <c r="V80" s="401">
        <f t="shared" si="26"/>
        <v>5.666955832361377E-2</v>
      </c>
      <c r="W80" s="400">
        <v>6020</v>
      </c>
      <c r="X80" s="401">
        <f t="shared" si="27"/>
        <v>7.4929675636653301E-2</v>
      </c>
      <c r="Y80" s="386"/>
    </row>
    <row r="81" spans="1:26" ht="11.25" customHeight="1" x14ac:dyDescent="0.2">
      <c r="A81" s="355">
        <v>27000</v>
      </c>
      <c r="B81" s="426" t="s">
        <v>82</v>
      </c>
      <c r="C81" s="422"/>
      <c r="D81" s="425"/>
      <c r="E81" s="422"/>
      <c r="F81" s="425"/>
      <c r="G81" s="400">
        <v>388330</v>
      </c>
      <c r="H81" s="401">
        <f t="shared" si="21"/>
        <v>4.7402875143452289E-2</v>
      </c>
      <c r="I81" s="402">
        <v>116.32499999999999</v>
      </c>
      <c r="J81" s="403">
        <v>239.46250000000001</v>
      </c>
      <c r="K81" s="403">
        <f t="shared" si="20"/>
        <v>650.00625000000002</v>
      </c>
      <c r="L81" s="404">
        <f t="shared" si="22"/>
        <v>5.2838935011021139E-2</v>
      </c>
      <c r="M81" s="422"/>
      <c r="N81" s="425"/>
      <c r="O81" s="402">
        <v>1370</v>
      </c>
      <c r="P81" s="403">
        <v>66.5</v>
      </c>
      <c r="Q81" s="403">
        <f t="shared" si="23"/>
        <v>1503</v>
      </c>
      <c r="R81" s="404">
        <f t="shared" si="24"/>
        <v>3.4841267081609235E-2</v>
      </c>
      <c r="S81" s="407">
        <v>38647</v>
      </c>
      <c r="T81" s="408">
        <v>80649</v>
      </c>
      <c r="U81" s="409">
        <f t="shared" si="25"/>
        <v>119296</v>
      </c>
      <c r="V81" s="401">
        <f t="shared" si="26"/>
        <v>3.8089411905942498E-2</v>
      </c>
      <c r="W81" s="400">
        <v>4800</v>
      </c>
      <c r="X81" s="401">
        <f t="shared" si="27"/>
        <v>5.9744591869756787E-2</v>
      </c>
      <c r="Y81" s="386"/>
    </row>
    <row r="82" spans="1:26" ht="11.25" customHeight="1" x14ac:dyDescent="0.2">
      <c r="A82" s="355">
        <v>28000</v>
      </c>
      <c r="B82" s="426" t="s">
        <v>227</v>
      </c>
      <c r="C82" s="422"/>
      <c r="D82" s="425"/>
      <c r="E82" s="422"/>
      <c r="F82" s="425"/>
      <c r="G82" s="400">
        <v>73496</v>
      </c>
      <c r="H82" s="401">
        <f t="shared" si="21"/>
        <v>8.9715492275723469E-3</v>
      </c>
      <c r="I82" s="402">
        <v>40.375</v>
      </c>
      <c r="J82" s="403">
        <v>105.53125</v>
      </c>
      <c r="K82" s="403">
        <f t="shared" si="20"/>
        <v>259.234375</v>
      </c>
      <c r="L82" s="404">
        <f t="shared" si="22"/>
        <v>2.1073133209484805E-2</v>
      </c>
      <c r="M82" s="422"/>
      <c r="N82" s="425"/>
      <c r="O82" s="402">
        <v>883</v>
      </c>
      <c r="P82" s="403">
        <v>83</v>
      </c>
      <c r="Q82" s="403">
        <f t="shared" si="23"/>
        <v>1049</v>
      </c>
      <c r="R82" s="404">
        <f t="shared" si="24"/>
        <v>2.4317025394948826E-2</v>
      </c>
      <c r="S82" s="407">
        <v>33521</v>
      </c>
      <c r="T82" s="408">
        <v>29833</v>
      </c>
      <c r="U82" s="409">
        <f t="shared" si="25"/>
        <v>63354</v>
      </c>
      <c r="V82" s="401">
        <f t="shared" si="26"/>
        <v>2.0227975807144256E-2</v>
      </c>
      <c r="W82" s="400">
        <v>3013</v>
      </c>
      <c r="X82" s="401">
        <f t="shared" si="27"/>
        <v>3.750217818824525E-2</v>
      </c>
      <c r="Y82" s="386"/>
    </row>
    <row r="83" spans="1:26" ht="11.25" customHeight="1" x14ac:dyDescent="0.2">
      <c r="A83" s="355">
        <v>31000</v>
      </c>
      <c r="B83" s="426" t="s">
        <v>83</v>
      </c>
      <c r="C83" s="422"/>
      <c r="D83" s="425"/>
      <c r="E83" s="422"/>
      <c r="F83" s="425"/>
      <c r="G83" s="400">
        <v>132477</v>
      </c>
      <c r="H83" s="401">
        <f t="shared" si="21"/>
        <v>1.6171273634226376E-2</v>
      </c>
      <c r="I83" s="402">
        <v>66.918750000000003</v>
      </c>
      <c r="J83" s="403">
        <v>140.88749999999999</v>
      </c>
      <c r="K83" s="403">
        <f t="shared" si="20"/>
        <v>378.62812499999995</v>
      </c>
      <c r="L83" s="404">
        <f t="shared" si="22"/>
        <v>3.0778637728821508E-2</v>
      </c>
      <c r="M83" s="422"/>
      <c r="N83" s="425"/>
      <c r="O83" s="402">
        <v>3297</v>
      </c>
      <c r="P83" s="403">
        <v>30</v>
      </c>
      <c r="Q83" s="403">
        <f t="shared" si="23"/>
        <v>3357</v>
      </c>
      <c r="R83" s="404">
        <f t="shared" si="24"/>
        <v>7.7819117493654166E-2</v>
      </c>
      <c r="S83" s="407">
        <v>115707</v>
      </c>
      <c r="T83" s="408">
        <v>105472</v>
      </c>
      <c r="U83" s="409">
        <f t="shared" si="25"/>
        <v>221179</v>
      </c>
      <c r="V83" s="401">
        <f t="shared" si="26"/>
        <v>7.0619115778772598E-2</v>
      </c>
      <c r="W83" s="400">
        <v>5246</v>
      </c>
      <c r="X83" s="401">
        <f t="shared" si="27"/>
        <v>6.5295860197655028E-2</v>
      </c>
      <c r="Y83" s="386"/>
    </row>
    <row r="84" spans="1:26" ht="11.25" customHeight="1" x14ac:dyDescent="0.2">
      <c r="A84" s="355">
        <v>41000</v>
      </c>
      <c r="B84" s="426" t="s">
        <v>228</v>
      </c>
      <c r="C84" s="422"/>
      <c r="D84" s="425"/>
      <c r="E84" s="422"/>
      <c r="F84" s="425"/>
      <c r="G84" s="400">
        <v>244829</v>
      </c>
      <c r="H84" s="401">
        <f t="shared" si="21"/>
        <v>2.9885917952505035E-2</v>
      </c>
      <c r="I84" s="402">
        <v>76.318749999999994</v>
      </c>
      <c r="J84" s="403">
        <v>149.19375000000002</v>
      </c>
      <c r="K84" s="403">
        <f t="shared" si="20"/>
        <v>414.58750000000003</v>
      </c>
      <c r="L84" s="404">
        <f t="shared" si="22"/>
        <v>3.370177128124803E-2</v>
      </c>
      <c r="M84" s="422"/>
      <c r="N84" s="425"/>
      <c r="O84" s="402">
        <v>2620</v>
      </c>
      <c r="P84" s="403">
        <v>30.5</v>
      </c>
      <c r="Q84" s="403">
        <f t="shared" si="23"/>
        <v>2681</v>
      </c>
      <c r="R84" s="404">
        <f t="shared" si="24"/>
        <v>6.2148660709111347E-2</v>
      </c>
      <c r="S84" s="407">
        <v>71092</v>
      </c>
      <c r="T84" s="408">
        <v>122681</v>
      </c>
      <c r="U84" s="409">
        <f t="shared" si="25"/>
        <v>193773</v>
      </c>
      <c r="V84" s="401">
        <f t="shared" si="26"/>
        <v>6.1868793700125706E-2</v>
      </c>
      <c r="W84" s="400">
        <v>6270</v>
      </c>
      <c r="X84" s="401">
        <f t="shared" si="27"/>
        <v>7.8041373129869807E-2</v>
      </c>
      <c r="Y84" s="386"/>
    </row>
    <row r="85" spans="1:26" ht="11.25" customHeight="1" x14ac:dyDescent="0.2">
      <c r="A85" s="355">
        <v>43000</v>
      </c>
      <c r="B85" s="426" t="s">
        <v>84</v>
      </c>
      <c r="C85" s="422"/>
      <c r="D85" s="425"/>
      <c r="E85" s="422"/>
      <c r="F85" s="425"/>
      <c r="G85" s="400">
        <v>163983</v>
      </c>
      <c r="H85" s="401">
        <f t="shared" si="21"/>
        <v>2.0017164974760478E-2</v>
      </c>
      <c r="I85" s="402">
        <v>67.074999999999989</v>
      </c>
      <c r="J85" s="403">
        <v>140.29374999999999</v>
      </c>
      <c r="K85" s="403">
        <f t="shared" si="20"/>
        <v>378.12812499999995</v>
      </c>
      <c r="L85" s="404">
        <f t="shared" si="22"/>
        <v>3.073799278501441E-2</v>
      </c>
      <c r="M85" s="422"/>
      <c r="N85" s="425"/>
      <c r="O85" s="402">
        <v>1496</v>
      </c>
      <c r="P85" s="403">
        <v>62</v>
      </c>
      <c r="Q85" s="403">
        <f t="shared" si="23"/>
        <v>1620</v>
      </c>
      <c r="R85" s="404">
        <f t="shared" si="24"/>
        <v>3.7553461525087796E-2</v>
      </c>
      <c r="S85" s="407">
        <v>45631</v>
      </c>
      <c r="T85" s="408">
        <v>59078</v>
      </c>
      <c r="U85" s="409">
        <f t="shared" si="25"/>
        <v>104709</v>
      </c>
      <c r="V85" s="401">
        <f t="shared" si="26"/>
        <v>3.3432003011495216E-2</v>
      </c>
      <c r="W85" s="400">
        <v>2914</v>
      </c>
      <c r="X85" s="401">
        <f t="shared" si="27"/>
        <v>3.6269945980931514E-2</v>
      </c>
      <c r="Y85" s="386"/>
    </row>
    <row r="86" spans="1:26" ht="11.25" customHeight="1" x14ac:dyDescent="0.2">
      <c r="A86" s="355">
        <v>51000</v>
      </c>
      <c r="B86" s="426" t="s">
        <v>229</v>
      </c>
      <c r="C86" s="422"/>
      <c r="D86" s="425"/>
      <c r="E86" s="422"/>
      <c r="F86" s="425"/>
      <c r="G86" s="400">
        <v>41819</v>
      </c>
      <c r="H86" s="401">
        <f t="shared" si="21"/>
        <v>5.104784167136279E-3</v>
      </c>
      <c r="I86" s="402">
        <v>49.925000000000004</v>
      </c>
      <c r="J86" s="403">
        <v>63.175000000000004</v>
      </c>
      <c r="K86" s="403">
        <f t="shared" si="20"/>
        <v>219.57500000000002</v>
      </c>
      <c r="L86" s="404">
        <f t="shared" si="22"/>
        <v>1.7849227072885786E-2</v>
      </c>
      <c r="M86" s="422"/>
      <c r="N86" s="425"/>
      <c r="O86" s="402">
        <v>222</v>
      </c>
      <c r="P86" s="403">
        <v>19</v>
      </c>
      <c r="Q86" s="403">
        <f t="shared" si="23"/>
        <v>260</v>
      </c>
      <c r="R86" s="404">
        <f t="shared" si="24"/>
        <v>6.0270987632856958E-3</v>
      </c>
      <c r="S86" s="407">
        <v>14090</v>
      </c>
      <c r="T86" s="408">
        <v>14141</v>
      </c>
      <c r="U86" s="409">
        <f t="shared" si="25"/>
        <v>28231</v>
      </c>
      <c r="V86" s="401">
        <f t="shared" si="26"/>
        <v>9.0137321244355435E-3</v>
      </c>
      <c r="W86" s="400">
        <v>443</v>
      </c>
      <c r="X86" s="401">
        <f t="shared" si="27"/>
        <v>5.5139279579796367E-3</v>
      </c>
      <c r="Y86" s="386"/>
    </row>
    <row r="87" spans="1:26" ht="11.25" customHeight="1" x14ac:dyDescent="0.2">
      <c r="A87" s="355">
        <v>52000</v>
      </c>
      <c r="B87" s="426" t="s">
        <v>230</v>
      </c>
      <c r="C87" s="422"/>
      <c r="D87" s="425"/>
      <c r="E87" s="422"/>
      <c r="F87" s="425"/>
      <c r="G87" s="400">
        <v>7370</v>
      </c>
      <c r="H87" s="401">
        <f t="shared" si="21"/>
        <v>8.996451209209779E-4</v>
      </c>
      <c r="I87" s="402">
        <v>10.050000000000001</v>
      </c>
      <c r="J87" s="403">
        <v>8.2249999999999996</v>
      </c>
      <c r="K87" s="403">
        <f t="shared" si="20"/>
        <v>37.462499999999999</v>
      </c>
      <c r="L87" s="404">
        <f t="shared" si="22"/>
        <v>3.0453224147465956E-3</v>
      </c>
      <c r="M87" s="422"/>
      <c r="N87" s="425"/>
      <c r="O87" s="402">
        <v>49</v>
      </c>
      <c r="P87" s="403">
        <v>10</v>
      </c>
      <c r="Q87" s="403">
        <f t="shared" si="23"/>
        <v>69</v>
      </c>
      <c r="R87" s="404">
        <f t="shared" si="24"/>
        <v>1.5994992871796656E-3</v>
      </c>
      <c r="S87" s="407">
        <v>2362</v>
      </c>
      <c r="T87" s="408">
        <v>4654</v>
      </c>
      <c r="U87" s="409">
        <f t="shared" si="25"/>
        <v>7016</v>
      </c>
      <c r="V87" s="401">
        <f t="shared" si="26"/>
        <v>2.2401028863674607E-3</v>
      </c>
      <c r="W87" s="400">
        <v>83</v>
      </c>
      <c r="X87" s="401">
        <f t="shared" si="27"/>
        <v>1.0330835677478778E-3</v>
      </c>
      <c r="Y87" s="386"/>
    </row>
    <row r="88" spans="1:26" ht="11.25" customHeight="1" x14ac:dyDescent="0.2">
      <c r="A88" s="355">
        <v>53000</v>
      </c>
      <c r="B88" s="426" t="s">
        <v>231</v>
      </c>
      <c r="C88" s="422"/>
      <c r="D88" s="425"/>
      <c r="E88" s="422"/>
      <c r="F88" s="425"/>
      <c r="G88" s="400">
        <v>11552</v>
      </c>
      <c r="H88" s="401">
        <f t="shared" si="21"/>
        <v>1.4101357444883497E-3</v>
      </c>
      <c r="I88" s="402">
        <v>6.1875</v>
      </c>
      <c r="J88" s="403">
        <v>14.75</v>
      </c>
      <c r="K88" s="403">
        <f t="shared" si="20"/>
        <v>37.59375</v>
      </c>
      <c r="L88" s="404">
        <f t="shared" si="22"/>
        <v>3.0559917124959582E-3</v>
      </c>
      <c r="M88" s="422"/>
      <c r="N88" s="425"/>
      <c r="O88" s="402">
        <v>91</v>
      </c>
      <c r="P88" s="403">
        <v>8.25</v>
      </c>
      <c r="Q88" s="403">
        <f t="shared" si="23"/>
        <v>107.5</v>
      </c>
      <c r="R88" s="404">
        <f t="shared" si="24"/>
        <v>2.4919735271277397E-3</v>
      </c>
      <c r="S88" s="407">
        <v>7364</v>
      </c>
      <c r="T88" s="408">
        <v>9983</v>
      </c>
      <c r="U88" s="409">
        <f t="shared" si="25"/>
        <v>17347</v>
      </c>
      <c r="V88" s="401">
        <f t="shared" si="26"/>
        <v>5.5386352294493069E-3</v>
      </c>
      <c r="W88" s="400">
        <v>194</v>
      </c>
      <c r="X88" s="401">
        <f t="shared" si="27"/>
        <v>2.4146772547360036E-3</v>
      </c>
      <c r="Y88" s="386"/>
    </row>
    <row r="89" spans="1:26" ht="11.25" customHeight="1" x14ac:dyDescent="0.2">
      <c r="A89" s="355">
        <v>54000</v>
      </c>
      <c r="B89" s="426" t="s">
        <v>85</v>
      </c>
      <c r="C89" s="422"/>
      <c r="D89" s="425"/>
      <c r="E89" s="422"/>
      <c r="F89" s="425"/>
      <c r="G89" s="400">
        <v>5674.52</v>
      </c>
      <c r="H89" s="401">
        <f t="shared" si="21"/>
        <v>6.9268035706492644E-4</v>
      </c>
      <c r="I89" s="402">
        <v>21.162500000000001</v>
      </c>
      <c r="J89" s="403">
        <v>57.287499999999994</v>
      </c>
      <c r="K89" s="403">
        <f t="shared" si="20"/>
        <v>138.83749999999998</v>
      </c>
      <c r="L89" s="404">
        <f t="shared" si="22"/>
        <v>1.1286084771635112E-2</v>
      </c>
      <c r="M89" s="422"/>
      <c r="N89" s="425"/>
      <c r="O89" s="402">
        <v>161</v>
      </c>
      <c r="P89" s="403">
        <v>23.5</v>
      </c>
      <c r="Q89" s="403">
        <f t="shared" si="23"/>
        <v>208</v>
      </c>
      <c r="R89" s="404">
        <f t="shared" si="24"/>
        <v>4.8216790106285568E-3</v>
      </c>
      <c r="S89" s="407">
        <v>7985</v>
      </c>
      <c r="T89" s="408">
        <v>3208</v>
      </c>
      <c r="U89" s="409">
        <f t="shared" si="25"/>
        <v>11193</v>
      </c>
      <c r="V89" s="401">
        <f t="shared" si="26"/>
        <v>3.5737559303179855E-3</v>
      </c>
      <c r="W89" s="400">
        <v>207</v>
      </c>
      <c r="X89" s="401">
        <f t="shared" si="27"/>
        <v>2.5764855243832615E-3</v>
      </c>
      <c r="Y89" s="386"/>
    </row>
    <row r="90" spans="1:26" ht="11.25" customHeight="1" x14ac:dyDescent="0.2">
      <c r="A90" s="355">
        <v>55000</v>
      </c>
      <c r="B90" s="426" t="s">
        <v>86</v>
      </c>
      <c r="C90" s="422"/>
      <c r="D90" s="425"/>
      <c r="E90" s="422"/>
      <c r="F90" s="425"/>
      <c r="G90" s="400">
        <v>0</v>
      </c>
      <c r="H90" s="401">
        <f t="shared" si="21"/>
        <v>0</v>
      </c>
      <c r="I90" s="402">
        <v>0</v>
      </c>
      <c r="J90" s="403">
        <v>0</v>
      </c>
      <c r="K90" s="403">
        <f t="shared" si="20"/>
        <v>0</v>
      </c>
      <c r="L90" s="404">
        <f t="shared" si="22"/>
        <v>0</v>
      </c>
      <c r="M90" s="422"/>
      <c r="N90" s="425"/>
      <c r="O90" s="402">
        <v>0</v>
      </c>
      <c r="P90" s="403">
        <v>0</v>
      </c>
      <c r="Q90" s="403">
        <f t="shared" si="23"/>
        <v>0</v>
      </c>
      <c r="R90" s="404">
        <f t="shared" si="24"/>
        <v>0</v>
      </c>
      <c r="S90" s="407"/>
      <c r="T90" s="408"/>
      <c r="U90" s="409">
        <f t="shared" si="25"/>
        <v>0</v>
      </c>
      <c r="V90" s="401">
        <f t="shared" si="26"/>
        <v>0</v>
      </c>
      <c r="W90" s="400"/>
      <c r="X90" s="401">
        <f t="shared" si="27"/>
        <v>0</v>
      </c>
      <c r="Y90" s="386"/>
    </row>
    <row r="91" spans="1:26" ht="11.25" customHeight="1" x14ac:dyDescent="0.2">
      <c r="A91" s="410">
        <v>56000</v>
      </c>
      <c r="B91" s="427" t="s">
        <v>87</v>
      </c>
      <c r="C91" s="422"/>
      <c r="D91" s="425"/>
      <c r="E91" s="422"/>
      <c r="F91" s="425"/>
      <c r="G91" s="412">
        <v>0</v>
      </c>
      <c r="H91" s="413">
        <f t="shared" si="21"/>
        <v>0</v>
      </c>
      <c r="I91" s="414">
        <v>0</v>
      </c>
      <c r="J91" s="415">
        <v>0</v>
      </c>
      <c r="K91" s="415">
        <f t="shared" si="20"/>
        <v>0</v>
      </c>
      <c r="L91" s="416">
        <f t="shared" si="22"/>
        <v>0</v>
      </c>
      <c r="M91" s="422"/>
      <c r="N91" s="425"/>
      <c r="O91" s="414">
        <v>0</v>
      </c>
      <c r="P91" s="415">
        <v>0</v>
      </c>
      <c r="Q91" s="415">
        <f t="shared" si="23"/>
        <v>0</v>
      </c>
      <c r="R91" s="416">
        <f t="shared" si="24"/>
        <v>0</v>
      </c>
      <c r="S91" s="417"/>
      <c r="T91" s="418"/>
      <c r="U91" s="419">
        <f t="shared" si="25"/>
        <v>0</v>
      </c>
      <c r="V91" s="413">
        <f t="shared" si="26"/>
        <v>0</v>
      </c>
      <c r="W91" s="412"/>
      <c r="X91" s="413">
        <f t="shared" si="27"/>
        <v>0</v>
      </c>
      <c r="Y91" s="386"/>
    </row>
    <row r="92" spans="1:26" ht="8.25" customHeight="1" x14ac:dyDescent="0.25">
      <c r="E92" s="478"/>
      <c r="G92" s="478"/>
      <c r="H92" s="325"/>
      <c r="I92" s="428"/>
      <c r="J92" s="428"/>
      <c r="K92" s="428"/>
      <c r="L92" s="429"/>
      <c r="M92" s="478"/>
      <c r="N92" s="325"/>
      <c r="O92" s="325"/>
      <c r="P92" s="325"/>
      <c r="Q92" s="325"/>
      <c r="R92" s="429"/>
      <c r="S92" s="325"/>
      <c r="T92" s="325"/>
      <c r="U92" s="325"/>
      <c r="V92" s="325"/>
      <c r="W92" s="325"/>
      <c r="X92" s="325"/>
      <c r="Y92" s="386"/>
    </row>
    <row r="93" spans="1:26" ht="15" x14ac:dyDescent="0.25">
      <c r="A93" s="387" t="s">
        <v>186</v>
      </c>
      <c r="B93" s="430" t="s">
        <v>219</v>
      </c>
      <c r="C93" s="389">
        <f>SUM(C94:C119)</f>
        <v>2306027.923</v>
      </c>
      <c r="D93" s="390">
        <f>SUM(D94:D119)</f>
        <v>1</v>
      </c>
      <c r="E93" s="422"/>
      <c r="F93" s="423"/>
      <c r="G93" s="389">
        <f t="shared" ref="G93:V93" si="28">SUM(G94:G119)</f>
        <v>7653279.6899299994</v>
      </c>
      <c r="H93" s="390">
        <f t="shared" si="28"/>
        <v>1.0000000000000002</v>
      </c>
      <c r="I93" s="431">
        <f t="shared" si="28"/>
        <v>2168.1488461538424</v>
      </c>
      <c r="J93" s="432">
        <f t="shared" si="28"/>
        <v>3924.7858653846065</v>
      </c>
      <c r="K93" s="433">
        <f t="shared" si="28"/>
        <v>11307.550913461522</v>
      </c>
      <c r="L93" s="393">
        <f t="shared" si="28"/>
        <v>0.99999999999999944</v>
      </c>
      <c r="M93" s="422"/>
      <c r="N93" s="423"/>
      <c r="O93" s="391">
        <f t="shared" si="28"/>
        <v>36661</v>
      </c>
      <c r="P93" s="392">
        <f t="shared" si="28"/>
        <v>2400.75</v>
      </c>
      <c r="Q93" s="392">
        <f t="shared" si="28"/>
        <v>41462.5</v>
      </c>
      <c r="R93" s="393">
        <f t="shared" si="28"/>
        <v>1</v>
      </c>
      <c r="S93" s="394">
        <f t="shared" si="28"/>
        <v>1440127</v>
      </c>
      <c r="T93" s="395">
        <f t="shared" si="28"/>
        <v>1552600</v>
      </c>
      <c r="U93" s="396">
        <f t="shared" si="28"/>
        <v>2992727</v>
      </c>
      <c r="V93" s="397">
        <f t="shared" si="28"/>
        <v>0.99999999999999989</v>
      </c>
      <c r="W93" s="389">
        <f>SUM(W94:W119)</f>
        <v>82992</v>
      </c>
      <c r="X93" s="390">
        <f>SUM(X94:X119)</f>
        <v>1.0000000000000002</v>
      </c>
      <c r="Y93" s="467"/>
      <c r="Z93" s="467"/>
    </row>
    <row r="94" spans="1:26" ht="11.25" customHeight="1" x14ac:dyDescent="0.25">
      <c r="A94" s="398">
        <v>11000</v>
      </c>
      <c r="B94" s="434" t="s">
        <v>220</v>
      </c>
      <c r="C94" s="400">
        <v>596257.91200000001</v>
      </c>
      <c r="D94" s="401">
        <f>+C94/C$93</f>
        <v>0.25856491417688704</v>
      </c>
      <c r="E94" s="422"/>
      <c r="F94" s="425"/>
      <c r="G94" s="400">
        <v>2250408.0303199999</v>
      </c>
      <c r="H94" s="401">
        <f>G94/$G$93</f>
        <v>0.29404492211110911</v>
      </c>
      <c r="I94" s="435">
        <v>533.09634615384596</v>
      </c>
      <c r="J94" s="436">
        <v>846.84951923076903</v>
      </c>
      <c r="K94" s="437">
        <f t="shared" ref="K94:K119" si="29">I94*2.5+J94*1.5</f>
        <v>2603.0151442307683</v>
      </c>
      <c r="L94" s="404">
        <f>K94/$K$93</f>
        <v>0.23020149669473572</v>
      </c>
      <c r="M94" s="422"/>
      <c r="N94" s="425"/>
      <c r="O94" s="402">
        <v>7004</v>
      </c>
      <c r="P94" s="403">
        <v>604.5</v>
      </c>
      <c r="Q94" s="403">
        <f>+O94+P94*2</f>
        <v>8213</v>
      </c>
      <c r="R94" s="404">
        <f>Q94/$Q$93</f>
        <v>0.19808260476334036</v>
      </c>
      <c r="S94" s="394">
        <v>254698</v>
      </c>
      <c r="T94" s="395">
        <v>408966</v>
      </c>
      <c r="U94" s="396">
        <f>+S94+T94</f>
        <v>663664</v>
      </c>
      <c r="V94" s="405">
        <f>+U94/U$93</f>
        <v>0.22175895095008666</v>
      </c>
      <c r="W94" s="400">
        <v>11142</v>
      </c>
      <c r="X94" s="401">
        <f>W94/$W$93</f>
        <v>0.1342539039907461</v>
      </c>
      <c r="Y94" s="467"/>
      <c r="Z94" s="467"/>
    </row>
    <row r="95" spans="1:26" ht="11.25" customHeight="1" x14ac:dyDescent="0.25">
      <c r="A95" s="355">
        <v>12000</v>
      </c>
      <c r="B95" s="438" t="s">
        <v>74</v>
      </c>
      <c r="C95" s="400">
        <v>85444.135999999999</v>
      </c>
      <c r="D95" s="401">
        <f t="shared" ref="D95:D119" si="30">+C95/C$93</f>
        <v>3.7052515777364244E-2</v>
      </c>
      <c r="E95" s="422"/>
      <c r="F95" s="425"/>
      <c r="G95" s="400">
        <v>197567.01</v>
      </c>
      <c r="H95" s="401">
        <f t="shared" ref="H95:H119" si="31">G95/$G$93</f>
        <v>2.5814685730086922E-2</v>
      </c>
      <c r="I95" s="435">
        <v>49.621730769230702</v>
      </c>
      <c r="J95" s="436">
        <v>144.05499999999901</v>
      </c>
      <c r="K95" s="437">
        <f t="shared" si="29"/>
        <v>340.13682692307526</v>
      </c>
      <c r="L95" s="404">
        <f t="shared" ref="L95:L119" si="32">K95/$K$93</f>
        <v>3.0080503685209668E-2</v>
      </c>
      <c r="M95" s="422"/>
      <c r="N95" s="425"/>
      <c r="O95" s="402">
        <v>450</v>
      </c>
      <c r="P95" s="403">
        <v>142</v>
      </c>
      <c r="Q95" s="403">
        <f t="shared" ref="Q95:Q119" si="33">+O95+P95*2</f>
        <v>734</v>
      </c>
      <c r="R95" s="404">
        <f t="shared" ref="R95:R119" si="34">Q95/$Q$93</f>
        <v>1.7702743442870063E-2</v>
      </c>
      <c r="S95" s="407">
        <v>25413</v>
      </c>
      <c r="T95" s="408">
        <v>24921</v>
      </c>
      <c r="U95" s="409">
        <f t="shared" ref="U95:U119" si="35">+S95+T95</f>
        <v>50334</v>
      </c>
      <c r="V95" s="401">
        <f t="shared" ref="V95:V119" si="36">+U95/U$93</f>
        <v>1.6818774315198147E-2</v>
      </c>
      <c r="W95" s="400">
        <v>3177</v>
      </c>
      <c r="X95" s="401">
        <f t="shared" ref="X95:X119" si="37">W95/$W$93</f>
        <v>3.8280798149219204E-2</v>
      </c>
      <c r="Y95" s="467"/>
      <c r="Z95" s="467"/>
    </row>
    <row r="96" spans="1:26" ht="11.25" customHeight="1" x14ac:dyDescent="0.25">
      <c r="A96" s="355">
        <v>13000</v>
      </c>
      <c r="B96" s="438" t="s">
        <v>221</v>
      </c>
      <c r="C96" s="400">
        <v>21845.268</v>
      </c>
      <c r="D96" s="401">
        <f t="shared" si="30"/>
        <v>9.473115126715663E-3</v>
      </c>
      <c r="E96" s="422"/>
      <c r="F96" s="425"/>
      <c r="G96" s="400">
        <v>46542</v>
      </c>
      <c r="H96" s="401">
        <f t="shared" si="31"/>
        <v>6.081314401881698E-3</v>
      </c>
      <c r="I96" s="435">
        <v>29.6449999999999</v>
      </c>
      <c r="J96" s="436">
        <v>83.928461538461505</v>
      </c>
      <c r="K96" s="437">
        <f t="shared" si="29"/>
        <v>200.00519230769203</v>
      </c>
      <c r="L96" s="404">
        <f t="shared" si="32"/>
        <v>1.7687755185748305E-2</v>
      </c>
      <c r="M96" s="422"/>
      <c r="N96" s="425"/>
      <c r="O96" s="402">
        <v>288</v>
      </c>
      <c r="P96" s="403">
        <v>26.5</v>
      </c>
      <c r="Q96" s="403">
        <f t="shared" si="33"/>
        <v>341</v>
      </c>
      <c r="R96" s="404">
        <f t="shared" si="34"/>
        <v>8.2242990654205605E-3</v>
      </c>
      <c r="S96" s="407">
        <v>41876</v>
      </c>
      <c r="T96" s="408">
        <v>19161</v>
      </c>
      <c r="U96" s="409">
        <f t="shared" si="35"/>
        <v>61037</v>
      </c>
      <c r="V96" s="401">
        <f t="shared" si="36"/>
        <v>2.0395111214621314E-2</v>
      </c>
      <c r="W96" s="400">
        <v>1967</v>
      </c>
      <c r="X96" s="401">
        <f t="shared" si="37"/>
        <v>2.3701079622132255E-2</v>
      </c>
      <c r="Y96" s="467"/>
      <c r="Z96" s="467"/>
    </row>
    <row r="97" spans="1:26" ht="11.25" customHeight="1" x14ac:dyDescent="0.25">
      <c r="A97" s="355">
        <v>14000</v>
      </c>
      <c r="B97" s="438" t="s">
        <v>75</v>
      </c>
      <c r="C97" s="400">
        <v>245668.72500000001</v>
      </c>
      <c r="D97" s="401">
        <f t="shared" si="30"/>
        <v>0.10653328285825792</v>
      </c>
      <c r="E97" s="422"/>
      <c r="F97" s="425"/>
      <c r="G97" s="400">
        <v>875606</v>
      </c>
      <c r="H97" s="401">
        <f t="shared" si="31"/>
        <v>0.11440925138958416</v>
      </c>
      <c r="I97" s="435">
        <v>192.50798076922999</v>
      </c>
      <c r="J97" s="436">
        <v>311.89423076922998</v>
      </c>
      <c r="K97" s="437">
        <f t="shared" si="29"/>
        <v>949.11129807691987</v>
      </c>
      <c r="L97" s="404">
        <f t="shared" si="32"/>
        <v>8.3936062312751802E-2</v>
      </c>
      <c r="M97" s="422"/>
      <c r="N97" s="425"/>
      <c r="O97" s="402">
        <v>7116</v>
      </c>
      <c r="P97" s="403">
        <v>417.5</v>
      </c>
      <c r="Q97" s="403">
        <f t="shared" si="33"/>
        <v>7951</v>
      </c>
      <c r="R97" s="404">
        <f t="shared" si="34"/>
        <v>0.19176364184504069</v>
      </c>
      <c r="S97" s="407">
        <v>246787</v>
      </c>
      <c r="T97" s="408">
        <v>260684</v>
      </c>
      <c r="U97" s="409">
        <f t="shared" si="35"/>
        <v>507471</v>
      </c>
      <c r="V97" s="401">
        <f t="shared" si="36"/>
        <v>0.16956808957181863</v>
      </c>
      <c r="W97" s="400">
        <v>9999</v>
      </c>
      <c r="X97" s="401">
        <f t="shared" si="37"/>
        <v>0.12048149219201851</v>
      </c>
      <c r="Y97" s="467"/>
      <c r="Z97" s="467"/>
    </row>
    <row r="98" spans="1:26" ht="11.25" customHeight="1" x14ac:dyDescent="0.25">
      <c r="A98" s="355">
        <v>15000</v>
      </c>
      <c r="B98" s="438" t="s">
        <v>76</v>
      </c>
      <c r="C98" s="400">
        <v>188253.63200000001</v>
      </c>
      <c r="D98" s="401">
        <f t="shared" si="30"/>
        <v>8.1635452078608686E-2</v>
      </c>
      <c r="E98" s="422"/>
      <c r="F98" s="425"/>
      <c r="G98" s="400">
        <v>462305.8</v>
      </c>
      <c r="H98" s="401">
        <f t="shared" si="31"/>
        <v>6.0406233501212665E-2</v>
      </c>
      <c r="I98" s="435">
        <v>133.45711538461501</v>
      </c>
      <c r="J98" s="436">
        <v>239.39499999999899</v>
      </c>
      <c r="K98" s="437">
        <f t="shared" si="29"/>
        <v>692.73528846153602</v>
      </c>
      <c r="L98" s="404">
        <f t="shared" si="32"/>
        <v>6.1263070470621697E-2</v>
      </c>
      <c r="M98" s="422"/>
      <c r="N98" s="425"/>
      <c r="O98" s="402">
        <v>1506</v>
      </c>
      <c r="P98" s="403">
        <v>229.5</v>
      </c>
      <c r="Q98" s="403">
        <f t="shared" si="33"/>
        <v>1965</v>
      </c>
      <c r="R98" s="404">
        <f t="shared" si="34"/>
        <v>4.739222188724751E-2</v>
      </c>
      <c r="S98" s="407">
        <v>126750</v>
      </c>
      <c r="T98" s="408">
        <v>57302</v>
      </c>
      <c r="U98" s="409">
        <f t="shared" si="35"/>
        <v>184052</v>
      </c>
      <c r="V98" s="401">
        <f t="shared" si="36"/>
        <v>6.1499762591108377E-2</v>
      </c>
      <c r="W98" s="400">
        <v>5162</v>
      </c>
      <c r="X98" s="401">
        <f t="shared" si="37"/>
        <v>6.2198766146134565E-2</v>
      </c>
      <c r="Y98" s="467"/>
      <c r="Z98" s="467"/>
    </row>
    <row r="99" spans="1:26" ht="11.25" customHeight="1" x14ac:dyDescent="0.25">
      <c r="A99" s="355">
        <v>16000</v>
      </c>
      <c r="B99" s="438" t="s">
        <v>222</v>
      </c>
      <c r="C99" s="400">
        <v>22464.324000000001</v>
      </c>
      <c r="D99" s="401">
        <f t="shared" si="30"/>
        <v>9.741566342689946E-3</v>
      </c>
      <c r="E99" s="422"/>
      <c r="F99" s="425"/>
      <c r="G99" s="400">
        <v>88567.14</v>
      </c>
      <c r="H99" s="401">
        <f t="shared" si="31"/>
        <v>1.1572442611307477E-2</v>
      </c>
      <c r="I99" s="435">
        <v>29.803076923076901</v>
      </c>
      <c r="J99" s="436">
        <v>43.065961538461501</v>
      </c>
      <c r="K99" s="437">
        <f t="shared" si="29"/>
        <v>139.10663461538451</v>
      </c>
      <c r="L99" s="404">
        <f t="shared" si="32"/>
        <v>1.2302101107480267E-2</v>
      </c>
      <c r="M99" s="422"/>
      <c r="N99" s="425"/>
      <c r="O99" s="402">
        <v>476</v>
      </c>
      <c r="P99" s="403">
        <v>39.75</v>
      </c>
      <c r="Q99" s="403">
        <f t="shared" si="33"/>
        <v>555.5</v>
      </c>
      <c r="R99" s="404">
        <f t="shared" si="34"/>
        <v>1.3397648477539945E-2</v>
      </c>
      <c r="S99" s="407">
        <v>6896</v>
      </c>
      <c r="T99" s="408">
        <v>14272</v>
      </c>
      <c r="U99" s="409">
        <f t="shared" si="35"/>
        <v>21168</v>
      </c>
      <c r="V99" s="401">
        <f t="shared" si="36"/>
        <v>7.0731476676623023E-3</v>
      </c>
      <c r="W99" s="400">
        <v>627</v>
      </c>
      <c r="X99" s="401">
        <f t="shared" si="37"/>
        <v>7.554945054945055E-3</v>
      </c>
      <c r="Y99" s="467"/>
      <c r="Z99" s="467"/>
    </row>
    <row r="100" spans="1:26" ht="11.25" customHeight="1" x14ac:dyDescent="0.25">
      <c r="A100" s="355">
        <v>17000</v>
      </c>
      <c r="B100" s="438" t="s">
        <v>77</v>
      </c>
      <c r="C100" s="400">
        <v>37757.504000000001</v>
      </c>
      <c r="D100" s="401">
        <f t="shared" si="30"/>
        <v>1.6373394104820648E-2</v>
      </c>
      <c r="E100" s="422"/>
      <c r="F100" s="425"/>
      <c r="G100" s="400">
        <v>88365.566389999993</v>
      </c>
      <c r="H100" s="401">
        <f t="shared" si="31"/>
        <v>1.1546104411455035E-2</v>
      </c>
      <c r="I100" s="435">
        <v>49.267307692307597</v>
      </c>
      <c r="J100" s="436">
        <v>115.315384615384</v>
      </c>
      <c r="K100" s="437">
        <f t="shared" si="29"/>
        <v>296.14134615384501</v>
      </c>
      <c r="L100" s="404">
        <f t="shared" si="32"/>
        <v>2.6189698230877901E-2</v>
      </c>
      <c r="M100" s="422"/>
      <c r="N100" s="425"/>
      <c r="O100" s="402">
        <v>506</v>
      </c>
      <c r="P100" s="403">
        <v>67.5</v>
      </c>
      <c r="Q100" s="403">
        <f t="shared" si="33"/>
        <v>641</v>
      </c>
      <c r="R100" s="404">
        <f t="shared" si="34"/>
        <v>1.5459752788664455E-2</v>
      </c>
      <c r="S100" s="407">
        <v>37947</v>
      </c>
      <c r="T100" s="408">
        <v>28952</v>
      </c>
      <c r="U100" s="409">
        <f t="shared" si="35"/>
        <v>66899</v>
      </c>
      <c r="V100" s="401">
        <f t="shared" si="36"/>
        <v>2.2353859874288565E-2</v>
      </c>
      <c r="W100" s="400">
        <v>2856</v>
      </c>
      <c r="X100" s="401">
        <f t="shared" si="37"/>
        <v>3.4412955465587043E-2</v>
      </c>
      <c r="Y100" s="467"/>
      <c r="Z100" s="467"/>
    </row>
    <row r="101" spans="1:26" ht="11.25" customHeight="1" x14ac:dyDescent="0.25">
      <c r="A101" s="355">
        <v>18000</v>
      </c>
      <c r="B101" s="438" t="s">
        <v>78</v>
      </c>
      <c r="C101" s="400">
        <v>20312.409</v>
      </c>
      <c r="D101" s="401">
        <f t="shared" si="30"/>
        <v>8.8083968096859862E-3</v>
      </c>
      <c r="E101" s="422"/>
      <c r="F101" s="425"/>
      <c r="G101" s="400">
        <v>18685</v>
      </c>
      <c r="H101" s="401">
        <f t="shared" si="31"/>
        <v>2.4414369730385355E-3</v>
      </c>
      <c r="I101" s="435">
        <v>33.486634615384602</v>
      </c>
      <c r="J101" s="436">
        <v>69.143557692307596</v>
      </c>
      <c r="K101" s="437">
        <f t="shared" si="29"/>
        <v>187.43192307692291</v>
      </c>
      <c r="L101" s="404">
        <f t="shared" si="32"/>
        <v>1.6575819513117304E-2</v>
      </c>
      <c r="M101" s="422"/>
      <c r="N101" s="425"/>
      <c r="O101" s="402">
        <v>232</v>
      </c>
      <c r="P101" s="403">
        <v>32</v>
      </c>
      <c r="Q101" s="403">
        <f t="shared" si="33"/>
        <v>296</v>
      </c>
      <c r="R101" s="404">
        <f t="shared" si="34"/>
        <v>7.1389810069339768E-3</v>
      </c>
      <c r="S101" s="407">
        <v>37516</v>
      </c>
      <c r="T101" s="408">
        <v>16517</v>
      </c>
      <c r="U101" s="409">
        <f t="shared" si="35"/>
        <v>54033</v>
      </c>
      <c r="V101" s="401">
        <f t="shared" si="36"/>
        <v>1.8054770782634032E-2</v>
      </c>
      <c r="W101" s="400">
        <v>2175</v>
      </c>
      <c r="X101" s="401">
        <f t="shared" si="37"/>
        <v>2.6207345286292656E-2</v>
      </c>
      <c r="Y101" s="467"/>
      <c r="Z101" s="467"/>
    </row>
    <row r="102" spans="1:26" ht="11.25" customHeight="1" x14ac:dyDescent="0.25">
      <c r="A102" s="355">
        <v>19000</v>
      </c>
      <c r="B102" s="438" t="s">
        <v>79</v>
      </c>
      <c r="C102" s="400">
        <v>21881.593000000001</v>
      </c>
      <c r="D102" s="401">
        <f t="shared" si="30"/>
        <v>9.4888673210571529E-3</v>
      </c>
      <c r="E102" s="422"/>
      <c r="F102" s="425"/>
      <c r="G102" s="400">
        <v>23817</v>
      </c>
      <c r="H102" s="401">
        <f t="shared" si="31"/>
        <v>3.1119991644023978E-3</v>
      </c>
      <c r="I102" s="435">
        <v>20.627884615384598</v>
      </c>
      <c r="J102" s="436">
        <v>52.6052884615384</v>
      </c>
      <c r="K102" s="437">
        <f t="shared" si="29"/>
        <v>130.4776442307691</v>
      </c>
      <c r="L102" s="404">
        <f t="shared" si="32"/>
        <v>1.1538983572069245E-2</v>
      </c>
      <c r="M102" s="422"/>
      <c r="N102" s="425"/>
      <c r="O102" s="402">
        <v>506</v>
      </c>
      <c r="P102" s="403">
        <v>49</v>
      </c>
      <c r="Q102" s="403">
        <f t="shared" si="33"/>
        <v>604</v>
      </c>
      <c r="R102" s="404">
        <f t="shared" si="34"/>
        <v>1.4567380162797709E-2</v>
      </c>
      <c r="S102" s="407">
        <v>19072</v>
      </c>
      <c r="T102" s="408">
        <v>5305</v>
      </c>
      <c r="U102" s="409">
        <f t="shared" si="35"/>
        <v>24377</v>
      </c>
      <c r="V102" s="401">
        <f t="shared" si="36"/>
        <v>8.145413865013414E-3</v>
      </c>
      <c r="W102" s="400">
        <v>1881</v>
      </c>
      <c r="X102" s="401">
        <f t="shared" si="37"/>
        <v>2.2664835164835164E-2</v>
      </c>
      <c r="Y102" s="467"/>
      <c r="Z102" s="467"/>
    </row>
    <row r="103" spans="1:26" ht="11.25" customHeight="1" x14ac:dyDescent="0.25">
      <c r="A103" s="355">
        <v>21000</v>
      </c>
      <c r="B103" s="438" t="s">
        <v>80</v>
      </c>
      <c r="C103" s="400">
        <v>268035.98499999999</v>
      </c>
      <c r="D103" s="401">
        <f t="shared" si="30"/>
        <v>0.11623275777654146</v>
      </c>
      <c r="E103" s="422"/>
      <c r="F103" s="425"/>
      <c r="G103" s="400">
        <v>1040328</v>
      </c>
      <c r="H103" s="401">
        <f t="shared" si="31"/>
        <v>0.13593231165572564</v>
      </c>
      <c r="I103" s="435">
        <v>251.565384615384</v>
      </c>
      <c r="J103" s="436">
        <v>438.16538461538403</v>
      </c>
      <c r="K103" s="437">
        <f t="shared" si="29"/>
        <v>1286.1615384615361</v>
      </c>
      <c r="L103" s="404">
        <f t="shared" si="32"/>
        <v>0.11374359914934136</v>
      </c>
      <c r="M103" s="422"/>
      <c r="N103" s="425"/>
      <c r="O103" s="402">
        <v>2880</v>
      </c>
      <c r="P103" s="403">
        <v>88.5</v>
      </c>
      <c r="Q103" s="403">
        <f t="shared" si="33"/>
        <v>3057</v>
      </c>
      <c r="R103" s="404">
        <f t="shared" si="34"/>
        <v>7.3729273439855289E-2</v>
      </c>
      <c r="S103" s="407">
        <v>76050</v>
      </c>
      <c r="T103" s="408">
        <v>157716</v>
      </c>
      <c r="U103" s="409">
        <f t="shared" si="35"/>
        <v>233766</v>
      </c>
      <c r="V103" s="401">
        <f t="shared" si="36"/>
        <v>7.8111367993138031E-2</v>
      </c>
      <c r="W103" s="400">
        <v>5706</v>
      </c>
      <c r="X103" s="401">
        <f t="shared" si="37"/>
        <v>6.875361480624638E-2</v>
      </c>
      <c r="Y103" s="467"/>
      <c r="Z103" s="467"/>
    </row>
    <row r="104" spans="1:26" ht="11.25" customHeight="1" x14ac:dyDescent="0.25">
      <c r="A104" s="355">
        <v>22000</v>
      </c>
      <c r="B104" s="438" t="s">
        <v>223</v>
      </c>
      <c r="C104" s="400">
        <v>101874.189</v>
      </c>
      <c r="D104" s="401">
        <f t="shared" si="30"/>
        <v>4.4177344074597315E-2</v>
      </c>
      <c r="E104" s="422"/>
      <c r="F104" s="425"/>
      <c r="G104" s="400">
        <v>402378.26321999996</v>
      </c>
      <c r="H104" s="401">
        <f t="shared" si="31"/>
        <v>5.2575925553777887E-2</v>
      </c>
      <c r="I104" s="435">
        <v>72.3</v>
      </c>
      <c r="J104" s="436">
        <v>101.1</v>
      </c>
      <c r="K104" s="437">
        <f t="shared" si="29"/>
        <v>332.4</v>
      </c>
      <c r="L104" s="404">
        <f t="shared" si="32"/>
        <v>2.9396285945905511E-2</v>
      </c>
      <c r="M104" s="422"/>
      <c r="N104" s="425"/>
      <c r="O104" s="402">
        <v>818</v>
      </c>
      <c r="P104" s="403">
        <v>57</v>
      </c>
      <c r="Q104" s="403">
        <f t="shared" si="33"/>
        <v>932</v>
      </c>
      <c r="R104" s="404">
        <f t="shared" si="34"/>
        <v>2.2478142900211034E-2</v>
      </c>
      <c r="S104" s="407">
        <v>15052</v>
      </c>
      <c r="T104" s="408">
        <v>28349</v>
      </c>
      <c r="U104" s="409">
        <f t="shared" si="35"/>
        <v>43401</v>
      </c>
      <c r="V104" s="401">
        <f t="shared" si="36"/>
        <v>1.450215806520274E-2</v>
      </c>
      <c r="W104" s="400">
        <v>956</v>
      </c>
      <c r="X104" s="401">
        <f t="shared" si="37"/>
        <v>1.1519182571814151E-2</v>
      </c>
      <c r="Y104" s="467"/>
      <c r="Z104" s="467"/>
    </row>
    <row r="105" spans="1:26" ht="11.25" customHeight="1" x14ac:dyDescent="0.25">
      <c r="A105" s="355">
        <v>23000</v>
      </c>
      <c r="B105" s="438" t="s">
        <v>224</v>
      </c>
      <c r="C105" s="400">
        <v>90907.15</v>
      </c>
      <c r="D105" s="401">
        <f t="shared" si="30"/>
        <v>3.9421530456463599E-2</v>
      </c>
      <c r="E105" s="422"/>
      <c r="F105" s="425"/>
      <c r="G105" s="400">
        <v>346730</v>
      </c>
      <c r="H105" s="401">
        <f t="shared" si="31"/>
        <v>4.5304760056818383E-2</v>
      </c>
      <c r="I105" s="435">
        <v>75.05</v>
      </c>
      <c r="J105" s="436">
        <v>174.57499999999999</v>
      </c>
      <c r="K105" s="437">
        <f t="shared" si="29"/>
        <v>449.48749999999995</v>
      </c>
      <c r="L105" s="404">
        <f t="shared" si="32"/>
        <v>3.9751092295758732E-2</v>
      </c>
      <c r="M105" s="422"/>
      <c r="N105" s="425"/>
      <c r="O105" s="402">
        <v>555</v>
      </c>
      <c r="P105" s="403">
        <v>65</v>
      </c>
      <c r="Q105" s="403">
        <f t="shared" si="33"/>
        <v>685</v>
      </c>
      <c r="R105" s="404">
        <f t="shared" si="34"/>
        <v>1.652095266807356E-2</v>
      </c>
      <c r="S105" s="407">
        <v>51319</v>
      </c>
      <c r="T105" s="408">
        <v>31167</v>
      </c>
      <c r="U105" s="409">
        <f t="shared" si="35"/>
        <v>82486</v>
      </c>
      <c r="V105" s="401">
        <f t="shared" si="36"/>
        <v>2.7562153180026111E-2</v>
      </c>
      <c r="W105" s="400">
        <v>3422</v>
      </c>
      <c r="X105" s="401">
        <f t="shared" si="37"/>
        <v>4.1232889917100446E-2</v>
      </c>
      <c r="Y105" s="467"/>
      <c r="Z105" s="467"/>
    </row>
    <row r="106" spans="1:26" ht="11.25" customHeight="1" x14ac:dyDescent="0.25">
      <c r="A106" s="355">
        <v>24000</v>
      </c>
      <c r="B106" s="438" t="s">
        <v>81</v>
      </c>
      <c r="C106" s="400">
        <v>43090.760999999999</v>
      </c>
      <c r="D106" s="401">
        <f t="shared" si="30"/>
        <v>1.8686140167783215E-2</v>
      </c>
      <c r="E106" s="422"/>
      <c r="F106" s="425"/>
      <c r="G106" s="400">
        <v>166443.88</v>
      </c>
      <c r="H106" s="401">
        <f t="shared" si="31"/>
        <v>2.1748046163660117E-2</v>
      </c>
      <c r="I106" s="435">
        <v>52.995961538461501</v>
      </c>
      <c r="J106" s="436">
        <v>96.497307692307601</v>
      </c>
      <c r="K106" s="437">
        <f t="shared" si="29"/>
        <v>277.23586538461518</v>
      </c>
      <c r="L106" s="404">
        <f t="shared" si="32"/>
        <v>2.451776405928615E-2</v>
      </c>
      <c r="M106" s="422"/>
      <c r="N106" s="425"/>
      <c r="O106" s="402">
        <v>485</v>
      </c>
      <c r="P106" s="403">
        <v>64</v>
      </c>
      <c r="Q106" s="403">
        <f t="shared" si="33"/>
        <v>613</v>
      </c>
      <c r="R106" s="404">
        <f t="shared" si="34"/>
        <v>1.4784443774495025E-2</v>
      </c>
      <c r="S106" s="407">
        <v>34550</v>
      </c>
      <c r="T106" s="408">
        <v>26281</v>
      </c>
      <c r="U106" s="409">
        <f t="shared" si="35"/>
        <v>60831</v>
      </c>
      <c r="V106" s="401">
        <f t="shared" si="36"/>
        <v>2.0326277672504042E-2</v>
      </c>
      <c r="W106" s="400">
        <v>1869</v>
      </c>
      <c r="X106" s="401">
        <f t="shared" si="37"/>
        <v>2.2520242914979758E-2</v>
      </c>
      <c r="Y106" s="467"/>
      <c r="Z106" s="467"/>
    </row>
    <row r="107" spans="1:26" ht="11.25" customHeight="1" x14ac:dyDescent="0.25">
      <c r="A107" s="355">
        <v>25000</v>
      </c>
      <c r="B107" s="438" t="s">
        <v>225</v>
      </c>
      <c r="C107" s="400">
        <v>70472.176999999996</v>
      </c>
      <c r="D107" s="401">
        <f t="shared" si="30"/>
        <v>3.0559984246990402E-2</v>
      </c>
      <c r="E107" s="422"/>
      <c r="F107" s="425"/>
      <c r="G107" s="400">
        <v>111629</v>
      </c>
      <c r="H107" s="401">
        <f t="shared" si="31"/>
        <v>1.4585772965657945E-2</v>
      </c>
      <c r="I107" s="435">
        <v>59.383461538461503</v>
      </c>
      <c r="J107" s="436">
        <v>107.43519230769201</v>
      </c>
      <c r="K107" s="437">
        <f t="shared" si="29"/>
        <v>309.61144230769179</v>
      </c>
      <c r="L107" s="404">
        <f t="shared" si="32"/>
        <v>2.7380946119738677E-2</v>
      </c>
      <c r="M107" s="422"/>
      <c r="N107" s="425"/>
      <c r="O107" s="402">
        <v>367</v>
      </c>
      <c r="P107" s="403">
        <v>54.5</v>
      </c>
      <c r="Q107" s="403">
        <f t="shared" si="33"/>
        <v>476</v>
      </c>
      <c r="R107" s="404">
        <f t="shared" si="34"/>
        <v>1.1480253240880313E-2</v>
      </c>
      <c r="S107" s="407">
        <v>29075</v>
      </c>
      <c r="T107" s="408">
        <v>28271</v>
      </c>
      <c r="U107" s="409">
        <f t="shared" si="35"/>
        <v>57346</v>
      </c>
      <c r="V107" s="401">
        <f t="shared" si="36"/>
        <v>1.9161787894452116E-2</v>
      </c>
      <c r="W107" s="400">
        <v>2190</v>
      </c>
      <c r="X107" s="401">
        <f t="shared" si="37"/>
        <v>2.6388085598611916E-2</v>
      </c>
      <c r="Y107" s="467"/>
      <c r="Z107" s="467"/>
    </row>
    <row r="108" spans="1:26" ht="11.25" customHeight="1" x14ac:dyDescent="0.25">
      <c r="A108" s="355">
        <v>26000</v>
      </c>
      <c r="B108" s="438" t="s">
        <v>226</v>
      </c>
      <c r="C108" s="400">
        <v>170845.30300000001</v>
      </c>
      <c r="D108" s="401">
        <f t="shared" si="30"/>
        <v>7.4086398215742685E-2</v>
      </c>
      <c r="E108" s="422"/>
      <c r="F108" s="425"/>
      <c r="G108" s="400">
        <v>576811</v>
      </c>
      <c r="H108" s="401">
        <f t="shared" si="31"/>
        <v>7.5367819205530151E-2</v>
      </c>
      <c r="I108" s="435">
        <v>153.588365384615</v>
      </c>
      <c r="J108" s="436">
        <v>285.67269230769199</v>
      </c>
      <c r="K108" s="437">
        <f t="shared" si="29"/>
        <v>812.47995192307553</v>
      </c>
      <c r="L108" s="404">
        <f t="shared" si="32"/>
        <v>7.1852867003749377E-2</v>
      </c>
      <c r="M108" s="422"/>
      <c r="N108" s="425"/>
      <c r="O108" s="402">
        <v>3842</v>
      </c>
      <c r="P108" s="403">
        <v>107.5</v>
      </c>
      <c r="Q108" s="403">
        <f t="shared" si="33"/>
        <v>4057</v>
      </c>
      <c r="R108" s="404">
        <f t="shared" si="34"/>
        <v>9.784745251733494E-2</v>
      </c>
      <c r="S108" s="407">
        <v>96780</v>
      </c>
      <c r="T108" s="408">
        <v>88386</v>
      </c>
      <c r="U108" s="409">
        <f t="shared" si="35"/>
        <v>185166</v>
      </c>
      <c r="V108" s="401">
        <f t="shared" si="36"/>
        <v>6.1871998347994991E-2</v>
      </c>
      <c r="W108" s="400">
        <v>6129</v>
      </c>
      <c r="X108" s="401">
        <f t="shared" si="37"/>
        <v>7.385049161364951E-2</v>
      </c>
      <c r="Y108" s="467"/>
      <c r="Z108" s="467"/>
    </row>
    <row r="109" spans="1:26" ht="11.25" customHeight="1" x14ac:dyDescent="0.25">
      <c r="A109" s="355">
        <v>27000</v>
      </c>
      <c r="B109" s="438" t="s">
        <v>82</v>
      </c>
      <c r="C109" s="400">
        <v>100378.611</v>
      </c>
      <c r="D109" s="401">
        <f t="shared" si="30"/>
        <v>4.352879251757439E-2</v>
      </c>
      <c r="E109" s="422"/>
      <c r="F109" s="425"/>
      <c r="G109" s="400">
        <v>329364</v>
      </c>
      <c r="H109" s="401">
        <f t="shared" si="31"/>
        <v>4.3035667497343548E-2</v>
      </c>
      <c r="I109" s="435">
        <v>104.88509615384601</v>
      </c>
      <c r="J109" s="436">
        <v>208.61538461538399</v>
      </c>
      <c r="K109" s="437">
        <f t="shared" si="29"/>
        <v>575.13581730769101</v>
      </c>
      <c r="L109" s="404">
        <f t="shared" si="32"/>
        <v>5.0862987194070272E-2</v>
      </c>
      <c r="M109" s="422"/>
      <c r="N109" s="425"/>
      <c r="O109" s="402">
        <v>1331</v>
      </c>
      <c r="P109" s="403">
        <v>86.5</v>
      </c>
      <c r="Q109" s="403">
        <f t="shared" si="33"/>
        <v>1504</v>
      </c>
      <c r="R109" s="404">
        <f t="shared" si="34"/>
        <v>3.6273741332529391E-2</v>
      </c>
      <c r="S109" s="407">
        <v>41276</v>
      </c>
      <c r="T109" s="408">
        <v>74322</v>
      </c>
      <c r="U109" s="409">
        <f t="shared" si="35"/>
        <v>115598</v>
      </c>
      <c r="V109" s="401">
        <f t="shared" si="36"/>
        <v>3.8626309716856898E-2</v>
      </c>
      <c r="W109" s="400">
        <v>4981</v>
      </c>
      <c r="X109" s="401">
        <f t="shared" si="37"/>
        <v>6.0017833044148837E-2</v>
      </c>
      <c r="Y109" s="467"/>
      <c r="Z109" s="467"/>
    </row>
    <row r="110" spans="1:26" ht="11.25" customHeight="1" x14ac:dyDescent="0.25">
      <c r="A110" s="355">
        <v>28000</v>
      </c>
      <c r="B110" s="438" t="s">
        <v>227</v>
      </c>
      <c r="C110" s="400">
        <v>46858.868999999999</v>
      </c>
      <c r="D110" s="401">
        <f t="shared" si="30"/>
        <v>2.0320165481361344E-2</v>
      </c>
      <c r="E110" s="422"/>
      <c r="F110" s="425"/>
      <c r="G110" s="400">
        <v>77865</v>
      </c>
      <c r="H110" s="401">
        <f t="shared" si="31"/>
        <v>1.0174069569475279E-2</v>
      </c>
      <c r="I110" s="435">
        <v>39.6976923076923</v>
      </c>
      <c r="J110" s="436">
        <v>100.142499999999</v>
      </c>
      <c r="K110" s="437">
        <f t="shared" si="29"/>
        <v>249.45798076922927</v>
      </c>
      <c r="L110" s="404">
        <f t="shared" si="32"/>
        <v>2.2061185722564568E-2</v>
      </c>
      <c r="M110" s="422"/>
      <c r="N110" s="425"/>
      <c r="O110" s="402">
        <v>872</v>
      </c>
      <c r="P110" s="403">
        <v>82.5</v>
      </c>
      <c r="Q110" s="403">
        <f t="shared" si="33"/>
        <v>1037</v>
      </c>
      <c r="R110" s="404">
        <f t="shared" si="34"/>
        <v>2.5010551703346397E-2</v>
      </c>
      <c r="S110" s="407">
        <v>32082</v>
      </c>
      <c r="T110" s="408">
        <v>17702</v>
      </c>
      <c r="U110" s="409">
        <f t="shared" si="35"/>
        <v>49784</v>
      </c>
      <c r="V110" s="401">
        <f t="shared" si="36"/>
        <v>1.6634995440613195E-2</v>
      </c>
      <c r="W110" s="400">
        <v>3267</v>
      </c>
      <c r="X110" s="401">
        <f t="shared" si="37"/>
        <v>3.9365240023134761E-2</v>
      </c>
      <c r="Y110" s="467"/>
      <c r="Z110" s="467"/>
    </row>
    <row r="111" spans="1:26" ht="11.25" customHeight="1" x14ac:dyDescent="0.25">
      <c r="A111" s="355">
        <v>31000</v>
      </c>
      <c r="B111" s="438" t="s">
        <v>83</v>
      </c>
      <c r="C111" s="400">
        <v>28083.333999999999</v>
      </c>
      <c r="D111" s="401">
        <f t="shared" si="30"/>
        <v>1.2178228077769897E-2</v>
      </c>
      <c r="E111" s="422"/>
      <c r="F111" s="425"/>
      <c r="G111" s="400">
        <v>128160</v>
      </c>
      <c r="H111" s="401">
        <f t="shared" si="31"/>
        <v>1.6745761972952567E-2</v>
      </c>
      <c r="I111" s="435">
        <v>71.674999999999997</v>
      </c>
      <c r="J111" s="436">
        <v>131.80000000000001</v>
      </c>
      <c r="K111" s="437">
        <f t="shared" si="29"/>
        <v>376.88750000000005</v>
      </c>
      <c r="L111" s="404">
        <f t="shared" si="32"/>
        <v>3.3330603849089847E-2</v>
      </c>
      <c r="M111" s="422"/>
      <c r="N111" s="425"/>
      <c r="O111" s="402">
        <v>3273</v>
      </c>
      <c r="P111" s="403">
        <v>32</v>
      </c>
      <c r="Q111" s="403">
        <f t="shared" si="33"/>
        <v>3337</v>
      </c>
      <c r="R111" s="404">
        <f t="shared" si="34"/>
        <v>8.0482363581549587E-2</v>
      </c>
      <c r="S111" s="407">
        <v>104001</v>
      </c>
      <c r="T111" s="408">
        <v>90559</v>
      </c>
      <c r="U111" s="409">
        <f t="shared" si="35"/>
        <v>194560</v>
      </c>
      <c r="V111" s="401">
        <f t="shared" si="36"/>
        <v>6.5010941525905974E-2</v>
      </c>
      <c r="W111" s="400">
        <v>5431</v>
      </c>
      <c r="X111" s="401">
        <f t="shared" si="37"/>
        <v>6.5440042413726626E-2</v>
      </c>
      <c r="Y111" s="467"/>
      <c r="Z111" s="467"/>
    </row>
    <row r="112" spans="1:26" ht="11.25" customHeight="1" x14ac:dyDescent="0.25">
      <c r="A112" s="355">
        <v>41000</v>
      </c>
      <c r="B112" s="438" t="s">
        <v>228</v>
      </c>
      <c r="C112" s="400">
        <v>74066.663</v>
      </c>
      <c r="D112" s="401">
        <f t="shared" si="30"/>
        <v>3.2118719058546283E-2</v>
      </c>
      <c r="E112" s="422"/>
      <c r="F112" s="425"/>
      <c r="G112" s="400">
        <v>224098</v>
      </c>
      <c r="H112" s="401">
        <f t="shared" si="31"/>
        <v>2.9281302798179809E-2</v>
      </c>
      <c r="I112" s="435">
        <v>70.489230769230701</v>
      </c>
      <c r="J112" s="436">
        <v>137.88230769230699</v>
      </c>
      <c r="K112" s="437">
        <f t="shared" si="29"/>
        <v>383.04653846153724</v>
      </c>
      <c r="L112" s="404">
        <f t="shared" si="32"/>
        <v>3.3875287530699891E-2</v>
      </c>
      <c r="M112" s="422"/>
      <c r="N112" s="425"/>
      <c r="O112" s="402">
        <v>2243</v>
      </c>
      <c r="P112" s="403">
        <v>33</v>
      </c>
      <c r="Q112" s="403">
        <f t="shared" si="33"/>
        <v>2309</v>
      </c>
      <c r="R112" s="404">
        <f t="shared" si="34"/>
        <v>5.5688875489900515E-2</v>
      </c>
      <c r="S112" s="407">
        <v>86073</v>
      </c>
      <c r="T112" s="408">
        <v>89130</v>
      </c>
      <c r="U112" s="409">
        <f t="shared" si="35"/>
        <v>175203</v>
      </c>
      <c r="V112" s="401">
        <f t="shared" si="36"/>
        <v>5.8542927570740665E-2</v>
      </c>
      <c r="W112" s="400">
        <v>6231</v>
      </c>
      <c r="X112" s="401">
        <f t="shared" si="37"/>
        <v>7.507952573742048E-2</v>
      </c>
      <c r="Y112" s="467"/>
      <c r="Z112" s="467"/>
    </row>
    <row r="113" spans="1:26" ht="11.25" customHeight="1" x14ac:dyDescent="0.25">
      <c r="A113" s="355">
        <v>43000</v>
      </c>
      <c r="B113" s="438" t="s">
        <v>84</v>
      </c>
      <c r="C113" s="400">
        <v>60270.527000000002</v>
      </c>
      <c r="D113" s="401">
        <f t="shared" si="30"/>
        <v>2.6136078578611385E-2</v>
      </c>
      <c r="E113" s="422"/>
      <c r="F113" s="425"/>
      <c r="G113" s="400">
        <v>136926</v>
      </c>
      <c r="H113" s="401">
        <f t="shared" si="31"/>
        <v>1.7891153276439632E-2</v>
      </c>
      <c r="I113" s="435">
        <v>61.189999999999898</v>
      </c>
      <c r="J113" s="436">
        <v>117.361153846153</v>
      </c>
      <c r="K113" s="437">
        <f t="shared" si="29"/>
        <v>329.01673076922924</v>
      </c>
      <c r="L113" s="404">
        <f t="shared" si="32"/>
        <v>2.9097081524305873E-2</v>
      </c>
      <c r="M113" s="422"/>
      <c r="N113" s="425"/>
      <c r="O113" s="402">
        <v>1407</v>
      </c>
      <c r="P113" s="403">
        <v>64.5</v>
      </c>
      <c r="Q113" s="403">
        <f t="shared" si="33"/>
        <v>1536</v>
      </c>
      <c r="R113" s="404">
        <f t="shared" si="34"/>
        <v>3.7045523063008741E-2</v>
      </c>
      <c r="S113" s="407">
        <v>44962</v>
      </c>
      <c r="T113" s="408">
        <v>49250</v>
      </c>
      <c r="U113" s="409">
        <f t="shared" si="35"/>
        <v>94212</v>
      </c>
      <c r="V113" s="401">
        <f t="shared" si="36"/>
        <v>3.148031878617729E-2</v>
      </c>
      <c r="W113" s="400">
        <v>2905</v>
      </c>
      <c r="X113" s="401">
        <f t="shared" si="37"/>
        <v>3.500337381916329E-2</v>
      </c>
      <c r="Y113" s="467"/>
      <c r="Z113" s="467"/>
    </row>
    <row r="114" spans="1:26" ht="11.25" customHeight="1" x14ac:dyDescent="0.25">
      <c r="A114" s="355">
        <v>51000</v>
      </c>
      <c r="B114" s="438" t="s">
        <v>229</v>
      </c>
      <c r="C114" s="400">
        <v>6106.73</v>
      </c>
      <c r="D114" s="401">
        <f t="shared" si="30"/>
        <v>2.6481596077360245E-3</v>
      </c>
      <c r="E114" s="422"/>
      <c r="F114" s="425"/>
      <c r="G114" s="400">
        <v>37630</v>
      </c>
      <c r="H114" s="401">
        <f t="shared" si="31"/>
        <v>4.9168463096301894E-3</v>
      </c>
      <c r="I114" s="435">
        <v>50.717115384615298</v>
      </c>
      <c r="J114" s="436">
        <v>58.029615384615298</v>
      </c>
      <c r="K114" s="437">
        <f t="shared" si="29"/>
        <v>213.83721153846119</v>
      </c>
      <c r="L114" s="404">
        <f t="shared" si="32"/>
        <v>1.891101027755623E-2</v>
      </c>
      <c r="M114" s="422"/>
      <c r="N114" s="425"/>
      <c r="O114" s="402">
        <v>233</v>
      </c>
      <c r="P114" s="403">
        <v>18</v>
      </c>
      <c r="Q114" s="403">
        <f t="shared" si="33"/>
        <v>269</v>
      </c>
      <c r="R114" s="404">
        <f t="shared" si="34"/>
        <v>6.4877901718420261E-3</v>
      </c>
      <c r="S114" s="407">
        <v>15183</v>
      </c>
      <c r="T114" s="408">
        <v>21487</v>
      </c>
      <c r="U114" s="409">
        <f t="shared" si="35"/>
        <v>36670</v>
      </c>
      <c r="V114" s="401">
        <f t="shared" si="36"/>
        <v>1.2253038783691262E-2</v>
      </c>
      <c r="W114" s="400">
        <v>438</v>
      </c>
      <c r="X114" s="401">
        <f t="shared" si="37"/>
        <v>5.2776171197223831E-3</v>
      </c>
      <c r="Y114" s="467"/>
      <c r="Z114" s="467"/>
    </row>
    <row r="115" spans="1:26" ht="11.25" customHeight="1" x14ac:dyDescent="0.25">
      <c r="A115" s="355">
        <v>52000</v>
      </c>
      <c r="B115" s="438" t="s">
        <v>230</v>
      </c>
      <c r="C115" s="400">
        <v>1102.3420000000001</v>
      </c>
      <c r="D115" s="401">
        <f t="shared" si="30"/>
        <v>4.780263018523736E-4</v>
      </c>
      <c r="E115" s="422"/>
      <c r="F115" s="425"/>
      <c r="G115" s="400">
        <v>8423</v>
      </c>
      <c r="H115" s="401">
        <f t="shared" si="31"/>
        <v>1.1005739161842967E-3</v>
      </c>
      <c r="I115" s="435">
        <v>11.5</v>
      </c>
      <c r="J115" s="436">
        <v>6.8</v>
      </c>
      <c r="K115" s="437">
        <f t="shared" si="29"/>
        <v>38.950000000000003</v>
      </c>
      <c r="L115" s="404">
        <f t="shared" si="32"/>
        <v>3.4446008952858601E-3</v>
      </c>
      <c r="M115" s="422"/>
      <c r="N115" s="425"/>
      <c r="O115" s="402">
        <v>43</v>
      </c>
      <c r="P115" s="403">
        <v>7</v>
      </c>
      <c r="Q115" s="403">
        <f t="shared" si="33"/>
        <v>57</v>
      </c>
      <c r="R115" s="404">
        <f t="shared" si="34"/>
        <v>1.3747362074163401E-3</v>
      </c>
      <c r="S115" s="407">
        <v>2266</v>
      </c>
      <c r="T115" s="408">
        <v>3560</v>
      </c>
      <c r="U115" s="409">
        <f t="shared" si="35"/>
        <v>5826</v>
      </c>
      <c r="V115" s="401">
        <f t="shared" si="36"/>
        <v>1.9467194969671473E-3</v>
      </c>
      <c r="W115" s="400">
        <v>71</v>
      </c>
      <c r="X115" s="401">
        <f t="shared" si="37"/>
        <v>8.5550414497782921E-4</v>
      </c>
      <c r="Y115" s="467"/>
      <c r="Z115" s="467"/>
    </row>
    <row r="116" spans="1:26" ht="11.25" customHeight="1" x14ac:dyDescent="0.25">
      <c r="A116" s="355">
        <v>53000</v>
      </c>
      <c r="B116" s="438" t="s">
        <v>231</v>
      </c>
      <c r="C116" s="400">
        <v>1988.1869999999999</v>
      </c>
      <c r="D116" s="401">
        <f t="shared" si="30"/>
        <v>8.6216952542946283E-4</v>
      </c>
      <c r="E116" s="422"/>
      <c r="F116" s="425"/>
      <c r="G116" s="400">
        <v>9928</v>
      </c>
      <c r="H116" s="401">
        <f t="shared" si="31"/>
        <v>1.2972216359821557E-3</v>
      </c>
      <c r="I116" s="435">
        <v>7</v>
      </c>
      <c r="J116" s="436">
        <v>12.146153846153799</v>
      </c>
      <c r="K116" s="437">
        <f t="shared" si="29"/>
        <v>35.719230769230698</v>
      </c>
      <c r="L116" s="404">
        <f t="shared" si="32"/>
        <v>3.1588830368835504E-3</v>
      </c>
      <c r="M116" s="422"/>
      <c r="N116" s="425"/>
      <c r="O116" s="402">
        <v>90</v>
      </c>
      <c r="P116" s="403">
        <v>7</v>
      </c>
      <c r="Q116" s="403">
        <f t="shared" si="33"/>
        <v>104</v>
      </c>
      <c r="R116" s="404">
        <f t="shared" si="34"/>
        <v>2.5082906240578838E-3</v>
      </c>
      <c r="S116" s="407">
        <v>7373</v>
      </c>
      <c r="T116" s="408">
        <v>6582</v>
      </c>
      <c r="U116" s="409">
        <f t="shared" si="35"/>
        <v>13955</v>
      </c>
      <c r="V116" s="401">
        <f t="shared" si="36"/>
        <v>4.6629712633327394E-3</v>
      </c>
      <c r="W116" s="400">
        <v>179</v>
      </c>
      <c r="X116" s="401">
        <f t="shared" si="37"/>
        <v>2.1568343936764988E-3</v>
      </c>
      <c r="Y116" s="467"/>
      <c r="Z116" s="467"/>
    </row>
    <row r="117" spans="1:26" ht="11.25" customHeight="1" x14ac:dyDescent="0.25">
      <c r="A117" s="355">
        <v>54000</v>
      </c>
      <c r="B117" s="438" t="s">
        <v>85</v>
      </c>
      <c r="C117" s="400">
        <v>2061.5920000000001</v>
      </c>
      <c r="D117" s="401">
        <f t="shared" si="30"/>
        <v>8.9400131691293498E-4</v>
      </c>
      <c r="E117" s="422"/>
      <c r="F117" s="425"/>
      <c r="G117" s="400">
        <v>4702</v>
      </c>
      <c r="H117" s="401">
        <f t="shared" si="31"/>
        <v>6.1437712856447389E-4</v>
      </c>
      <c r="I117" s="435">
        <v>14.5984615384615</v>
      </c>
      <c r="J117" s="436">
        <v>42.310769230769203</v>
      </c>
      <c r="K117" s="437">
        <f t="shared" si="29"/>
        <v>99.962307692307547</v>
      </c>
      <c r="L117" s="404">
        <f t="shared" si="32"/>
        <v>8.8403146231518133E-3</v>
      </c>
      <c r="M117" s="422"/>
      <c r="N117" s="425"/>
      <c r="O117" s="402">
        <v>138</v>
      </c>
      <c r="P117" s="403">
        <v>25.5</v>
      </c>
      <c r="Q117" s="403">
        <f t="shared" si="33"/>
        <v>189</v>
      </c>
      <c r="R117" s="404">
        <f t="shared" si="34"/>
        <v>4.5583358456436542E-3</v>
      </c>
      <c r="S117" s="407">
        <v>7130</v>
      </c>
      <c r="T117" s="408">
        <v>3758</v>
      </c>
      <c r="U117" s="409">
        <f t="shared" si="35"/>
        <v>10888</v>
      </c>
      <c r="V117" s="401">
        <f t="shared" si="36"/>
        <v>3.6381534299653796E-3</v>
      </c>
      <c r="W117" s="400">
        <v>231</v>
      </c>
      <c r="X117" s="401">
        <f t="shared" si="37"/>
        <v>2.783400809716599E-3</v>
      </c>
      <c r="Y117" s="467"/>
      <c r="Z117" s="467"/>
    </row>
    <row r="118" spans="1:26" ht="11.25" customHeight="1" x14ac:dyDescent="0.25">
      <c r="A118" s="355">
        <v>55000</v>
      </c>
      <c r="B118" s="438" t="s">
        <v>86</v>
      </c>
      <c r="C118" s="400">
        <v>0</v>
      </c>
      <c r="D118" s="401">
        <f t="shared" si="30"/>
        <v>0</v>
      </c>
      <c r="E118" s="422"/>
      <c r="F118" s="425"/>
      <c r="G118" s="400">
        <v>0</v>
      </c>
      <c r="H118" s="401">
        <f t="shared" si="31"/>
        <v>0</v>
      </c>
      <c r="I118" s="435">
        <v>0</v>
      </c>
      <c r="J118" s="436">
        <v>0</v>
      </c>
      <c r="K118" s="437">
        <f t="shared" si="29"/>
        <v>0</v>
      </c>
      <c r="L118" s="404">
        <f t="shared" si="32"/>
        <v>0</v>
      </c>
      <c r="M118" s="422"/>
      <c r="N118" s="425"/>
      <c r="O118" s="402">
        <v>0</v>
      </c>
      <c r="P118" s="403">
        <v>0</v>
      </c>
      <c r="Q118" s="403">
        <f t="shared" si="33"/>
        <v>0</v>
      </c>
      <c r="R118" s="404">
        <f t="shared" si="34"/>
        <v>0</v>
      </c>
      <c r="S118" s="407"/>
      <c r="T118" s="408"/>
      <c r="U118" s="409">
        <f t="shared" si="35"/>
        <v>0</v>
      </c>
      <c r="V118" s="401">
        <f t="shared" si="36"/>
        <v>0</v>
      </c>
      <c r="W118" s="400"/>
      <c r="X118" s="401">
        <f t="shared" si="37"/>
        <v>0</v>
      </c>
      <c r="Y118" s="467"/>
      <c r="Z118" s="467"/>
    </row>
    <row r="119" spans="1:26" ht="11.25" customHeight="1" x14ac:dyDescent="0.25">
      <c r="A119" s="410">
        <v>56000</v>
      </c>
      <c r="B119" s="439" t="s">
        <v>87</v>
      </c>
      <c r="C119" s="412">
        <v>0</v>
      </c>
      <c r="D119" s="413">
        <f t="shared" si="30"/>
        <v>0</v>
      </c>
      <c r="E119" s="422"/>
      <c r="F119" s="425"/>
      <c r="G119" s="412">
        <v>0</v>
      </c>
      <c r="H119" s="413">
        <f t="shared" si="31"/>
        <v>0</v>
      </c>
      <c r="I119" s="440">
        <v>0</v>
      </c>
      <c r="J119" s="441">
        <v>0</v>
      </c>
      <c r="K119" s="442">
        <f t="shared" si="29"/>
        <v>0</v>
      </c>
      <c r="L119" s="416">
        <f t="shared" si="32"/>
        <v>0</v>
      </c>
      <c r="M119" s="422"/>
      <c r="N119" s="425"/>
      <c r="O119" s="414">
        <v>0</v>
      </c>
      <c r="P119" s="415">
        <v>0</v>
      </c>
      <c r="Q119" s="415">
        <f t="shared" si="33"/>
        <v>0</v>
      </c>
      <c r="R119" s="416">
        <f t="shared" si="34"/>
        <v>0</v>
      </c>
      <c r="S119" s="417"/>
      <c r="T119" s="418"/>
      <c r="U119" s="419">
        <f t="shared" si="35"/>
        <v>0</v>
      </c>
      <c r="V119" s="413">
        <f t="shared" si="36"/>
        <v>0</v>
      </c>
      <c r="W119" s="412"/>
      <c r="X119" s="413">
        <f t="shared" si="37"/>
        <v>0</v>
      </c>
      <c r="Y119" s="467"/>
      <c r="Z119" s="467"/>
    </row>
    <row r="120" spans="1:26" ht="9" customHeight="1" x14ac:dyDescent="0.25">
      <c r="G120" s="443"/>
      <c r="H120" s="325"/>
      <c r="I120" s="325"/>
      <c r="J120" s="325"/>
      <c r="L120" s="429"/>
      <c r="M120" s="325"/>
      <c r="N120" s="325"/>
      <c r="O120" s="325"/>
      <c r="P120" s="325"/>
      <c r="R120" s="445"/>
      <c r="S120" s="325"/>
      <c r="T120" s="325"/>
      <c r="U120" s="325"/>
      <c r="V120" s="325"/>
      <c r="W120" s="325"/>
      <c r="X120" s="325"/>
      <c r="Y120" s="467"/>
      <c r="Z120" s="467"/>
    </row>
    <row r="121" spans="1:26" ht="15" x14ac:dyDescent="0.25">
      <c r="A121" s="387" t="s">
        <v>234</v>
      </c>
      <c r="B121" s="421" t="s">
        <v>219</v>
      </c>
      <c r="C121" s="422"/>
      <c r="D121" s="423"/>
      <c r="E121" s="422"/>
      <c r="F121" s="423"/>
      <c r="G121" s="389">
        <f t="shared" ref="G121:L121" si="38">SUM(G122:G147)</f>
        <v>7101625.6560399979</v>
      </c>
      <c r="H121" s="390">
        <f t="shared" si="38"/>
        <v>1.0000000000000002</v>
      </c>
      <c r="I121" s="431">
        <f t="shared" si="38"/>
        <v>2168.1488461538424</v>
      </c>
      <c r="J121" s="432">
        <f t="shared" si="38"/>
        <v>3924.7858653846065</v>
      </c>
      <c r="K121" s="433">
        <f t="shared" si="38"/>
        <v>11307.550913461522</v>
      </c>
      <c r="L121" s="393">
        <f t="shared" si="38"/>
        <v>0.99999999999999944</v>
      </c>
      <c r="M121" s="422"/>
      <c r="N121" s="423"/>
      <c r="O121" s="446"/>
      <c r="P121" s="446"/>
      <c r="Q121" s="422"/>
      <c r="R121" s="425"/>
      <c r="S121" s="425"/>
      <c r="T121" s="425"/>
      <c r="U121" s="425"/>
      <c r="V121" s="425"/>
      <c r="W121" s="389">
        <f>SUM(W122:W147)</f>
        <v>84905</v>
      </c>
      <c r="X121" s="390">
        <f>SUM(X122:X147)</f>
        <v>1.0000000000000002</v>
      </c>
      <c r="Y121" s="467"/>
      <c r="Z121" s="467"/>
    </row>
    <row r="122" spans="1:26" ht="11.25" customHeight="1" x14ac:dyDescent="0.25">
      <c r="A122" s="398">
        <v>11000</v>
      </c>
      <c r="B122" s="424" t="s">
        <v>220</v>
      </c>
      <c r="C122" s="422"/>
      <c r="D122" s="425"/>
      <c r="E122" s="422"/>
      <c r="F122" s="425"/>
      <c r="G122" s="400">
        <v>2152923.8855599998</v>
      </c>
      <c r="H122" s="401">
        <f>G122/$G$121</f>
        <v>0.30315930321234524</v>
      </c>
      <c r="I122" s="435">
        <v>533.09634615384596</v>
      </c>
      <c r="J122" s="436">
        <v>846.84951923076903</v>
      </c>
      <c r="K122" s="437">
        <f t="shared" ref="K122:K147" si="39">I122*2.5+J122*1.5</f>
        <v>2603.0151442307683</v>
      </c>
      <c r="L122" s="404">
        <f>K122/$K$121</f>
        <v>0.23020149669473572</v>
      </c>
      <c r="M122" s="422"/>
      <c r="N122" s="425"/>
      <c r="O122" s="446"/>
      <c r="P122" s="446"/>
      <c r="Q122" s="422"/>
      <c r="R122" s="425"/>
      <c r="S122" s="425"/>
      <c r="T122" s="425"/>
      <c r="U122" s="425"/>
      <c r="V122" s="425"/>
      <c r="W122" s="400">
        <v>11185</v>
      </c>
      <c r="X122" s="401">
        <f>W122/$W$121</f>
        <v>0.13173546905364819</v>
      </c>
      <c r="Y122" s="467"/>
      <c r="Z122" s="467"/>
    </row>
    <row r="123" spans="1:26" ht="11.25" customHeight="1" x14ac:dyDescent="0.25">
      <c r="A123" s="355">
        <v>12000</v>
      </c>
      <c r="B123" s="426" t="s">
        <v>74</v>
      </c>
      <c r="C123" s="422"/>
      <c r="D123" s="425"/>
      <c r="E123" s="422"/>
      <c r="F123" s="425"/>
      <c r="G123" s="400">
        <v>171765.16999999998</v>
      </c>
      <c r="H123" s="401">
        <f t="shared" ref="H123:H147" si="40">G123/$G$121</f>
        <v>2.4186739532505792E-2</v>
      </c>
      <c r="I123" s="435">
        <v>49.621730769230702</v>
      </c>
      <c r="J123" s="436">
        <v>144.05499999999901</v>
      </c>
      <c r="K123" s="437">
        <f t="shared" si="39"/>
        <v>340.13682692307526</v>
      </c>
      <c r="L123" s="404">
        <f t="shared" ref="L123:L147" si="41">K123/$K$121</f>
        <v>3.0080503685209668E-2</v>
      </c>
      <c r="M123" s="422"/>
      <c r="N123" s="425"/>
      <c r="O123" s="446"/>
      <c r="P123" s="446"/>
      <c r="Q123" s="422"/>
      <c r="R123" s="425"/>
      <c r="S123" s="425"/>
      <c r="T123" s="425"/>
      <c r="U123" s="425"/>
      <c r="V123" s="425"/>
      <c r="W123" s="400">
        <v>3155</v>
      </c>
      <c r="X123" s="401">
        <f t="shared" ref="X123:X147" si="42">W123/$W$121</f>
        <v>3.7159177904717039E-2</v>
      </c>
      <c r="Y123" s="467"/>
      <c r="Z123" s="467"/>
    </row>
    <row r="124" spans="1:26" ht="11.25" customHeight="1" x14ac:dyDescent="0.25">
      <c r="A124" s="355">
        <v>13000</v>
      </c>
      <c r="B124" s="426" t="s">
        <v>221</v>
      </c>
      <c r="C124" s="422"/>
      <c r="D124" s="425"/>
      <c r="E124" s="422"/>
      <c r="F124" s="425"/>
      <c r="G124" s="400">
        <v>42743</v>
      </c>
      <c r="H124" s="401">
        <f t="shared" si="40"/>
        <v>6.018762755207561E-3</v>
      </c>
      <c r="I124" s="435">
        <v>29.6449999999999</v>
      </c>
      <c r="J124" s="436">
        <v>83.928461538461505</v>
      </c>
      <c r="K124" s="437">
        <f t="shared" si="39"/>
        <v>200.00519230769203</v>
      </c>
      <c r="L124" s="404">
        <f t="shared" si="41"/>
        <v>1.7687755185748305E-2</v>
      </c>
      <c r="M124" s="422"/>
      <c r="N124" s="425"/>
      <c r="O124" s="446"/>
      <c r="P124" s="446"/>
      <c r="Q124" s="422"/>
      <c r="R124" s="425"/>
      <c r="S124" s="425"/>
      <c r="T124" s="425"/>
      <c r="U124" s="425"/>
      <c r="V124" s="425"/>
      <c r="W124" s="400">
        <v>2056</v>
      </c>
      <c r="X124" s="401">
        <f t="shared" si="42"/>
        <v>2.4215299452329073E-2</v>
      </c>
      <c r="Y124" s="467"/>
      <c r="Z124" s="467"/>
    </row>
    <row r="125" spans="1:26" ht="11.25" customHeight="1" x14ac:dyDescent="0.25">
      <c r="A125" s="355">
        <v>14000</v>
      </c>
      <c r="B125" s="426" t="s">
        <v>75</v>
      </c>
      <c r="C125" s="422"/>
      <c r="D125" s="425"/>
      <c r="E125" s="422"/>
      <c r="F125" s="425"/>
      <c r="G125" s="400">
        <v>806805</v>
      </c>
      <c r="H125" s="401">
        <f t="shared" si="40"/>
        <v>0.11360849460064189</v>
      </c>
      <c r="I125" s="435">
        <v>192.50798076922999</v>
      </c>
      <c r="J125" s="436">
        <v>311.89423076922998</v>
      </c>
      <c r="K125" s="437">
        <f t="shared" si="39"/>
        <v>949.11129807691987</v>
      </c>
      <c r="L125" s="404">
        <f t="shared" si="41"/>
        <v>8.3936062312751802E-2</v>
      </c>
      <c r="M125" s="422"/>
      <c r="N125" s="425"/>
      <c r="O125" s="446"/>
      <c r="P125" s="446"/>
      <c r="Q125" s="422"/>
      <c r="R125" s="425"/>
      <c r="S125" s="425"/>
      <c r="T125" s="425"/>
      <c r="U125" s="425"/>
      <c r="V125" s="425"/>
      <c r="W125" s="400">
        <v>10298</v>
      </c>
      <c r="X125" s="401">
        <f t="shared" si="42"/>
        <v>0.12128849891054708</v>
      </c>
      <c r="Y125" s="467"/>
      <c r="Z125" s="467"/>
    </row>
    <row r="126" spans="1:26" ht="11.25" customHeight="1" x14ac:dyDescent="0.25">
      <c r="A126" s="355">
        <v>15000</v>
      </c>
      <c r="B126" s="426" t="s">
        <v>76</v>
      </c>
      <c r="C126" s="422"/>
      <c r="D126" s="425"/>
      <c r="E126" s="422"/>
      <c r="F126" s="425"/>
      <c r="G126" s="400">
        <v>446472</v>
      </c>
      <c r="H126" s="401">
        <f t="shared" si="40"/>
        <v>6.2868985444237191E-2</v>
      </c>
      <c r="I126" s="435">
        <v>133.45711538461501</v>
      </c>
      <c r="J126" s="436">
        <v>239.39499999999899</v>
      </c>
      <c r="K126" s="437">
        <f t="shared" si="39"/>
        <v>692.73528846153602</v>
      </c>
      <c r="L126" s="404">
        <f t="shared" si="41"/>
        <v>6.1263070470621697E-2</v>
      </c>
      <c r="M126" s="422"/>
      <c r="N126" s="425"/>
      <c r="O126" s="446"/>
      <c r="P126" s="446"/>
      <c r="Q126" s="422"/>
      <c r="R126" s="425"/>
      <c r="S126" s="425"/>
      <c r="T126" s="425"/>
      <c r="U126" s="425"/>
      <c r="V126" s="425"/>
      <c r="W126" s="400">
        <v>5216</v>
      </c>
      <c r="X126" s="401">
        <f t="shared" si="42"/>
        <v>6.1433366703963252E-2</v>
      </c>
      <c r="Y126" s="467"/>
      <c r="Z126" s="467"/>
    </row>
    <row r="127" spans="1:26" ht="11.25" customHeight="1" x14ac:dyDescent="0.25">
      <c r="A127" s="355">
        <v>16000</v>
      </c>
      <c r="B127" s="426" t="s">
        <v>222</v>
      </c>
      <c r="C127" s="422"/>
      <c r="D127" s="425"/>
      <c r="E127" s="422"/>
      <c r="F127" s="425"/>
      <c r="G127" s="400">
        <v>83784.06</v>
      </c>
      <c r="H127" s="401">
        <f t="shared" si="40"/>
        <v>1.1797870524017396E-2</v>
      </c>
      <c r="I127" s="435">
        <v>29.803076923076901</v>
      </c>
      <c r="J127" s="436">
        <v>43.065961538461501</v>
      </c>
      <c r="K127" s="437">
        <f t="shared" si="39"/>
        <v>139.10663461538451</v>
      </c>
      <c r="L127" s="404">
        <f t="shared" si="41"/>
        <v>1.2302101107480267E-2</v>
      </c>
      <c r="M127" s="422"/>
      <c r="N127" s="425"/>
      <c r="O127" s="446"/>
      <c r="P127" s="446"/>
      <c r="Q127" s="422"/>
      <c r="R127" s="425"/>
      <c r="S127" s="425"/>
      <c r="T127" s="425"/>
      <c r="U127" s="425"/>
      <c r="V127" s="425"/>
      <c r="W127" s="400">
        <v>708</v>
      </c>
      <c r="X127" s="401">
        <f t="shared" si="42"/>
        <v>8.3387315234674051E-3</v>
      </c>
      <c r="Y127" s="467"/>
      <c r="Z127" s="467"/>
    </row>
    <row r="128" spans="1:26" ht="11.25" customHeight="1" x14ac:dyDescent="0.25">
      <c r="A128" s="355">
        <v>17000</v>
      </c>
      <c r="B128" s="426" t="s">
        <v>77</v>
      </c>
      <c r="C128" s="422"/>
      <c r="D128" s="425"/>
      <c r="E128" s="422"/>
      <c r="F128" s="425"/>
      <c r="G128" s="400">
        <v>84817.058319999996</v>
      </c>
      <c r="H128" s="401">
        <f t="shared" si="40"/>
        <v>1.1943329939935979E-2</v>
      </c>
      <c r="I128" s="435">
        <v>49.267307692307597</v>
      </c>
      <c r="J128" s="436">
        <v>115.315384615384</v>
      </c>
      <c r="K128" s="437">
        <f t="shared" si="39"/>
        <v>296.14134615384501</v>
      </c>
      <c r="L128" s="404">
        <f t="shared" si="41"/>
        <v>2.6189698230877901E-2</v>
      </c>
      <c r="M128" s="422"/>
      <c r="N128" s="425"/>
      <c r="O128" s="446"/>
      <c r="P128" s="446"/>
      <c r="Q128" s="422"/>
      <c r="R128" s="425"/>
      <c r="S128" s="425"/>
      <c r="T128" s="425"/>
      <c r="U128" s="425"/>
      <c r="V128" s="425"/>
      <c r="W128" s="400">
        <v>2705</v>
      </c>
      <c r="X128" s="401">
        <f t="shared" si="42"/>
        <v>3.1859136682174195E-2</v>
      </c>
      <c r="Y128" s="467"/>
      <c r="Z128" s="467"/>
    </row>
    <row r="129" spans="1:26" ht="11.25" customHeight="1" x14ac:dyDescent="0.25">
      <c r="A129" s="355">
        <v>18000</v>
      </c>
      <c r="B129" s="426" t="s">
        <v>78</v>
      </c>
      <c r="C129" s="422"/>
      <c r="D129" s="425"/>
      <c r="E129" s="422"/>
      <c r="F129" s="425"/>
      <c r="G129" s="400">
        <v>18182</v>
      </c>
      <c r="H129" s="401">
        <f t="shared" si="40"/>
        <v>2.5602588591157353E-3</v>
      </c>
      <c r="I129" s="435">
        <v>33.486634615384602</v>
      </c>
      <c r="J129" s="436">
        <v>69.143557692307596</v>
      </c>
      <c r="K129" s="437">
        <f t="shared" si="39"/>
        <v>187.43192307692291</v>
      </c>
      <c r="L129" s="404">
        <f t="shared" si="41"/>
        <v>1.6575819513117304E-2</v>
      </c>
      <c r="M129" s="422"/>
      <c r="N129" s="425"/>
      <c r="O129" s="446"/>
      <c r="P129" s="446"/>
      <c r="Q129" s="422"/>
      <c r="R129" s="425"/>
      <c r="S129" s="425"/>
      <c r="T129" s="425"/>
      <c r="U129" s="425"/>
      <c r="V129" s="425"/>
      <c r="W129" s="400">
        <v>2238</v>
      </c>
      <c r="X129" s="401">
        <f t="shared" si="42"/>
        <v>2.6358871680113069E-2</v>
      </c>
      <c r="Y129" s="467"/>
      <c r="Z129" s="467"/>
    </row>
    <row r="130" spans="1:26" ht="11.25" customHeight="1" x14ac:dyDescent="0.25">
      <c r="A130" s="355">
        <v>19000</v>
      </c>
      <c r="B130" s="426" t="s">
        <v>79</v>
      </c>
      <c r="C130" s="422"/>
      <c r="D130" s="425"/>
      <c r="E130" s="422"/>
      <c r="F130" s="425"/>
      <c r="G130" s="400">
        <v>24525</v>
      </c>
      <c r="H130" s="401">
        <f t="shared" si="40"/>
        <v>3.4534346342433948E-3</v>
      </c>
      <c r="I130" s="435">
        <v>20.627884615384598</v>
      </c>
      <c r="J130" s="436">
        <v>52.6052884615384</v>
      </c>
      <c r="K130" s="437">
        <f t="shared" si="39"/>
        <v>130.4776442307691</v>
      </c>
      <c r="L130" s="404">
        <f t="shared" si="41"/>
        <v>1.1538983572069245E-2</v>
      </c>
      <c r="M130" s="422"/>
      <c r="N130" s="425"/>
      <c r="O130" s="446"/>
      <c r="P130" s="446"/>
      <c r="Q130" s="422"/>
      <c r="R130" s="425"/>
      <c r="S130" s="425"/>
      <c r="T130" s="425"/>
      <c r="U130" s="425"/>
      <c r="V130" s="425"/>
      <c r="W130" s="400">
        <v>2018</v>
      </c>
      <c r="X130" s="401">
        <f t="shared" si="42"/>
        <v>2.3767740415758788E-2</v>
      </c>
      <c r="Y130" s="467"/>
      <c r="Z130" s="467"/>
    </row>
    <row r="131" spans="1:26" ht="11.25" customHeight="1" x14ac:dyDescent="0.25">
      <c r="A131" s="355">
        <v>21000</v>
      </c>
      <c r="B131" s="426" t="s">
        <v>80</v>
      </c>
      <c r="C131" s="422"/>
      <c r="D131" s="425"/>
      <c r="E131" s="422"/>
      <c r="F131" s="425"/>
      <c r="G131" s="400">
        <v>986517</v>
      </c>
      <c r="H131" s="401">
        <f t="shared" si="40"/>
        <v>0.13891424974800781</v>
      </c>
      <c r="I131" s="435">
        <v>251.565384615384</v>
      </c>
      <c r="J131" s="436">
        <v>438.16538461538403</v>
      </c>
      <c r="K131" s="437">
        <f t="shared" si="39"/>
        <v>1286.1615384615361</v>
      </c>
      <c r="L131" s="404">
        <f t="shared" si="41"/>
        <v>0.11374359914934136</v>
      </c>
      <c r="M131" s="422"/>
      <c r="N131" s="425"/>
      <c r="O131" s="446"/>
      <c r="P131" s="446"/>
      <c r="Q131" s="422"/>
      <c r="R131" s="425"/>
      <c r="S131" s="425"/>
      <c r="T131" s="425"/>
      <c r="U131" s="425"/>
      <c r="V131" s="425"/>
      <c r="W131" s="400">
        <v>5871</v>
      </c>
      <c r="X131" s="401">
        <f t="shared" si="42"/>
        <v>6.9147871150108939E-2</v>
      </c>
      <c r="Y131" s="467"/>
      <c r="Z131" s="467"/>
    </row>
    <row r="132" spans="1:26" ht="11.25" customHeight="1" x14ac:dyDescent="0.25">
      <c r="A132" s="355">
        <v>22000</v>
      </c>
      <c r="B132" s="426" t="s">
        <v>223</v>
      </c>
      <c r="C132" s="422"/>
      <c r="D132" s="425"/>
      <c r="E132" s="422"/>
      <c r="F132" s="425"/>
      <c r="G132" s="400">
        <v>420311.29371999996</v>
      </c>
      <c r="H132" s="401">
        <f t="shared" si="40"/>
        <v>5.9185222381092605E-2</v>
      </c>
      <c r="I132" s="435">
        <v>72.3</v>
      </c>
      <c r="J132" s="436">
        <v>101.1</v>
      </c>
      <c r="K132" s="437">
        <f t="shared" si="39"/>
        <v>332.4</v>
      </c>
      <c r="L132" s="404">
        <f t="shared" si="41"/>
        <v>2.9396285945905511E-2</v>
      </c>
      <c r="M132" s="422"/>
      <c r="N132" s="425"/>
      <c r="O132" s="446"/>
      <c r="P132" s="446"/>
      <c r="Q132" s="422"/>
      <c r="R132" s="425"/>
      <c r="S132" s="425"/>
      <c r="T132" s="425"/>
      <c r="U132" s="425"/>
      <c r="V132" s="425"/>
      <c r="W132" s="400">
        <v>955</v>
      </c>
      <c r="X132" s="401">
        <f t="shared" si="42"/>
        <v>1.1247865261174253E-2</v>
      </c>
      <c r="Y132" s="467"/>
      <c r="Z132" s="467"/>
    </row>
    <row r="133" spans="1:26" ht="11.25" customHeight="1" x14ac:dyDescent="0.25">
      <c r="A133" s="355">
        <v>23000</v>
      </c>
      <c r="B133" s="426" t="s">
        <v>224</v>
      </c>
      <c r="C133" s="422"/>
      <c r="D133" s="425"/>
      <c r="E133" s="422"/>
      <c r="F133" s="425"/>
      <c r="G133" s="400">
        <v>259004</v>
      </c>
      <c r="H133" s="401">
        <f t="shared" si="40"/>
        <v>3.6471085994192715E-2</v>
      </c>
      <c r="I133" s="435">
        <v>75.05</v>
      </c>
      <c r="J133" s="436">
        <v>174.57499999999999</v>
      </c>
      <c r="K133" s="437">
        <f t="shared" si="39"/>
        <v>449.48749999999995</v>
      </c>
      <c r="L133" s="404">
        <f t="shared" si="41"/>
        <v>3.9751092295758732E-2</v>
      </c>
      <c r="M133" s="422"/>
      <c r="N133" s="425"/>
      <c r="O133" s="446"/>
      <c r="P133" s="446"/>
      <c r="Q133" s="422"/>
      <c r="R133" s="425"/>
      <c r="S133" s="425"/>
      <c r="T133" s="425"/>
      <c r="U133" s="425"/>
      <c r="V133" s="425"/>
      <c r="W133" s="400">
        <v>3480</v>
      </c>
      <c r="X133" s="401">
        <f t="shared" si="42"/>
        <v>4.0986985454331312E-2</v>
      </c>
      <c r="Y133" s="467"/>
      <c r="Z133" s="467"/>
    </row>
    <row r="134" spans="1:26" ht="11.25" customHeight="1" x14ac:dyDescent="0.25">
      <c r="A134" s="355">
        <v>24000</v>
      </c>
      <c r="B134" s="426" t="s">
        <v>81</v>
      </c>
      <c r="C134" s="422"/>
      <c r="D134" s="425"/>
      <c r="E134" s="422"/>
      <c r="F134" s="425"/>
      <c r="G134" s="400">
        <v>152472.128</v>
      </c>
      <c r="H134" s="401">
        <f t="shared" si="40"/>
        <v>2.1470031706095499E-2</v>
      </c>
      <c r="I134" s="435">
        <v>52.995961538461501</v>
      </c>
      <c r="J134" s="436">
        <v>96.497307692307601</v>
      </c>
      <c r="K134" s="437">
        <f t="shared" si="39"/>
        <v>277.23586538461518</v>
      </c>
      <c r="L134" s="404">
        <f t="shared" si="41"/>
        <v>2.451776405928615E-2</v>
      </c>
      <c r="M134" s="422"/>
      <c r="N134" s="425"/>
      <c r="O134" s="446"/>
      <c r="P134" s="446"/>
      <c r="Q134" s="422"/>
      <c r="R134" s="425"/>
      <c r="S134" s="425"/>
      <c r="T134" s="425"/>
      <c r="U134" s="425"/>
      <c r="V134" s="425"/>
      <c r="W134" s="400">
        <v>1867</v>
      </c>
      <c r="X134" s="401">
        <f t="shared" si="42"/>
        <v>2.1989282138861081E-2</v>
      </c>
      <c r="Y134" s="467"/>
      <c r="Z134" s="467"/>
    </row>
    <row r="135" spans="1:26" ht="11.25" customHeight="1" x14ac:dyDescent="0.25">
      <c r="A135" s="355">
        <v>25000</v>
      </c>
      <c r="B135" s="426" t="s">
        <v>225</v>
      </c>
      <c r="C135" s="422"/>
      <c r="D135" s="425"/>
      <c r="E135" s="422"/>
      <c r="F135" s="425"/>
      <c r="G135" s="400">
        <v>112666.617</v>
      </c>
      <c r="H135" s="401">
        <f t="shared" si="40"/>
        <v>1.5864905087495846E-2</v>
      </c>
      <c r="I135" s="435">
        <v>59.383461538461503</v>
      </c>
      <c r="J135" s="436">
        <v>107.43519230769201</v>
      </c>
      <c r="K135" s="437">
        <f t="shared" si="39"/>
        <v>309.61144230769179</v>
      </c>
      <c r="L135" s="404">
        <f t="shared" si="41"/>
        <v>2.7380946119738677E-2</v>
      </c>
      <c r="M135" s="422"/>
      <c r="N135" s="425"/>
      <c r="O135" s="446"/>
      <c r="P135" s="446"/>
      <c r="Q135" s="422"/>
      <c r="R135" s="425"/>
      <c r="S135" s="425"/>
      <c r="T135" s="425"/>
      <c r="U135" s="425"/>
      <c r="V135" s="425"/>
      <c r="W135" s="400">
        <v>2304</v>
      </c>
      <c r="X135" s="401">
        <f t="shared" si="42"/>
        <v>2.7136211059419352E-2</v>
      </c>
      <c r="Y135" s="467"/>
      <c r="Z135" s="467"/>
    </row>
    <row r="136" spans="1:26" ht="11.25" customHeight="1" x14ac:dyDescent="0.25">
      <c r="A136" s="355">
        <v>26000</v>
      </c>
      <c r="B136" s="426" t="s">
        <v>226</v>
      </c>
      <c r="C136" s="422"/>
      <c r="D136" s="425"/>
      <c r="E136" s="422"/>
      <c r="F136" s="425"/>
      <c r="G136" s="400">
        <v>469882</v>
      </c>
      <c r="H136" s="401">
        <f t="shared" si="40"/>
        <v>6.616541377400835E-2</v>
      </c>
      <c r="I136" s="435">
        <v>153.588365384615</v>
      </c>
      <c r="J136" s="436">
        <v>285.67269230769199</v>
      </c>
      <c r="K136" s="437">
        <f t="shared" si="39"/>
        <v>812.47995192307553</v>
      </c>
      <c r="L136" s="404">
        <f t="shared" si="41"/>
        <v>7.1852867003749377E-2</v>
      </c>
      <c r="M136" s="422"/>
      <c r="N136" s="425"/>
      <c r="O136" s="446"/>
      <c r="P136" s="446"/>
      <c r="Q136" s="422"/>
      <c r="R136" s="425"/>
      <c r="S136" s="425"/>
      <c r="T136" s="425"/>
      <c r="U136" s="425"/>
      <c r="V136" s="425"/>
      <c r="W136" s="400">
        <v>6097</v>
      </c>
      <c r="X136" s="401">
        <f t="shared" si="42"/>
        <v>7.1809669630763795E-2</v>
      </c>
      <c r="Y136" s="467"/>
      <c r="Z136" s="467"/>
    </row>
    <row r="137" spans="1:26" ht="11.25" customHeight="1" x14ac:dyDescent="0.25">
      <c r="A137" s="355">
        <v>27000</v>
      </c>
      <c r="B137" s="426" t="s">
        <v>82</v>
      </c>
      <c r="C137" s="422"/>
      <c r="D137" s="425"/>
      <c r="E137" s="422"/>
      <c r="F137" s="425"/>
      <c r="G137" s="400">
        <v>325875</v>
      </c>
      <c r="H137" s="401">
        <f t="shared" si="40"/>
        <v>4.5887380690481809E-2</v>
      </c>
      <c r="I137" s="435">
        <v>104.88509615384601</v>
      </c>
      <c r="J137" s="436">
        <v>208.61538461538399</v>
      </c>
      <c r="K137" s="437">
        <f t="shared" si="39"/>
        <v>575.13581730769101</v>
      </c>
      <c r="L137" s="404">
        <f t="shared" si="41"/>
        <v>5.0862987194070272E-2</v>
      </c>
      <c r="M137" s="422"/>
      <c r="N137" s="425"/>
      <c r="O137" s="446"/>
      <c r="P137" s="446"/>
      <c r="Q137" s="422"/>
      <c r="R137" s="425"/>
      <c r="S137" s="425"/>
      <c r="T137" s="425"/>
      <c r="U137" s="425"/>
      <c r="V137" s="425"/>
      <c r="W137" s="400">
        <v>5324</v>
      </c>
      <c r="X137" s="401">
        <f t="shared" si="42"/>
        <v>6.2705376597373533E-2</v>
      </c>
      <c r="Y137" s="467"/>
      <c r="Z137" s="467"/>
    </row>
    <row r="138" spans="1:26" ht="11.25" customHeight="1" x14ac:dyDescent="0.25">
      <c r="A138" s="355">
        <v>28000</v>
      </c>
      <c r="B138" s="426" t="s">
        <v>227</v>
      </c>
      <c r="C138" s="422"/>
      <c r="D138" s="425"/>
      <c r="E138" s="422"/>
      <c r="F138" s="425"/>
      <c r="G138" s="400">
        <v>77110</v>
      </c>
      <c r="H138" s="401">
        <f t="shared" si="40"/>
        <v>1.0858077253680253E-2</v>
      </c>
      <c r="I138" s="435">
        <v>39.6976923076923</v>
      </c>
      <c r="J138" s="436">
        <v>100.142499999999</v>
      </c>
      <c r="K138" s="437">
        <f t="shared" si="39"/>
        <v>249.45798076922927</v>
      </c>
      <c r="L138" s="404">
        <f t="shared" si="41"/>
        <v>2.2061185722564568E-2</v>
      </c>
      <c r="M138" s="422"/>
      <c r="N138" s="425"/>
      <c r="O138" s="446"/>
      <c r="P138" s="446"/>
      <c r="Q138" s="422"/>
      <c r="R138" s="425"/>
      <c r="S138" s="425"/>
      <c r="T138" s="425"/>
      <c r="U138" s="425"/>
      <c r="V138" s="425"/>
      <c r="W138" s="400">
        <v>3587</v>
      </c>
      <c r="X138" s="401">
        <f t="shared" si="42"/>
        <v>4.2247217478358162E-2</v>
      </c>
      <c r="Y138" s="467"/>
      <c r="Z138" s="467"/>
    </row>
    <row r="139" spans="1:26" ht="11.25" customHeight="1" x14ac:dyDescent="0.25">
      <c r="A139" s="355">
        <v>31000</v>
      </c>
      <c r="B139" s="426" t="s">
        <v>83</v>
      </c>
      <c r="C139" s="422"/>
      <c r="D139" s="425"/>
      <c r="E139" s="422"/>
      <c r="F139" s="425"/>
      <c r="G139" s="400">
        <v>110914.44344</v>
      </c>
      <c r="H139" s="401">
        <f t="shared" si="40"/>
        <v>1.5618176571397599E-2</v>
      </c>
      <c r="I139" s="435">
        <v>71.674999999999997</v>
      </c>
      <c r="J139" s="436">
        <v>131.80000000000001</v>
      </c>
      <c r="K139" s="437">
        <f t="shared" si="39"/>
        <v>376.88750000000005</v>
      </c>
      <c r="L139" s="404">
        <f t="shared" si="41"/>
        <v>3.3330603849089847E-2</v>
      </c>
      <c r="M139" s="422"/>
      <c r="N139" s="425"/>
      <c r="O139" s="446"/>
      <c r="P139" s="446"/>
      <c r="Q139" s="422"/>
      <c r="R139" s="425"/>
      <c r="S139" s="425"/>
      <c r="T139" s="425"/>
      <c r="U139" s="425"/>
      <c r="V139" s="425"/>
      <c r="W139" s="400">
        <v>5660</v>
      </c>
      <c r="X139" s="401">
        <f t="shared" si="42"/>
        <v>6.6662740710205518E-2</v>
      </c>
      <c r="Y139" s="467"/>
      <c r="Z139" s="467"/>
    </row>
    <row r="140" spans="1:26" ht="11.25" customHeight="1" x14ac:dyDescent="0.25">
      <c r="A140" s="355">
        <v>41000</v>
      </c>
      <c r="B140" s="426" t="s">
        <v>228</v>
      </c>
      <c r="C140" s="422"/>
      <c r="D140" s="425"/>
      <c r="E140" s="422"/>
      <c r="F140" s="425"/>
      <c r="G140" s="400">
        <v>196397</v>
      </c>
      <c r="H140" s="401">
        <f t="shared" si="40"/>
        <v>2.7655217201284405E-2</v>
      </c>
      <c r="I140" s="435">
        <v>70.489230769230701</v>
      </c>
      <c r="J140" s="436">
        <v>137.88230769230699</v>
      </c>
      <c r="K140" s="437">
        <f t="shared" si="39"/>
        <v>383.04653846153724</v>
      </c>
      <c r="L140" s="404">
        <f t="shared" si="41"/>
        <v>3.3875287530699891E-2</v>
      </c>
      <c r="M140" s="422"/>
      <c r="N140" s="425"/>
      <c r="O140" s="446"/>
      <c r="P140" s="446"/>
      <c r="Q140" s="422"/>
      <c r="R140" s="425"/>
      <c r="S140" s="425"/>
      <c r="T140" s="425"/>
      <c r="U140" s="425"/>
      <c r="V140" s="425"/>
      <c r="W140" s="400">
        <v>6012</v>
      </c>
      <c r="X140" s="401">
        <f t="shared" si="42"/>
        <v>7.0808550733172368E-2</v>
      </c>
      <c r="Y140" s="467"/>
      <c r="Z140" s="467"/>
    </row>
    <row r="141" spans="1:26" ht="11.25" customHeight="1" x14ac:dyDescent="0.25">
      <c r="A141" s="355">
        <v>43000</v>
      </c>
      <c r="B141" s="426" t="s">
        <v>84</v>
      </c>
      <c r="C141" s="422"/>
      <c r="D141" s="425"/>
      <c r="E141" s="422"/>
      <c r="F141" s="425"/>
      <c r="G141" s="400">
        <v>105634</v>
      </c>
      <c r="H141" s="401">
        <f t="shared" si="40"/>
        <v>1.4874622391586821E-2</v>
      </c>
      <c r="I141" s="435">
        <v>61.189999999999898</v>
      </c>
      <c r="J141" s="436">
        <v>117.361153846153</v>
      </c>
      <c r="K141" s="437">
        <f t="shared" si="39"/>
        <v>329.01673076922924</v>
      </c>
      <c r="L141" s="404">
        <f t="shared" si="41"/>
        <v>2.9097081524305873E-2</v>
      </c>
      <c r="M141" s="422"/>
      <c r="N141" s="425"/>
      <c r="O141" s="446"/>
      <c r="P141" s="446"/>
      <c r="Q141" s="422"/>
      <c r="R141" s="425"/>
      <c r="S141" s="425"/>
      <c r="T141" s="425"/>
      <c r="U141" s="425"/>
      <c r="V141" s="425"/>
      <c r="W141" s="400">
        <v>3096</v>
      </c>
      <c r="X141" s="401">
        <f t="shared" si="42"/>
        <v>3.6464283611094751E-2</v>
      </c>
      <c r="Y141" s="467"/>
      <c r="Z141" s="467"/>
    </row>
    <row r="142" spans="1:26" ht="11.25" customHeight="1" x14ac:dyDescent="0.25">
      <c r="A142" s="355">
        <v>51000</v>
      </c>
      <c r="B142" s="426" t="s">
        <v>229</v>
      </c>
      <c r="C142" s="422"/>
      <c r="D142" s="425"/>
      <c r="E142" s="422"/>
      <c r="F142" s="425"/>
      <c r="G142" s="400">
        <v>32217</v>
      </c>
      <c r="H142" s="401">
        <f t="shared" si="40"/>
        <v>4.5365669158580818E-3</v>
      </c>
      <c r="I142" s="435">
        <v>50.717115384615298</v>
      </c>
      <c r="J142" s="436">
        <v>58.029615384615298</v>
      </c>
      <c r="K142" s="437">
        <f t="shared" si="39"/>
        <v>213.83721153846119</v>
      </c>
      <c r="L142" s="404">
        <f t="shared" si="41"/>
        <v>1.891101027755623E-2</v>
      </c>
      <c r="M142" s="422"/>
      <c r="N142" s="425"/>
      <c r="O142" s="446"/>
      <c r="P142" s="446"/>
      <c r="Q142" s="422"/>
      <c r="R142" s="425"/>
      <c r="S142" s="425"/>
      <c r="T142" s="425"/>
      <c r="U142" s="425"/>
      <c r="V142" s="425"/>
      <c r="W142" s="400">
        <v>585</v>
      </c>
      <c r="X142" s="401">
        <f t="shared" si="42"/>
        <v>6.8900535893056947E-3</v>
      </c>
      <c r="Y142" s="467"/>
      <c r="Z142" s="467"/>
    </row>
    <row r="143" spans="1:26" ht="11.25" customHeight="1" x14ac:dyDescent="0.25">
      <c r="A143" s="355">
        <v>52000</v>
      </c>
      <c r="B143" s="426" t="s">
        <v>230</v>
      </c>
      <c r="C143" s="422"/>
      <c r="D143" s="425"/>
      <c r="E143" s="422"/>
      <c r="F143" s="425"/>
      <c r="G143" s="400">
        <v>6173</v>
      </c>
      <c r="H143" s="401">
        <f t="shared" si="40"/>
        <v>8.6923759417673714E-4</v>
      </c>
      <c r="I143" s="435">
        <v>11.5</v>
      </c>
      <c r="J143" s="436">
        <v>6.8</v>
      </c>
      <c r="K143" s="437">
        <f t="shared" si="39"/>
        <v>38.950000000000003</v>
      </c>
      <c r="L143" s="404">
        <f t="shared" si="41"/>
        <v>3.4446008952858601E-3</v>
      </c>
      <c r="M143" s="422"/>
      <c r="N143" s="425"/>
      <c r="O143" s="446"/>
      <c r="P143" s="446"/>
      <c r="Q143" s="422"/>
      <c r="R143" s="425"/>
      <c r="S143" s="425"/>
      <c r="T143" s="425"/>
      <c r="U143" s="425"/>
      <c r="V143" s="425"/>
      <c r="W143" s="400">
        <v>84</v>
      </c>
      <c r="X143" s="401">
        <f t="shared" si="42"/>
        <v>9.8934102820799727E-4</v>
      </c>
      <c r="Y143" s="467"/>
      <c r="Z143" s="467"/>
    </row>
    <row r="144" spans="1:26" ht="11.25" customHeight="1" x14ac:dyDescent="0.25">
      <c r="A144" s="355">
        <v>53000</v>
      </c>
      <c r="B144" s="426" t="s">
        <v>231</v>
      </c>
      <c r="C144" s="422"/>
      <c r="D144" s="425"/>
      <c r="E144" s="422"/>
      <c r="F144" s="425"/>
      <c r="G144" s="400">
        <v>9707</v>
      </c>
      <c r="H144" s="401">
        <f t="shared" si="40"/>
        <v>1.3668701322976813E-3</v>
      </c>
      <c r="I144" s="435">
        <v>7</v>
      </c>
      <c r="J144" s="436">
        <v>12.146153846153799</v>
      </c>
      <c r="K144" s="437">
        <f t="shared" si="39"/>
        <v>35.719230769230698</v>
      </c>
      <c r="L144" s="404">
        <f t="shared" si="41"/>
        <v>3.1588830368835504E-3</v>
      </c>
      <c r="M144" s="422"/>
      <c r="N144" s="425"/>
      <c r="O144" s="446"/>
      <c r="P144" s="446"/>
      <c r="Q144" s="422"/>
      <c r="R144" s="425"/>
      <c r="S144" s="425"/>
      <c r="T144" s="425"/>
      <c r="U144" s="425"/>
      <c r="V144" s="425"/>
      <c r="W144" s="400">
        <v>168</v>
      </c>
      <c r="X144" s="401">
        <f t="shared" si="42"/>
        <v>1.9786820564159945E-3</v>
      </c>
      <c r="Y144" s="467"/>
      <c r="Z144" s="467"/>
    </row>
    <row r="145" spans="1:31" ht="11.25" customHeight="1" x14ac:dyDescent="0.25">
      <c r="A145" s="355">
        <v>54000</v>
      </c>
      <c r="B145" s="426" t="s">
        <v>85</v>
      </c>
      <c r="C145" s="422"/>
      <c r="D145" s="425"/>
      <c r="E145" s="422"/>
      <c r="F145" s="425"/>
      <c r="G145" s="400">
        <v>4728</v>
      </c>
      <c r="H145" s="401">
        <f t="shared" si="40"/>
        <v>6.6576305609389482E-4</v>
      </c>
      <c r="I145" s="435">
        <v>14.5984615384615</v>
      </c>
      <c r="J145" s="436">
        <v>42.310769230769203</v>
      </c>
      <c r="K145" s="437">
        <f t="shared" si="39"/>
        <v>99.962307692307547</v>
      </c>
      <c r="L145" s="404">
        <f t="shared" si="41"/>
        <v>8.8403146231518133E-3</v>
      </c>
      <c r="M145" s="422"/>
      <c r="N145" s="425"/>
      <c r="O145" s="446"/>
      <c r="P145" s="446"/>
      <c r="Q145" s="422"/>
      <c r="R145" s="425"/>
      <c r="S145" s="425"/>
      <c r="T145" s="425"/>
      <c r="U145" s="425"/>
      <c r="V145" s="425"/>
      <c r="W145" s="400">
        <v>236</v>
      </c>
      <c r="X145" s="401">
        <f t="shared" si="42"/>
        <v>2.779577174489135E-3</v>
      </c>
      <c r="Y145" s="467"/>
      <c r="Z145" s="467"/>
    </row>
    <row r="146" spans="1:31" ht="11.25" customHeight="1" x14ac:dyDescent="0.25">
      <c r="A146" s="355">
        <v>55000</v>
      </c>
      <c r="B146" s="426" t="s">
        <v>86</v>
      </c>
      <c r="C146" s="422"/>
      <c r="D146" s="425"/>
      <c r="E146" s="422"/>
      <c r="F146" s="425"/>
      <c r="G146" s="400">
        <v>0</v>
      </c>
      <c r="H146" s="401">
        <f t="shared" si="40"/>
        <v>0</v>
      </c>
      <c r="I146" s="435">
        <v>0</v>
      </c>
      <c r="J146" s="436">
        <v>0</v>
      </c>
      <c r="K146" s="437">
        <f t="shared" si="39"/>
        <v>0</v>
      </c>
      <c r="L146" s="404">
        <f t="shared" si="41"/>
        <v>0</v>
      </c>
      <c r="M146" s="422"/>
      <c r="N146" s="425"/>
      <c r="O146" s="446"/>
      <c r="P146" s="446"/>
      <c r="Q146" s="422"/>
      <c r="R146" s="425"/>
      <c r="S146" s="425"/>
      <c r="T146" s="425"/>
      <c r="U146" s="425"/>
      <c r="V146" s="425"/>
      <c r="W146" s="400"/>
      <c r="X146" s="401">
        <f t="shared" si="42"/>
        <v>0</v>
      </c>
      <c r="Y146" s="467"/>
      <c r="Z146" s="467"/>
    </row>
    <row r="147" spans="1:31" ht="11.25" customHeight="1" x14ac:dyDescent="0.25">
      <c r="A147" s="410">
        <v>56000</v>
      </c>
      <c r="B147" s="427" t="s">
        <v>87</v>
      </c>
      <c r="C147" s="422"/>
      <c r="D147" s="425"/>
      <c r="E147" s="422"/>
      <c r="F147" s="425"/>
      <c r="G147" s="412">
        <v>0</v>
      </c>
      <c r="H147" s="413">
        <f t="shared" si="40"/>
        <v>0</v>
      </c>
      <c r="I147" s="440">
        <v>0</v>
      </c>
      <c r="J147" s="441">
        <v>0</v>
      </c>
      <c r="K147" s="442">
        <f t="shared" si="39"/>
        <v>0</v>
      </c>
      <c r="L147" s="416">
        <f t="shared" si="41"/>
        <v>0</v>
      </c>
      <c r="M147" s="422"/>
      <c r="N147" s="425"/>
      <c r="O147" s="446"/>
      <c r="P147" s="446"/>
      <c r="Q147" s="422"/>
      <c r="R147" s="425"/>
      <c r="S147" s="425"/>
      <c r="T147" s="425"/>
      <c r="U147" s="425"/>
      <c r="V147" s="425"/>
      <c r="W147" s="412"/>
      <c r="X147" s="413">
        <f t="shared" si="42"/>
        <v>0</v>
      </c>
      <c r="Y147" s="467"/>
      <c r="Z147" s="467"/>
    </row>
    <row r="148" spans="1:31" s="467" customFormat="1" ht="11.25" customHeight="1" x14ac:dyDescent="0.25">
      <c r="AE148" s="325"/>
    </row>
    <row r="149" spans="1:31" s="467" customFormat="1" ht="11.25" customHeight="1" x14ac:dyDescent="0.25">
      <c r="AE149" s="325"/>
    </row>
    <row r="150" spans="1:31" s="467" customFormat="1" ht="11.25" customHeight="1" x14ac:dyDescent="0.25">
      <c r="AE150" s="325"/>
    </row>
    <row r="151" spans="1:31" s="467" customFormat="1" ht="11.25" customHeight="1" x14ac:dyDescent="0.25"/>
    <row r="152" spans="1:31" s="467" customFormat="1" ht="11.25" customHeight="1" x14ac:dyDescent="0.25"/>
    <row r="153" spans="1:31" s="467" customFormat="1" ht="11.25" customHeight="1" x14ac:dyDescent="0.25"/>
    <row r="154" spans="1:31" s="467" customFormat="1" ht="11.25" customHeight="1" x14ac:dyDescent="0.25"/>
    <row r="155" spans="1:31" s="467" customFormat="1" ht="11.25" customHeight="1" x14ac:dyDescent="0.25"/>
    <row r="156" spans="1:31" s="467" customFormat="1" ht="11.25" customHeight="1" x14ac:dyDescent="0.25"/>
    <row r="157" spans="1:31" s="467" customFormat="1" ht="11.25" customHeight="1" x14ac:dyDescent="0.25"/>
    <row r="158" spans="1:31" s="467" customFormat="1" ht="11.25" customHeight="1" x14ac:dyDescent="0.25"/>
    <row r="159" spans="1:31" s="467" customFormat="1" ht="11.25" customHeight="1" x14ac:dyDescent="0.25"/>
    <row r="160" spans="1:31" s="467" customFormat="1" ht="11.25" customHeight="1" x14ac:dyDescent="0.25"/>
    <row r="161" spans="7:31" s="467" customFormat="1" ht="11.25" customHeight="1" x14ac:dyDescent="0.25"/>
    <row r="162" spans="7:31" s="467" customFormat="1" ht="11.25" customHeight="1" x14ac:dyDescent="0.25"/>
    <row r="163" spans="7:31" s="467" customFormat="1" ht="11.25" customHeight="1" x14ac:dyDescent="0.25"/>
    <row r="164" spans="7:31" s="467" customFormat="1" ht="11.25" customHeight="1" x14ac:dyDescent="0.25"/>
    <row r="165" spans="7:31" s="467" customFormat="1" ht="11.25" customHeight="1" x14ac:dyDescent="0.25"/>
    <row r="166" spans="7:31" s="467" customFormat="1" ht="11.25" customHeight="1" x14ac:dyDescent="0.25"/>
    <row r="167" spans="7:31" s="467" customFormat="1" ht="11.25" customHeight="1" x14ac:dyDescent="0.25"/>
    <row r="168" spans="7:31" s="467" customFormat="1" ht="11.25" customHeight="1" x14ac:dyDescent="0.25"/>
    <row r="169" spans="7:31" s="467" customFormat="1" ht="11.25" customHeight="1" x14ac:dyDescent="0.25"/>
    <row r="170" spans="7:31" s="467" customFormat="1" ht="11.25" customHeight="1" x14ac:dyDescent="0.25"/>
    <row r="171" spans="7:31" s="467" customFormat="1" ht="11.25" customHeight="1" x14ac:dyDescent="0.25"/>
    <row r="172" spans="7:31" s="467" customFormat="1" ht="11.25" customHeight="1" x14ac:dyDescent="0.25"/>
    <row r="173" spans="7:31" s="467" customFormat="1" ht="11.25" customHeight="1" x14ac:dyDescent="0.25"/>
    <row r="174" spans="7:31" ht="15" x14ac:dyDescent="0.25">
      <c r="G174" s="447"/>
      <c r="H174" s="325"/>
      <c r="I174" s="448"/>
      <c r="J174" s="448"/>
      <c r="K174" s="448"/>
      <c r="L174" s="449"/>
      <c r="O174" s="448"/>
      <c r="P174" s="448"/>
      <c r="Q174" s="448"/>
      <c r="R174" s="449"/>
      <c r="S174" s="449"/>
      <c r="T174" s="449"/>
      <c r="U174" s="449"/>
      <c r="V174" s="449"/>
      <c r="W174" s="449"/>
      <c r="X174" s="449"/>
      <c r="Y174" s="478"/>
      <c r="AE174" s="467"/>
    </row>
    <row r="175" spans="7:31" ht="15" x14ac:dyDescent="0.25">
      <c r="AE175" s="467"/>
    </row>
    <row r="176" spans="7:31" ht="15" x14ac:dyDescent="0.25">
      <c r="AE176" s="467"/>
    </row>
    <row r="177" spans="31:31" ht="15" x14ac:dyDescent="0.25">
      <c r="AE177" s="467"/>
    </row>
  </sheetData>
  <mergeCells count="13">
    <mergeCell ref="X39:Z45"/>
    <mergeCell ref="O6:R6"/>
    <mergeCell ref="S6:V6"/>
    <mergeCell ref="W6:X7"/>
    <mergeCell ref="Y6:Z6"/>
    <mergeCell ref="G6:H7"/>
    <mergeCell ref="I6:L6"/>
    <mergeCell ref="M6:N7"/>
    <mergeCell ref="A8:B8"/>
    <mergeCell ref="A9:B9"/>
    <mergeCell ref="A6:B7"/>
    <mergeCell ref="C6:D7"/>
    <mergeCell ref="E6:F7"/>
  </mergeCells>
  <printOptions horizontalCentered="1"/>
  <pageMargins left="0.19685039370078741" right="0.19685039370078741" top="0.39370078740157483" bottom="0.39370078740157483" header="0.51181102362204722" footer="0.51181102362204722"/>
  <pageSetup paperSize="8" scale="73" fitToHeight="2" orientation="landscape" r:id="rId1"/>
  <headerFooter alignWithMargins="0">
    <oddHeader>&amp;LČ.j.: MSMT-1404/2017-1</oddHeader>
    <oddFooter>&amp;R3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R36"/>
  <sheetViews>
    <sheetView zoomScaleNormal="100" workbookViewId="0">
      <selection activeCell="C42" sqref="C42"/>
    </sheetView>
  </sheetViews>
  <sheetFormatPr defaultRowHeight="15" x14ac:dyDescent="0.25"/>
  <cols>
    <col min="1" max="1" width="9.140625" style="450"/>
    <col min="2" max="2" width="11" style="450" customWidth="1"/>
    <col min="3" max="3" width="60.28515625" style="450" customWidth="1"/>
    <col min="4" max="4" width="12.42578125" style="450" customWidth="1"/>
    <col min="5" max="5" width="18.7109375" style="450" customWidth="1"/>
    <col min="6" max="6" width="11.85546875" style="450" customWidth="1"/>
    <col min="7" max="7" width="17.28515625" style="450" customWidth="1"/>
    <col min="8" max="8" width="17.42578125" style="450" customWidth="1"/>
    <col min="9" max="9" width="2.42578125" style="450" customWidth="1"/>
    <col min="10" max="10" width="18.42578125" style="450" customWidth="1"/>
    <col min="11" max="11" width="19.140625" style="450" customWidth="1"/>
    <col min="12" max="12" width="12.85546875" style="450" customWidth="1"/>
    <col min="13" max="13" width="16.7109375" style="450" customWidth="1"/>
    <col min="14" max="14" width="19.7109375" style="450" customWidth="1"/>
    <col min="15" max="15" width="2.28515625" style="450" customWidth="1"/>
    <col min="16" max="16" width="15.140625" style="450" customWidth="1"/>
    <col min="17" max="17" width="2.85546875" style="450" customWidth="1"/>
    <col min="18" max="18" width="14" style="450" customWidth="1"/>
    <col min="19" max="16384" width="9.140625" style="450"/>
  </cols>
  <sheetData>
    <row r="2" spans="2:18" ht="26.25" x14ac:dyDescent="0.4">
      <c r="B2" s="623" t="s">
        <v>260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2:18" ht="18.75" x14ac:dyDescent="0.3">
      <c r="B3" s="451"/>
    </row>
    <row r="4" spans="2:18" x14ac:dyDescent="0.25">
      <c r="B4" s="621" t="s">
        <v>235</v>
      </c>
      <c r="C4" s="621"/>
      <c r="D4" s="621"/>
      <c r="E4" s="622">
        <v>16186023232.000002</v>
      </c>
      <c r="F4" s="621" t="s">
        <v>144</v>
      </c>
    </row>
    <row r="5" spans="2:18" x14ac:dyDescent="0.25">
      <c r="B5" s="621" t="s">
        <v>236</v>
      </c>
      <c r="C5" s="621"/>
      <c r="D5" s="621"/>
      <c r="E5" s="622">
        <f>+E4*0.9</f>
        <v>14567420908.800001</v>
      </c>
      <c r="F5" s="621" t="s">
        <v>144</v>
      </c>
      <c r="I5" s="452"/>
      <c r="J5" s="452"/>
    </row>
    <row r="6" spans="2:18" ht="15.75" thickBot="1" x14ac:dyDescent="0.3">
      <c r="B6" s="621" t="s">
        <v>237</v>
      </c>
      <c r="C6" s="621"/>
      <c r="D6" s="621"/>
      <c r="E6" s="622">
        <v>1618602323.2</v>
      </c>
      <c r="F6" s="621" t="s">
        <v>144</v>
      </c>
      <c r="I6" s="452"/>
      <c r="M6" s="454" t="s">
        <v>176</v>
      </c>
    </row>
    <row r="7" spans="2:18" ht="15.75" thickBot="1" x14ac:dyDescent="0.3">
      <c r="H7" s="454" t="s">
        <v>176</v>
      </c>
      <c r="J7" s="842" t="s">
        <v>243</v>
      </c>
      <c r="K7" s="843"/>
      <c r="L7" s="843"/>
      <c r="M7" s="844"/>
    </row>
    <row r="8" spans="2:18" ht="15" customHeight="1" x14ac:dyDescent="0.25">
      <c r="B8" s="838" t="s">
        <v>73</v>
      </c>
      <c r="C8" s="840" t="s">
        <v>116</v>
      </c>
      <c r="D8" s="834" t="s">
        <v>238</v>
      </c>
      <c r="E8" s="835"/>
      <c r="F8" s="835" t="s">
        <v>239</v>
      </c>
      <c r="G8" s="835"/>
      <c r="H8" s="836" t="s">
        <v>240</v>
      </c>
      <c r="I8" s="530"/>
      <c r="J8" s="845" t="s">
        <v>249</v>
      </c>
      <c r="K8" s="847" t="s">
        <v>248</v>
      </c>
      <c r="L8" s="849" t="s">
        <v>246</v>
      </c>
      <c r="M8" s="851" t="s">
        <v>247</v>
      </c>
    </row>
    <row r="9" spans="2:18" ht="15" customHeight="1" thickBot="1" x14ac:dyDescent="0.3">
      <c r="B9" s="839"/>
      <c r="C9" s="841"/>
      <c r="D9" s="705" t="s">
        <v>241</v>
      </c>
      <c r="E9" s="619" t="s">
        <v>242</v>
      </c>
      <c r="F9" s="619" t="s">
        <v>241</v>
      </c>
      <c r="G9" s="619" t="s">
        <v>242</v>
      </c>
      <c r="H9" s="837"/>
      <c r="I9" s="530"/>
      <c r="J9" s="846"/>
      <c r="K9" s="848"/>
      <c r="L9" s="850" t="s">
        <v>244</v>
      </c>
      <c r="M9" s="852"/>
    </row>
    <row r="10" spans="2:18" ht="15" customHeight="1" x14ac:dyDescent="0.25">
      <c r="B10" s="710">
        <v>11000</v>
      </c>
      <c r="C10" s="665" t="s">
        <v>170</v>
      </c>
      <c r="D10" s="706">
        <f>+'[2]stanovení podílů fixní 2017'!D7</f>
        <v>0.17703877581317168</v>
      </c>
      <c r="E10" s="617">
        <f>+E$5*D10</f>
        <v>2578998364.4491529</v>
      </c>
      <c r="F10" s="618">
        <v>0.20953546849984567</v>
      </c>
      <c r="G10" s="617">
        <f>+E$6*F10</f>
        <v>339154596.10665065</v>
      </c>
      <c r="H10" s="713">
        <f>+E10+G10</f>
        <v>2918152960.5558038</v>
      </c>
      <c r="I10" s="533"/>
      <c r="J10" s="617">
        <f>+E$4*'2 stanovení podílů fix. části'!C7</f>
        <v>2879425180.6605535</v>
      </c>
      <c r="K10" s="617">
        <f>+J10*0.98</f>
        <v>2821836677.0473423</v>
      </c>
      <c r="L10" s="620">
        <f>IF(H10&gt;K10,0,K10-H10)</f>
        <v>0</v>
      </c>
      <c r="M10" s="713">
        <f>+H10+L10</f>
        <v>2918152960.5558038</v>
      </c>
      <c r="N10" s="453"/>
      <c r="P10" s="453"/>
      <c r="R10" s="453"/>
    </row>
    <row r="11" spans="2:18" ht="15" customHeight="1" x14ac:dyDescent="0.25">
      <c r="B11" s="711">
        <v>12000</v>
      </c>
      <c r="C11" s="665" t="s">
        <v>91</v>
      </c>
      <c r="D11" s="707">
        <f>+'[2]stanovení podílů fixní 2017'!D8</f>
        <v>3.0712588244683047E-2</v>
      </c>
      <c r="E11" s="531">
        <f t="shared" ref="E11:E35" si="0">+E$5*D11</f>
        <v>447403200.15896094</v>
      </c>
      <c r="F11" s="532">
        <v>2.8680376252434501E-2</v>
      </c>
      <c r="G11" s="531">
        <f t="shared" ref="G11:G35" si="1">+E$6*F11</f>
        <v>46422123.632440597</v>
      </c>
      <c r="H11" s="714">
        <f t="shared" ref="H11:H35" si="2">+E11+G11</f>
        <v>493825323.79140151</v>
      </c>
      <c r="I11" s="533"/>
      <c r="J11" s="531">
        <f>+E$4*'2 stanovení podílů fix. části'!C8</f>
        <v>499521076.94375592</v>
      </c>
      <c r="K11" s="531">
        <f t="shared" ref="K11:K35" si="3">+J11*0.98</f>
        <v>489530655.40488082</v>
      </c>
      <c r="L11" s="534">
        <f>IF(H11&gt;K11,0,K11-H11)</f>
        <v>0</v>
      </c>
      <c r="M11" s="714">
        <f t="shared" ref="M11:M35" si="4">+H11+L11</f>
        <v>493825323.79140151</v>
      </c>
      <c r="N11" s="453"/>
      <c r="P11" s="453"/>
      <c r="R11" s="453"/>
    </row>
    <row r="12" spans="2:18" ht="15" customHeight="1" x14ac:dyDescent="0.25">
      <c r="B12" s="711">
        <v>13000</v>
      </c>
      <c r="C12" s="665" t="s">
        <v>92</v>
      </c>
      <c r="D12" s="707">
        <f>+'[2]stanovení podílů fixní 2017'!D9</f>
        <v>2.4492280023581198E-2</v>
      </c>
      <c r="E12" s="531">
        <f t="shared" si="0"/>
        <v>356789352.11970133</v>
      </c>
      <c r="F12" s="532">
        <v>1.6291584452938577E-2</v>
      </c>
      <c r="G12" s="531">
        <f t="shared" si="1"/>
        <v>26369596.444135383</v>
      </c>
      <c r="H12" s="714">
        <f t="shared" si="2"/>
        <v>383158948.56383669</v>
      </c>
      <c r="I12" s="533"/>
      <c r="J12" s="531">
        <f>+E$4*'2 stanovení podílů fix. části'!C9</f>
        <v>398351646.45576024</v>
      </c>
      <c r="K12" s="531">
        <f t="shared" si="3"/>
        <v>390384613.526645</v>
      </c>
      <c r="L12" s="534">
        <f t="shared" ref="L12:L35" si="5">IF(H12&gt;K12,0,K12-H12)</f>
        <v>7225664.962808311</v>
      </c>
      <c r="M12" s="714">
        <f t="shared" si="4"/>
        <v>390384613.526645</v>
      </c>
      <c r="N12" s="453"/>
      <c r="P12" s="453"/>
      <c r="R12" s="453"/>
    </row>
    <row r="13" spans="2:18" ht="15" customHeight="1" x14ac:dyDescent="0.25">
      <c r="B13" s="711">
        <v>14000</v>
      </c>
      <c r="C13" s="665" t="s">
        <v>93</v>
      </c>
      <c r="D13" s="707">
        <f>+'[2]stanovení podílů fixní 2017'!D10</f>
        <v>0.11301912740144074</v>
      </c>
      <c r="E13" s="531">
        <f t="shared" si="0"/>
        <v>1646397199.6020789</v>
      </c>
      <c r="F13" s="532">
        <v>0.12122222155183993</v>
      </c>
      <c r="G13" s="531">
        <f t="shared" si="1"/>
        <v>196210569.42727321</v>
      </c>
      <c r="H13" s="714">
        <f t="shared" si="2"/>
        <v>1842607769.0293522</v>
      </c>
      <c r="I13" s="533"/>
      <c r="J13" s="531">
        <f>+E$4*'2 stanovení podílů fix. části'!C10</f>
        <v>1838185560.4300876</v>
      </c>
      <c r="K13" s="531">
        <f t="shared" si="3"/>
        <v>1801421849.2214859</v>
      </c>
      <c r="L13" s="534">
        <f t="shared" si="5"/>
        <v>0</v>
      </c>
      <c r="M13" s="714">
        <f t="shared" si="4"/>
        <v>1842607769.0293522</v>
      </c>
      <c r="N13" s="453"/>
      <c r="P13" s="453"/>
      <c r="R13" s="453"/>
    </row>
    <row r="14" spans="2:18" ht="15" customHeight="1" x14ac:dyDescent="0.25">
      <c r="B14" s="711">
        <v>15000</v>
      </c>
      <c r="C14" s="665" t="s">
        <v>94</v>
      </c>
      <c r="D14" s="707">
        <f>+'[2]stanovení podílů fixní 2017'!D11</f>
        <v>6.3058979479020852E-2</v>
      </c>
      <c r="E14" s="531">
        <f t="shared" si="0"/>
        <v>918606696.15027857</v>
      </c>
      <c r="F14" s="532">
        <v>6.4511352630302291E-2</v>
      </c>
      <c r="G14" s="531">
        <f t="shared" si="1"/>
        <v>104418225.24018171</v>
      </c>
      <c r="H14" s="714">
        <f t="shared" si="2"/>
        <v>1023024921.3904603</v>
      </c>
      <c r="I14" s="533"/>
      <c r="J14" s="531">
        <f>+E$4*'2 stanovení podílů fix. části'!C11</f>
        <v>1025614939.6913118</v>
      </c>
      <c r="K14" s="531">
        <f t="shared" si="3"/>
        <v>1005102640.8974856</v>
      </c>
      <c r="L14" s="534">
        <f t="shared" si="5"/>
        <v>0</v>
      </c>
      <c r="M14" s="714">
        <f t="shared" si="4"/>
        <v>1023024921.3904603</v>
      </c>
      <c r="N14" s="453"/>
      <c r="P14" s="453"/>
      <c r="R14" s="453"/>
    </row>
    <row r="15" spans="2:18" ht="15" customHeight="1" x14ac:dyDescent="0.25">
      <c r="B15" s="711">
        <v>16000</v>
      </c>
      <c r="C15" s="665" t="s">
        <v>95</v>
      </c>
      <c r="D15" s="707">
        <f>+'[2]stanovení podílů fixní 2017'!D12</f>
        <v>1.5642942800589969E-2</v>
      </c>
      <c r="E15" s="531">
        <f t="shared" si="0"/>
        <v>227877332.02847677</v>
      </c>
      <c r="F15" s="532">
        <v>1.0082871028469418E-2</v>
      </c>
      <c r="G15" s="531">
        <f t="shared" si="1"/>
        <v>16320158.471206574</v>
      </c>
      <c r="H15" s="714">
        <f t="shared" si="2"/>
        <v>244197490.49968335</v>
      </c>
      <c r="I15" s="533"/>
      <c r="J15" s="531">
        <f>+E$4*'2 stanovení podílů fix. části'!C12</f>
        <v>254422700.29693857</v>
      </c>
      <c r="K15" s="531">
        <f t="shared" si="3"/>
        <v>249334246.2909998</v>
      </c>
      <c r="L15" s="534">
        <f t="shared" si="5"/>
        <v>5136755.7913164496</v>
      </c>
      <c r="M15" s="714">
        <f t="shared" si="4"/>
        <v>249334246.2909998</v>
      </c>
      <c r="N15" s="453"/>
      <c r="P15" s="453"/>
      <c r="R15" s="453"/>
    </row>
    <row r="16" spans="2:18" ht="15" customHeight="1" x14ac:dyDescent="0.25">
      <c r="B16" s="711">
        <v>17000</v>
      </c>
      <c r="C16" s="665" t="s">
        <v>169</v>
      </c>
      <c r="D16" s="707">
        <f>+'[2]stanovení podílů fixní 2017'!D13</f>
        <v>2.7781352018572514E-2</v>
      </c>
      <c r="E16" s="531">
        <f t="shared" si="0"/>
        <v>404702648.27008635</v>
      </c>
      <c r="F16" s="532">
        <v>2.2411681043430561E-2</v>
      </c>
      <c r="G16" s="531">
        <f t="shared" si="1"/>
        <v>36275599.003714107</v>
      </c>
      <c r="H16" s="714">
        <f t="shared" si="2"/>
        <v>440978247.27380043</v>
      </c>
      <c r="I16" s="533"/>
      <c r="J16" s="531">
        <f>+E$4*'2 stanovení podílů fix. části'!C13</f>
        <v>451846349.40929711</v>
      </c>
      <c r="K16" s="531">
        <f t="shared" si="3"/>
        <v>442809422.42111117</v>
      </c>
      <c r="L16" s="534">
        <f t="shared" si="5"/>
        <v>1831175.1473107338</v>
      </c>
      <c r="M16" s="714">
        <f t="shared" si="4"/>
        <v>442809422.42111117</v>
      </c>
      <c r="N16" s="453"/>
      <c r="P16" s="453"/>
      <c r="R16" s="453"/>
    </row>
    <row r="17" spans="2:18" ht="15" customHeight="1" x14ac:dyDescent="0.25">
      <c r="B17" s="711">
        <v>18000</v>
      </c>
      <c r="C17" s="665" t="s">
        <v>88</v>
      </c>
      <c r="D17" s="707">
        <f>+'[2]stanovení podílů fixní 2017'!D14</f>
        <v>1.7118401559116831E-2</v>
      </c>
      <c r="E17" s="531">
        <f t="shared" si="0"/>
        <v>249370960.79751307</v>
      </c>
      <c r="F17" s="532">
        <v>1.5065404461156062E-2</v>
      </c>
      <c r="G17" s="531">
        <f t="shared" si="1"/>
        <v>24384898.660774846</v>
      </c>
      <c r="H17" s="714">
        <f t="shared" si="2"/>
        <v>273755859.45828789</v>
      </c>
      <c r="I17" s="533"/>
      <c r="J17" s="531">
        <f>+E$4*'2 stanovení podílů fix. části'!C14</f>
        <v>278420116.02021378</v>
      </c>
      <c r="K17" s="531">
        <f t="shared" si="3"/>
        <v>272851713.69980949</v>
      </c>
      <c r="L17" s="534">
        <f t="shared" si="5"/>
        <v>0</v>
      </c>
      <c r="M17" s="714">
        <f t="shared" si="4"/>
        <v>273755859.45828789</v>
      </c>
      <c r="N17" s="453"/>
      <c r="P17" s="453"/>
      <c r="R17" s="453"/>
    </row>
    <row r="18" spans="2:18" ht="15" customHeight="1" x14ac:dyDescent="0.25">
      <c r="B18" s="711">
        <v>19000</v>
      </c>
      <c r="C18" s="665" t="s">
        <v>96</v>
      </c>
      <c r="D18" s="707">
        <f>+'[2]stanovení podílů fixní 2017'!D15</f>
        <v>1.5324170618259388E-2</v>
      </c>
      <c r="E18" s="531">
        <f t="shared" si="0"/>
        <v>223233643.47445044</v>
      </c>
      <c r="F18" s="532">
        <v>1.2024940994960582E-2</v>
      </c>
      <c r="G18" s="531">
        <f t="shared" si="1"/>
        <v>19463597.430786118</v>
      </c>
      <c r="H18" s="714">
        <f t="shared" si="2"/>
        <v>242697240.90523654</v>
      </c>
      <c r="I18" s="533"/>
      <c r="J18" s="531">
        <f>+E$4*'2 stanovení podílů fix. části'!C15</f>
        <v>249238069.72953439</v>
      </c>
      <c r="K18" s="531">
        <f t="shared" si="3"/>
        <v>244253308.33494368</v>
      </c>
      <c r="L18" s="534">
        <f t="shared" si="5"/>
        <v>1556067.4297071397</v>
      </c>
      <c r="M18" s="714">
        <f t="shared" si="4"/>
        <v>244253308.33494368</v>
      </c>
      <c r="N18" s="453"/>
      <c r="P18" s="453"/>
      <c r="R18" s="453"/>
    </row>
    <row r="19" spans="2:18" ht="15" customHeight="1" x14ac:dyDescent="0.25">
      <c r="B19" s="711">
        <v>21000</v>
      </c>
      <c r="C19" s="665" t="s">
        <v>97</v>
      </c>
      <c r="D19" s="707">
        <f>+'[2]stanovení podílů fixní 2017'!D16</f>
        <v>8.5683679149170758E-2</v>
      </c>
      <c r="E19" s="531">
        <f t="shared" si="0"/>
        <v>1248190219.1805408</v>
      </c>
      <c r="F19" s="532">
        <v>9.3129321919194402E-2</v>
      </c>
      <c r="G19" s="531">
        <f t="shared" si="1"/>
        <v>150739336.81644875</v>
      </c>
      <c r="H19" s="714">
        <f t="shared" si="2"/>
        <v>1398929555.9969895</v>
      </c>
      <c r="I19" s="533"/>
      <c r="J19" s="531">
        <f>+E$4*'2 stanovení podílů fix. části'!C16</f>
        <v>1393591557.4457219</v>
      </c>
      <c r="K19" s="531">
        <f t="shared" si="3"/>
        <v>1365719726.2968073</v>
      </c>
      <c r="L19" s="534">
        <f t="shared" si="5"/>
        <v>0</v>
      </c>
      <c r="M19" s="714">
        <f t="shared" si="4"/>
        <v>1398929555.9969895</v>
      </c>
      <c r="N19" s="453"/>
      <c r="P19" s="453"/>
      <c r="R19" s="453"/>
    </row>
    <row r="20" spans="2:18" ht="15" customHeight="1" x14ac:dyDescent="0.25">
      <c r="B20" s="711">
        <v>22000</v>
      </c>
      <c r="C20" s="665" t="s">
        <v>98</v>
      </c>
      <c r="D20" s="707">
        <f>+'[2]stanovení podílů fixní 2017'!D17</f>
        <v>2.2777094818815707E-2</v>
      </c>
      <c r="E20" s="531">
        <f t="shared" si="0"/>
        <v>331803527.30533612</v>
      </c>
      <c r="F20" s="532">
        <v>2.8370973518789731E-2</v>
      </c>
      <c r="G20" s="531">
        <f t="shared" si="1"/>
        <v>45921323.648958735</v>
      </c>
      <c r="H20" s="714">
        <f t="shared" si="2"/>
        <v>377724850.95429486</v>
      </c>
      <c r="I20" s="533"/>
      <c r="J20" s="531">
        <f>+E$4*'2 stanovení podílů fix. části'!C17</f>
        <v>370455229.72211754</v>
      </c>
      <c r="K20" s="531">
        <f t="shared" si="3"/>
        <v>363046125.12767518</v>
      </c>
      <c r="L20" s="534">
        <f t="shared" si="5"/>
        <v>0</v>
      </c>
      <c r="M20" s="714">
        <f t="shared" si="4"/>
        <v>377724850.95429486</v>
      </c>
      <c r="N20" s="453"/>
      <c r="P20" s="453"/>
      <c r="R20" s="453"/>
    </row>
    <row r="21" spans="2:18" ht="15" customHeight="1" x14ac:dyDescent="0.25">
      <c r="B21" s="711">
        <v>23000</v>
      </c>
      <c r="C21" s="665" t="s">
        <v>99</v>
      </c>
      <c r="D21" s="707">
        <f>+'[2]stanovení podílů fixní 2017'!D18</f>
        <v>3.7281019509879151E-2</v>
      </c>
      <c r="E21" s="531">
        <f t="shared" si="0"/>
        <v>543088303.10959435</v>
      </c>
      <c r="F21" s="532">
        <v>3.6388125904963917E-2</v>
      </c>
      <c r="G21" s="531">
        <f t="shared" si="1"/>
        <v>58897905.126668699</v>
      </c>
      <c r="H21" s="714">
        <f t="shared" si="2"/>
        <v>601986208.23626304</v>
      </c>
      <c r="I21" s="533"/>
      <c r="J21" s="531">
        <f>+E$4*'2 stanovení podílů fix. části'!C18</f>
        <v>606352511.4448781</v>
      </c>
      <c r="K21" s="531">
        <f t="shared" si="3"/>
        <v>594225461.21598053</v>
      </c>
      <c r="L21" s="534">
        <f t="shared" si="5"/>
        <v>0</v>
      </c>
      <c r="M21" s="714">
        <f t="shared" si="4"/>
        <v>601986208.23626304</v>
      </c>
      <c r="N21" s="453"/>
      <c r="P21" s="453"/>
      <c r="R21" s="453"/>
    </row>
    <row r="22" spans="2:18" ht="15" customHeight="1" x14ac:dyDescent="0.25">
      <c r="B22" s="711">
        <v>24000</v>
      </c>
      <c r="C22" s="665" t="s">
        <v>100</v>
      </c>
      <c r="D22" s="707">
        <f>+'[2]stanovení podílů fixní 2017'!D19</f>
        <v>2.189139048998005E-2</v>
      </c>
      <c r="E22" s="531">
        <f t="shared" si="0"/>
        <v>318901099.5464409</v>
      </c>
      <c r="F22" s="532">
        <v>1.9384797617447679E-2</v>
      </c>
      <c r="G22" s="531">
        <f t="shared" si="1"/>
        <v>31376278.458362639</v>
      </c>
      <c r="H22" s="714">
        <f t="shared" si="2"/>
        <v>350277378.00480354</v>
      </c>
      <c r="I22" s="533"/>
      <c r="J22" s="531">
        <f>+E$4*'2 stanovení podílů fix. části'!C19</f>
        <v>356049801.6719327</v>
      </c>
      <c r="K22" s="531">
        <f t="shared" si="3"/>
        <v>348928805.63849401</v>
      </c>
      <c r="L22" s="534">
        <f t="shared" si="5"/>
        <v>0</v>
      </c>
      <c r="M22" s="714">
        <f t="shared" si="4"/>
        <v>350277378.00480354</v>
      </c>
      <c r="N22" s="453"/>
      <c r="P22" s="453"/>
      <c r="R22" s="453"/>
    </row>
    <row r="23" spans="2:18" ht="15" customHeight="1" x14ac:dyDescent="0.25">
      <c r="B23" s="711">
        <v>25000</v>
      </c>
      <c r="C23" s="665" t="s">
        <v>101</v>
      </c>
      <c r="D23" s="707">
        <f>+'[2]stanovení podílů fixní 2017'!D20</f>
        <v>2.6150055041374583E-2</v>
      </c>
      <c r="E23" s="531">
        <f t="shared" si="0"/>
        <v>380938858.57599097</v>
      </c>
      <c r="F23" s="532">
        <v>2.3209578191910447E-2</v>
      </c>
      <c r="G23" s="531">
        <f t="shared" si="1"/>
        <v>37567077.181918308</v>
      </c>
      <c r="H23" s="714">
        <f t="shared" si="2"/>
        <v>418505935.7579093</v>
      </c>
      <c r="I23" s="533"/>
      <c r="J23" s="531">
        <f>+E$4*'2 stanovení podílů fix. části'!C20</f>
        <v>425314322.33384955</v>
      </c>
      <c r="K23" s="531">
        <f t="shared" si="3"/>
        <v>416808035.88717258</v>
      </c>
      <c r="L23" s="534">
        <f t="shared" si="5"/>
        <v>0</v>
      </c>
      <c r="M23" s="714">
        <f t="shared" si="4"/>
        <v>418505935.7579093</v>
      </c>
      <c r="N23" s="453"/>
      <c r="P23" s="453"/>
      <c r="R23" s="453"/>
    </row>
    <row r="24" spans="2:18" ht="15" customHeight="1" x14ac:dyDescent="0.25">
      <c r="B24" s="711">
        <v>26000</v>
      </c>
      <c r="C24" s="665" t="s">
        <v>102</v>
      </c>
      <c r="D24" s="707">
        <f>+'[2]stanovení podílů fixní 2017'!D21</f>
        <v>6.9602045459460249E-2</v>
      </c>
      <c r="E24" s="531">
        <f t="shared" si="0"/>
        <v>1013922292.3213894</v>
      </c>
      <c r="F24" s="532">
        <v>7.1510277684357304E-2</v>
      </c>
      <c r="G24" s="531">
        <f t="shared" si="1"/>
        <v>115746701.59257784</v>
      </c>
      <c r="H24" s="714">
        <f t="shared" si="2"/>
        <v>1129668993.9139674</v>
      </c>
      <c r="I24" s="533"/>
      <c r="J24" s="531">
        <f>+E$4*'2 stanovení podílů fix. části'!C21</f>
        <v>1132033823.6689253</v>
      </c>
      <c r="K24" s="531">
        <f t="shared" si="3"/>
        <v>1109393147.1955469</v>
      </c>
      <c r="L24" s="534">
        <f t="shared" si="5"/>
        <v>0</v>
      </c>
      <c r="M24" s="714">
        <f t="shared" si="4"/>
        <v>1129668993.9139674</v>
      </c>
      <c r="N24" s="453"/>
      <c r="P24" s="453"/>
      <c r="R24" s="453"/>
    </row>
    <row r="25" spans="2:18" ht="15" customHeight="1" x14ac:dyDescent="0.25">
      <c r="B25" s="711">
        <v>27000</v>
      </c>
      <c r="C25" s="665" t="s">
        <v>103</v>
      </c>
      <c r="D25" s="707">
        <f>+'[2]stanovení podílů fixní 2017'!D22</f>
        <v>5.0963662578561525E-2</v>
      </c>
      <c r="E25" s="531">
        <f t="shared" si="0"/>
        <v>742409123.83596539</v>
      </c>
      <c r="F25" s="532">
        <v>4.4070406589225966E-2</v>
      </c>
      <c r="G25" s="531">
        <f t="shared" si="1"/>
        <v>71332462.489689738</v>
      </c>
      <c r="H25" s="714">
        <f t="shared" si="2"/>
        <v>813741586.3256551</v>
      </c>
      <c r="I25" s="533"/>
      <c r="J25" s="531">
        <f>+E$4*'2 stanovení podílů fix. části'!C22</f>
        <v>828892160.22516191</v>
      </c>
      <c r="K25" s="531">
        <f t="shared" si="3"/>
        <v>812314317.02065861</v>
      </c>
      <c r="L25" s="534">
        <f t="shared" si="5"/>
        <v>0</v>
      </c>
      <c r="M25" s="714">
        <f t="shared" si="4"/>
        <v>813741586.3256551</v>
      </c>
      <c r="N25" s="453"/>
      <c r="P25" s="453"/>
      <c r="R25" s="453"/>
    </row>
    <row r="26" spans="2:18" ht="15" customHeight="1" x14ac:dyDescent="0.25">
      <c r="B26" s="711">
        <v>28000</v>
      </c>
      <c r="C26" s="665" t="s">
        <v>104</v>
      </c>
      <c r="D26" s="707">
        <f>+'[2]stanovení podílů fixní 2017'!D23</f>
        <v>3.1685136847760427E-2</v>
      </c>
      <c r="E26" s="531">
        <f t="shared" si="0"/>
        <v>461570725.01425463</v>
      </c>
      <c r="F26" s="532">
        <v>2.4461004788455937E-2</v>
      </c>
      <c r="G26" s="531">
        <f t="shared" si="1"/>
        <v>39592639.178401105</v>
      </c>
      <c r="H26" s="714">
        <f t="shared" si="2"/>
        <v>501163364.19265574</v>
      </c>
      <c r="I26" s="533"/>
      <c r="J26" s="531">
        <f>+E$4*'2 stanovení podílů fix. části'!C23</f>
        <v>515338972.90612113</v>
      </c>
      <c r="K26" s="531">
        <f t="shared" si="3"/>
        <v>505032193.4479987</v>
      </c>
      <c r="L26" s="534">
        <f t="shared" si="5"/>
        <v>3868829.2553429604</v>
      </c>
      <c r="M26" s="714">
        <f t="shared" si="4"/>
        <v>505032193.4479987</v>
      </c>
      <c r="N26" s="453"/>
      <c r="P26" s="453"/>
      <c r="R26" s="453"/>
    </row>
    <row r="27" spans="2:18" ht="15" customHeight="1" x14ac:dyDescent="0.25">
      <c r="B27" s="711">
        <v>31000</v>
      </c>
      <c r="C27" s="665" t="s">
        <v>105</v>
      </c>
      <c r="D27" s="707">
        <f>+'[2]stanovení podílů fixní 2017'!D24</f>
        <v>3.6090463235188934E-2</v>
      </c>
      <c r="E27" s="531">
        <f t="shared" si="0"/>
        <v>525744968.740569</v>
      </c>
      <c r="F27" s="532">
        <v>3.9404281687472321E-2</v>
      </c>
      <c r="G27" s="531">
        <f t="shared" si="1"/>
        <v>63779861.883369915</v>
      </c>
      <c r="H27" s="714">
        <f t="shared" si="2"/>
        <v>589524830.62393892</v>
      </c>
      <c r="I27" s="533"/>
      <c r="J27" s="531">
        <f>+E$4*'2 stanovení podílů fix. části'!C24</f>
        <v>586988856.7845335</v>
      </c>
      <c r="K27" s="531">
        <f t="shared" si="3"/>
        <v>575249079.64884281</v>
      </c>
      <c r="L27" s="534">
        <f t="shared" si="5"/>
        <v>0</v>
      </c>
      <c r="M27" s="714">
        <f t="shared" si="4"/>
        <v>589524830.62393892</v>
      </c>
      <c r="N27" s="453"/>
      <c r="P27" s="453"/>
      <c r="R27" s="453"/>
    </row>
    <row r="28" spans="2:18" ht="15" customHeight="1" x14ac:dyDescent="0.25">
      <c r="B28" s="711">
        <v>41000</v>
      </c>
      <c r="C28" s="665" t="s">
        <v>106</v>
      </c>
      <c r="D28" s="707">
        <f>+'[2]stanovení podílů fixní 2017'!D25</f>
        <v>5.0586558563841144E-2</v>
      </c>
      <c r="E28" s="531">
        <f t="shared" si="0"/>
        <v>736915690.92713523</v>
      </c>
      <c r="F28" s="532">
        <v>4.9023870964596726E-2</v>
      </c>
      <c r="G28" s="531">
        <f t="shared" si="1"/>
        <v>79350151.435553282</v>
      </c>
      <c r="H28" s="714">
        <f t="shared" si="2"/>
        <v>816265842.36268854</v>
      </c>
      <c r="I28" s="533"/>
      <c r="J28" s="531">
        <f>+E$4*'2 stanovení podílů fix. části'!C25</f>
        <v>822758798.81477833</v>
      </c>
      <c r="K28" s="531">
        <f t="shared" si="3"/>
        <v>806303622.83848274</v>
      </c>
      <c r="L28" s="534">
        <f t="shared" si="5"/>
        <v>0</v>
      </c>
      <c r="M28" s="714">
        <f t="shared" si="4"/>
        <v>816265842.36268854</v>
      </c>
      <c r="N28" s="453"/>
      <c r="P28" s="453"/>
      <c r="R28" s="453"/>
    </row>
    <row r="29" spans="2:18" ht="15" customHeight="1" x14ac:dyDescent="0.25">
      <c r="B29" s="711">
        <v>43000</v>
      </c>
      <c r="C29" s="665" t="s">
        <v>107</v>
      </c>
      <c r="D29" s="707">
        <f>+'[2]stanovení podílů fixní 2017'!D26</f>
        <v>2.9560713335700914E-2</v>
      </c>
      <c r="E29" s="531">
        <f t="shared" si="0"/>
        <v>430623353.52553254</v>
      </c>
      <c r="F29" s="532">
        <v>2.9138337257705607E-2</v>
      </c>
      <c r="G29" s="531">
        <f t="shared" si="1"/>
        <v>47163380.379507415</v>
      </c>
      <c r="H29" s="714">
        <f t="shared" si="2"/>
        <v>477786733.90503997</v>
      </c>
      <c r="I29" s="533"/>
      <c r="J29" s="531">
        <f>+E$4*'2 stanovení podílů fix. části'!C26</f>
        <v>480786550.55167115</v>
      </c>
      <c r="K29" s="531">
        <f t="shared" si="3"/>
        <v>471170819.54063773</v>
      </c>
      <c r="L29" s="534">
        <f t="shared" si="5"/>
        <v>0</v>
      </c>
      <c r="M29" s="714">
        <f t="shared" si="4"/>
        <v>477786733.90503997</v>
      </c>
      <c r="N29" s="453"/>
      <c r="P29" s="453"/>
      <c r="R29" s="453"/>
    </row>
    <row r="30" spans="2:18" ht="15" customHeight="1" x14ac:dyDescent="0.25">
      <c r="B30" s="711">
        <v>51000</v>
      </c>
      <c r="C30" s="665" t="s">
        <v>108</v>
      </c>
      <c r="D30" s="707">
        <f>+'[2]stanovení podílů fixní 2017'!D27</f>
        <v>1.772E-2</v>
      </c>
      <c r="E30" s="531">
        <f t="shared" si="0"/>
        <v>258134698.50393602</v>
      </c>
      <c r="F30" s="532">
        <v>1.1814398158267635E-2</v>
      </c>
      <c r="G30" s="531">
        <f t="shared" si="1"/>
        <v>19122812.306181796</v>
      </c>
      <c r="H30" s="714">
        <f t="shared" si="2"/>
        <v>277257510.81011784</v>
      </c>
      <c r="I30" s="533"/>
      <c r="J30" s="531">
        <f>+E$4*'2 stanovení podílů fix. části'!C27</f>
        <v>255259933.70836088</v>
      </c>
      <c r="K30" s="531">
        <f t="shared" si="3"/>
        <v>250154735.03419366</v>
      </c>
      <c r="L30" s="534">
        <f t="shared" si="5"/>
        <v>0</v>
      </c>
      <c r="M30" s="714">
        <f t="shared" si="4"/>
        <v>277257510.81011784</v>
      </c>
      <c r="N30" s="453"/>
      <c r="P30" s="453"/>
      <c r="R30" s="453"/>
    </row>
    <row r="31" spans="2:18" ht="15" customHeight="1" x14ac:dyDescent="0.25">
      <c r="B31" s="711">
        <v>52000</v>
      </c>
      <c r="C31" s="665" t="s">
        <v>109</v>
      </c>
      <c r="D31" s="707">
        <f>+'[2]stanovení podílů fixní 2017'!D28</f>
        <v>4.8399999999999997E-3</v>
      </c>
      <c r="E31" s="531">
        <f t="shared" si="0"/>
        <v>70506317.198592007</v>
      </c>
      <c r="F31" s="532">
        <v>3.2502303290682993E-3</v>
      </c>
      <c r="G31" s="531">
        <f t="shared" si="1"/>
        <v>5260830.3615650497</v>
      </c>
      <c r="H31" s="714">
        <f t="shared" si="2"/>
        <v>75767147.560157061</v>
      </c>
      <c r="I31" s="533"/>
      <c r="J31" s="531">
        <f>+E$4*'2 stanovení podílů fix. části'!C28</f>
        <v>67609355.327898473</v>
      </c>
      <c r="K31" s="531">
        <f t="shared" si="3"/>
        <v>66257168.2213405</v>
      </c>
      <c r="L31" s="534">
        <f t="shared" si="5"/>
        <v>0</v>
      </c>
      <c r="M31" s="714">
        <f t="shared" si="4"/>
        <v>75767147.560157061</v>
      </c>
      <c r="N31" s="453"/>
      <c r="P31" s="453"/>
      <c r="R31" s="453"/>
    </row>
    <row r="32" spans="2:18" ht="15" customHeight="1" x14ac:dyDescent="0.25">
      <c r="B32" s="711">
        <v>53000</v>
      </c>
      <c r="C32" s="665" t="s">
        <v>110</v>
      </c>
      <c r="D32" s="707">
        <f>+'[2]stanovení podílů fixní 2017'!D29</f>
        <v>6.8000000000000005E-3</v>
      </c>
      <c r="E32" s="531">
        <f t="shared" si="0"/>
        <v>99058462.179840013</v>
      </c>
      <c r="F32" s="532">
        <v>6.0273672414488258E-3</v>
      </c>
      <c r="G32" s="531">
        <f t="shared" si="1"/>
        <v>9755910.6197886448</v>
      </c>
      <c r="H32" s="714">
        <f t="shared" si="2"/>
        <v>108814372.79962866</v>
      </c>
      <c r="I32" s="533"/>
      <c r="J32" s="531">
        <f>+E$4*'2 stanovení podílů fix. části'!C29</f>
        <v>102755110.46223974</v>
      </c>
      <c r="K32" s="531">
        <f t="shared" si="3"/>
        <v>100700008.25299494</v>
      </c>
      <c r="L32" s="534">
        <f t="shared" si="5"/>
        <v>0</v>
      </c>
      <c r="M32" s="714">
        <f t="shared" si="4"/>
        <v>108814372.79962866</v>
      </c>
      <c r="N32" s="453"/>
      <c r="P32" s="453"/>
      <c r="R32" s="453"/>
    </row>
    <row r="33" spans="2:18" ht="15" customHeight="1" x14ac:dyDescent="0.25">
      <c r="B33" s="711">
        <v>54000</v>
      </c>
      <c r="C33" s="665" t="s">
        <v>111</v>
      </c>
      <c r="D33" s="707">
        <f>+'[2]stanovení podílů fixní 2017'!D30</f>
        <v>1.064E-2</v>
      </c>
      <c r="E33" s="531">
        <f t="shared" si="0"/>
        <v>154997358.469632</v>
      </c>
      <c r="F33" s="532">
        <v>7.4515642198875109E-3</v>
      </c>
      <c r="G33" s="531">
        <f t="shared" si="1"/>
        <v>12061119.157783922</v>
      </c>
      <c r="H33" s="714">
        <f t="shared" si="2"/>
        <v>167058477.62741593</v>
      </c>
      <c r="I33" s="533"/>
      <c r="J33" s="531">
        <f>+E$4*'2 stanovení podílů fix. části'!C30</f>
        <v>146598066.3279309</v>
      </c>
      <c r="K33" s="531">
        <f t="shared" si="3"/>
        <v>143666105.00137228</v>
      </c>
      <c r="L33" s="534">
        <f t="shared" si="5"/>
        <v>0</v>
      </c>
      <c r="M33" s="714">
        <f t="shared" si="4"/>
        <v>167058477.62741593</v>
      </c>
      <c r="N33" s="453"/>
      <c r="P33" s="453"/>
      <c r="R33" s="453"/>
    </row>
    <row r="34" spans="2:18" ht="15" customHeight="1" x14ac:dyDescent="0.25">
      <c r="B34" s="711">
        <v>55000</v>
      </c>
      <c r="C34" s="665" t="s">
        <v>112</v>
      </c>
      <c r="D34" s="707">
        <f>+'[2]stanovení podílů fixní 2017'!D31</f>
        <v>5.5660047054840534E-3</v>
      </c>
      <c r="E34" s="531">
        <f t="shared" si="0"/>
        <v>81082333.325147599</v>
      </c>
      <c r="F34" s="521">
        <v>5.5660047054840534E-3</v>
      </c>
      <c r="G34" s="531">
        <f t="shared" si="1"/>
        <v>9009148.1472386215</v>
      </c>
      <c r="H34" s="714">
        <f>+E34+G34</f>
        <v>90091481.472386226</v>
      </c>
      <c r="I34" s="533"/>
      <c r="J34" s="531">
        <f>+E$4*'2 stanovení podílů fix. části'!C31</f>
        <v>90527592.223971501</v>
      </c>
      <c r="K34" s="531">
        <f t="shared" si="3"/>
        <v>88717040.379492074</v>
      </c>
      <c r="L34" s="534">
        <f t="shared" si="5"/>
        <v>0</v>
      </c>
      <c r="M34" s="714">
        <f t="shared" si="4"/>
        <v>90091481.472386226</v>
      </c>
      <c r="N34" s="453"/>
      <c r="P34" s="453"/>
      <c r="R34" s="453"/>
    </row>
    <row r="35" spans="2:18" ht="15" customHeight="1" thickBot="1" x14ac:dyDescent="0.3">
      <c r="B35" s="712">
        <v>56000</v>
      </c>
      <c r="C35" s="704" t="s">
        <v>113</v>
      </c>
      <c r="D35" s="708">
        <f>+'[2]stanovení podílů fixní 2017'!D32</f>
        <v>7.9735583063461832E-3</v>
      </c>
      <c r="E35" s="535">
        <f t="shared" si="0"/>
        <v>116154179.98940331</v>
      </c>
      <c r="F35" s="549">
        <v>7.9735583063461832E-3</v>
      </c>
      <c r="G35" s="535">
        <f t="shared" si="1"/>
        <v>12906019.99882259</v>
      </c>
      <c r="H35" s="715">
        <f t="shared" si="2"/>
        <v>129060199.98822589</v>
      </c>
      <c r="I35" s="533"/>
      <c r="J35" s="535">
        <f>+E$4*'2 stanovení podílů fix. části'!C32</f>
        <v>129684948.74245594</v>
      </c>
      <c r="K35" s="535">
        <f t="shared" si="3"/>
        <v>127091249.76760682</v>
      </c>
      <c r="L35" s="536">
        <f t="shared" si="5"/>
        <v>0</v>
      </c>
      <c r="M35" s="715">
        <f t="shared" si="4"/>
        <v>129060199.98822589</v>
      </c>
      <c r="N35" s="453"/>
      <c r="P35" s="453"/>
      <c r="R35" s="453"/>
    </row>
    <row r="36" spans="2:18" ht="15" customHeight="1" thickBot="1" x14ac:dyDescent="0.3">
      <c r="B36" s="655"/>
      <c r="C36" s="716" t="s">
        <v>72</v>
      </c>
      <c r="D36" s="709">
        <f>SUM(D10:D35)</f>
        <v>0.99999999999999978</v>
      </c>
      <c r="E36" s="538">
        <f>SUM(E10:E35)</f>
        <v>14567420908.799999</v>
      </c>
      <c r="F36" s="537">
        <f t="shared" ref="F36:G36" si="6">SUM(F10:F35)</f>
        <v>1.0000000000000002</v>
      </c>
      <c r="G36" s="538">
        <f t="shared" si="6"/>
        <v>1618602323.2000005</v>
      </c>
      <c r="H36" s="543">
        <f>SUM(H10:H35)</f>
        <v>16186023232</v>
      </c>
      <c r="I36" s="539"/>
      <c r="J36" s="540">
        <f>SUM(J10:J35)</f>
        <v>16186023232.000002</v>
      </c>
      <c r="K36" s="541">
        <f>SUM(K10:K35)</f>
        <v>15862302767.359997</v>
      </c>
      <c r="L36" s="542">
        <f>SUM(L10:L35)</f>
        <v>19618492.586485595</v>
      </c>
      <c r="M36" s="543">
        <f>SUM(M10:M35)</f>
        <v>16205641724.586485</v>
      </c>
    </row>
  </sheetData>
  <mergeCells count="10">
    <mergeCell ref="J7:M7"/>
    <mergeCell ref="J8:J9"/>
    <mergeCell ref="K8:K9"/>
    <mergeCell ref="L8:L9"/>
    <mergeCell ref="M8:M9"/>
    <mergeCell ref="D8:E8"/>
    <mergeCell ref="F8:G8"/>
    <mergeCell ref="H8:H9"/>
    <mergeCell ref="B8:B9"/>
    <mergeCell ref="C8:C9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  <headerFooter>
    <oddHeader>&amp;LČ. j.: MSMT-1404/2017-1</oddHeader>
    <oddFooter>&amp;R4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8"/>
  <sheetViews>
    <sheetView zoomScaleNormal="100" workbookViewId="0">
      <selection activeCell="F36" sqref="F36"/>
    </sheetView>
  </sheetViews>
  <sheetFormatPr defaultRowHeight="14.25" x14ac:dyDescent="0.2"/>
  <cols>
    <col min="1" max="1" width="11.5703125" style="247" customWidth="1"/>
    <col min="2" max="2" width="63.7109375" style="247" customWidth="1"/>
    <col min="3" max="3" width="11.5703125" style="247" customWidth="1"/>
    <col min="4" max="4" width="17.5703125" style="247" customWidth="1"/>
    <col min="5" max="5" width="12.5703125" style="247" bestFit="1" customWidth="1"/>
    <col min="6" max="16384" width="9.140625" style="247"/>
  </cols>
  <sheetData>
    <row r="1" spans="1:8" ht="19.5" x14ac:dyDescent="0.2">
      <c r="A1" s="853" t="s">
        <v>89</v>
      </c>
      <c r="B1" s="853"/>
      <c r="C1" s="853"/>
      <c r="D1" s="853"/>
    </row>
    <row r="2" spans="1:8" ht="19.5" x14ac:dyDescent="0.2">
      <c r="A2" s="255"/>
      <c r="B2" s="255"/>
      <c r="C2" s="255"/>
      <c r="D2" s="255"/>
    </row>
    <row r="3" spans="1:8" ht="19.5" x14ac:dyDescent="0.2">
      <c r="A3" s="255" t="s">
        <v>174</v>
      </c>
      <c r="B3" s="255"/>
      <c r="C3" s="255"/>
      <c r="D3" s="255"/>
    </row>
    <row r="4" spans="1:8" ht="15.75" customHeight="1" x14ac:dyDescent="0.2">
      <c r="A4" s="254"/>
      <c r="B4" s="254"/>
      <c r="C4" s="254"/>
      <c r="D4" s="254"/>
    </row>
    <row r="5" spans="1:8" x14ac:dyDescent="0.2">
      <c r="A5" s="253" t="s">
        <v>173</v>
      </c>
      <c r="C5" s="252"/>
      <c r="D5" s="252"/>
    </row>
    <row r="6" spans="1:8" ht="15" thickBot="1" x14ac:dyDescent="0.25">
      <c r="A6" s="248"/>
      <c r="B6" s="248"/>
      <c r="C6" s="248"/>
      <c r="D6" s="251" t="s">
        <v>172</v>
      </c>
    </row>
    <row r="7" spans="1:8" ht="55.5" customHeight="1" thickBot="1" x14ac:dyDescent="0.25">
      <c r="A7" s="550" t="s">
        <v>73</v>
      </c>
      <c r="B7" s="702" t="s">
        <v>116</v>
      </c>
      <c r="C7" s="700" t="s">
        <v>90</v>
      </c>
      <c r="D7" s="551" t="s">
        <v>171</v>
      </c>
    </row>
    <row r="8" spans="1:8" ht="15" customHeight="1" x14ac:dyDescent="0.2">
      <c r="A8" s="585">
        <v>11000</v>
      </c>
      <c r="B8" s="665" t="s">
        <v>170</v>
      </c>
      <c r="C8" s="661">
        <v>3064</v>
      </c>
      <c r="D8" s="544">
        <f t="shared" ref="D8:D33" si="0">+C8*90000</f>
        <v>275760000</v>
      </c>
      <c r="F8" s="249"/>
      <c r="G8" s="250"/>
      <c r="H8" s="250"/>
    </row>
    <row r="9" spans="1:8" ht="15" customHeight="1" x14ac:dyDescent="0.2">
      <c r="A9" s="585">
        <v>12000</v>
      </c>
      <c r="B9" s="665" t="s">
        <v>91</v>
      </c>
      <c r="C9" s="661">
        <v>349</v>
      </c>
      <c r="D9" s="545">
        <f t="shared" si="0"/>
        <v>31410000</v>
      </c>
      <c r="F9" s="249"/>
    </row>
    <row r="10" spans="1:8" ht="15" customHeight="1" x14ac:dyDescent="0.2">
      <c r="A10" s="585">
        <v>13000</v>
      </c>
      <c r="B10" s="665" t="s">
        <v>92</v>
      </c>
      <c r="C10" s="661">
        <v>103</v>
      </c>
      <c r="D10" s="545">
        <f t="shared" si="0"/>
        <v>9270000</v>
      </c>
      <c r="F10" s="249"/>
    </row>
    <row r="11" spans="1:8" ht="15" customHeight="1" x14ac:dyDescent="0.2">
      <c r="A11" s="585">
        <v>14000</v>
      </c>
      <c r="B11" s="665" t="s">
        <v>93</v>
      </c>
      <c r="C11" s="661">
        <v>1706</v>
      </c>
      <c r="D11" s="545">
        <f t="shared" si="0"/>
        <v>153540000</v>
      </c>
      <c r="F11" s="249"/>
      <c r="G11" s="250"/>
      <c r="H11" s="250"/>
    </row>
    <row r="12" spans="1:8" ht="15" customHeight="1" x14ac:dyDescent="0.2">
      <c r="A12" s="585">
        <v>15000</v>
      </c>
      <c r="B12" s="665" t="s">
        <v>94</v>
      </c>
      <c r="C12" s="661">
        <v>785</v>
      </c>
      <c r="D12" s="545">
        <f t="shared" si="0"/>
        <v>70650000</v>
      </c>
      <c r="F12" s="249"/>
      <c r="H12" s="250"/>
    </row>
    <row r="13" spans="1:8" ht="15" customHeight="1" x14ac:dyDescent="0.2">
      <c r="A13" s="585">
        <v>16000</v>
      </c>
      <c r="B13" s="665" t="s">
        <v>95</v>
      </c>
      <c r="C13" s="661">
        <v>126</v>
      </c>
      <c r="D13" s="545">
        <f t="shared" si="0"/>
        <v>11340000</v>
      </c>
      <c r="F13" s="249"/>
    </row>
    <row r="14" spans="1:8" ht="15" customHeight="1" x14ac:dyDescent="0.2">
      <c r="A14" s="585">
        <v>17000</v>
      </c>
      <c r="B14" s="665" t="s">
        <v>169</v>
      </c>
      <c r="C14" s="661">
        <v>220</v>
      </c>
      <c r="D14" s="545">
        <f t="shared" si="0"/>
        <v>19800000</v>
      </c>
      <c r="F14" s="249"/>
    </row>
    <row r="15" spans="1:8" ht="15" customHeight="1" x14ac:dyDescent="0.2">
      <c r="A15" s="585">
        <v>18000</v>
      </c>
      <c r="B15" s="665" t="s">
        <v>88</v>
      </c>
      <c r="C15" s="661">
        <v>108</v>
      </c>
      <c r="D15" s="545">
        <f t="shared" si="0"/>
        <v>9720000</v>
      </c>
      <c r="F15" s="249"/>
    </row>
    <row r="16" spans="1:8" ht="15" customHeight="1" x14ac:dyDescent="0.2">
      <c r="A16" s="585">
        <v>19000</v>
      </c>
      <c r="B16" s="665" t="s">
        <v>96</v>
      </c>
      <c r="C16" s="661">
        <v>54</v>
      </c>
      <c r="D16" s="545">
        <f t="shared" si="0"/>
        <v>4860000</v>
      </c>
      <c r="F16" s="249"/>
    </row>
    <row r="17" spans="1:8" ht="15" customHeight="1" x14ac:dyDescent="0.2">
      <c r="A17" s="585">
        <v>21000</v>
      </c>
      <c r="B17" s="665" t="s">
        <v>97</v>
      </c>
      <c r="C17" s="661">
        <v>910</v>
      </c>
      <c r="D17" s="545">
        <f t="shared" si="0"/>
        <v>81900000</v>
      </c>
      <c r="F17" s="249"/>
      <c r="G17" s="250"/>
      <c r="H17" s="250"/>
    </row>
    <row r="18" spans="1:8" ht="15" customHeight="1" x14ac:dyDescent="0.2">
      <c r="A18" s="585">
        <v>22000</v>
      </c>
      <c r="B18" s="665" t="s">
        <v>98</v>
      </c>
      <c r="C18" s="661">
        <v>440</v>
      </c>
      <c r="D18" s="545">
        <f t="shared" si="0"/>
        <v>39600000</v>
      </c>
      <c r="F18" s="249"/>
    </row>
    <row r="19" spans="1:8" ht="15" customHeight="1" x14ac:dyDescent="0.2">
      <c r="A19" s="585">
        <v>23000</v>
      </c>
      <c r="B19" s="665" t="s">
        <v>99</v>
      </c>
      <c r="C19" s="661">
        <v>300</v>
      </c>
      <c r="D19" s="545">
        <f t="shared" si="0"/>
        <v>27000000</v>
      </c>
      <c r="F19" s="249"/>
    </row>
    <row r="20" spans="1:8" ht="15" customHeight="1" x14ac:dyDescent="0.2">
      <c r="A20" s="585">
        <v>24000</v>
      </c>
      <c r="B20" s="665" t="s">
        <v>100</v>
      </c>
      <c r="C20" s="661">
        <v>169</v>
      </c>
      <c r="D20" s="545">
        <f t="shared" si="0"/>
        <v>15210000</v>
      </c>
      <c r="F20" s="249"/>
    </row>
    <row r="21" spans="1:8" ht="15" customHeight="1" x14ac:dyDescent="0.2">
      <c r="A21" s="585">
        <v>25000</v>
      </c>
      <c r="B21" s="665" t="s">
        <v>101</v>
      </c>
      <c r="C21" s="661">
        <v>214</v>
      </c>
      <c r="D21" s="545">
        <f t="shared" si="0"/>
        <v>19260000</v>
      </c>
      <c r="F21" s="249"/>
    </row>
    <row r="22" spans="1:8" ht="15" customHeight="1" x14ac:dyDescent="0.2">
      <c r="A22" s="585">
        <v>26000</v>
      </c>
      <c r="B22" s="665" t="s">
        <v>102</v>
      </c>
      <c r="C22" s="661">
        <v>883</v>
      </c>
      <c r="D22" s="545">
        <f t="shared" si="0"/>
        <v>79470000</v>
      </c>
      <c r="F22" s="249"/>
      <c r="H22" s="250"/>
    </row>
    <row r="23" spans="1:8" ht="15" customHeight="1" x14ac:dyDescent="0.2">
      <c r="A23" s="585">
        <v>27000</v>
      </c>
      <c r="B23" s="665" t="s">
        <v>103</v>
      </c>
      <c r="C23" s="661">
        <v>462</v>
      </c>
      <c r="D23" s="545">
        <f t="shared" si="0"/>
        <v>41580000</v>
      </c>
      <c r="F23" s="249"/>
      <c r="H23" s="250"/>
    </row>
    <row r="24" spans="1:8" ht="15" customHeight="1" x14ac:dyDescent="0.2">
      <c r="A24" s="585">
        <v>28000</v>
      </c>
      <c r="B24" s="665" t="s">
        <v>104</v>
      </c>
      <c r="C24" s="661">
        <v>165</v>
      </c>
      <c r="D24" s="545">
        <f t="shared" si="0"/>
        <v>14850000</v>
      </c>
      <c r="F24" s="249"/>
    </row>
    <row r="25" spans="1:8" ht="15" customHeight="1" x14ac:dyDescent="0.2">
      <c r="A25" s="585">
        <v>31000</v>
      </c>
      <c r="B25" s="665" t="s">
        <v>105</v>
      </c>
      <c r="C25" s="661">
        <v>209</v>
      </c>
      <c r="D25" s="545">
        <f t="shared" si="0"/>
        <v>18810000</v>
      </c>
      <c r="F25" s="249"/>
    </row>
    <row r="26" spans="1:8" ht="15" customHeight="1" x14ac:dyDescent="0.2">
      <c r="A26" s="585">
        <v>41000</v>
      </c>
      <c r="B26" s="665" t="s">
        <v>106</v>
      </c>
      <c r="C26" s="661">
        <v>562</v>
      </c>
      <c r="D26" s="545">
        <f t="shared" si="0"/>
        <v>50580000</v>
      </c>
      <c r="F26" s="249"/>
    </row>
    <row r="27" spans="1:8" ht="15" customHeight="1" x14ac:dyDescent="0.2">
      <c r="A27" s="585">
        <v>43000</v>
      </c>
      <c r="B27" s="665" t="s">
        <v>107</v>
      </c>
      <c r="C27" s="661">
        <v>295</v>
      </c>
      <c r="D27" s="545">
        <f t="shared" si="0"/>
        <v>26550000</v>
      </c>
      <c r="F27" s="249"/>
    </row>
    <row r="28" spans="1:8" ht="15" customHeight="1" x14ac:dyDescent="0.2">
      <c r="A28" s="585">
        <v>51000</v>
      </c>
      <c r="B28" s="665" t="s">
        <v>108</v>
      </c>
      <c r="C28" s="661">
        <v>65</v>
      </c>
      <c r="D28" s="545">
        <f t="shared" si="0"/>
        <v>5850000</v>
      </c>
      <c r="F28" s="249"/>
    </row>
    <row r="29" spans="1:8" ht="15" customHeight="1" x14ac:dyDescent="0.2">
      <c r="A29" s="585">
        <v>52000</v>
      </c>
      <c r="B29" s="665" t="s">
        <v>109</v>
      </c>
      <c r="C29" s="661">
        <v>14</v>
      </c>
      <c r="D29" s="545">
        <f t="shared" si="0"/>
        <v>1260000</v>
      </c>
      <c r="F29" s="249"/>
    </row>
    <row r="30" spans="1:8" ht="15" customHeight="1" x14ac:dyDescent="0.2">
      <c r="A30" s="585">
        <v>53000</v>
      </c>
      <c r="B30" s="665" t="s">
        <v>110</v>
      </c>
      <c r="C30" s="661">
        <v>25</v>
      </c>
      <c r="D30" s="545">
        <f t="shared" si="0"/>
        <v>2250000</v>
      </c>
      <c r="F30" s="249"/>
    </row>
    <row r="31" spans="1:8" ht="15" customHeight="1" x14ac:dyDescent="0.2">
      <c r="A31" s="585">
        <v>54000</v>
      </c>
      <c r="B31" s="665" t="s">
        <v>111</v>
      </c>
      <c r="C31" s="661">
        <v>30</v>
      </c>
      <c r="D31" s="545">
        <f t="shared" si="0"/>
        <v>2700000</v>
      </c>
      <c r="F31" s="249"/>
    </row>
    <row r="32" spans="1:8" ht="15" customHeight="1" x14ac:dyDescent="0.2">
      <c r="A32" s="585">
        <v>55000</v>
      </c>
      <c r="B32" s="665" t="s">
        <v>112</v>
      </c>
      <c r="C32" s="661">
        <v>0</v>
      </c>
      <c r="D32" s="545">
        <f t="shared" si="0"/>
        <v>0</v>
      </c>
      <c r="F32" s="249"/>
    </row>
    <row r="33" spans="1:6" ht="15" customHeight="1" thickBot="1" x14ac:dyDescent="0.25">
      <c r="A33" s="703">
        <v>56000</v>
      </c>
      <c r="B33" s="704" t="s">
        <v>113</v>
      </c>
      <c r="C33" s="701">
        <v>0</v>
      </c>
      <c r="D33" s="546">
        <f t="shared" si="0"/>
        <v>0</v>
      </c>
      <c r="F33" s="249"/>
    </row>
    <row r="34" spans="1:6" ht="15" customHeight="1" thickBot="1" x14ac:dyDescent="0.25">
      <c r="A34" s="547"/>
      <c r="B34" s="672" t="s">
        <v>72</v>
      </c>
      <c r="C34" s="663">
        <f>SUM(C8:C33)</f>
        <v>11258</v>
      </c>
      <c r="D34" s="548">
        <f>SUM(D8:D33)</f>
        <v>1013220000</v>
      </c>
    </row>
    <row r="35" spans="1:6" s="211" customFormat="1" ht="12.75" x14ac:dyDescent="0.2"/>
    <row r="36" spans="1:6" x14ac:dyDescent="0.2">
      <c r="A36" s="248"/>
      <c r="B36" s="248"/>
      <c r="C36" s="248"/>
      <c r="D36" s="248"/>
    </row>
    <row r="37" spans="1:6" x14ac:dyDescent="0.2">
      <c r="A37" s="248"/>
      <c r="B37" s="248"/>
      <c r="C37" s="248"/>
      <c r="D37" s="248"/>
    </row>
    <row r="38" spans="1:6" x14ac:dyDescent="0.2">
      <c r="A38" s="248"/>
      <c r="B38" s="854"/>
      <c r="C38" s="854"/>
      <c r="D38" s="854"/>
    </row>
  </sheetData>
  <mergeCells count="2">
    <mergeCell ref="A1:D1"/>
    <mergeCell ref="B38:D38"/>
  </mergeCells>
  <printOptions horizontalCentered="1"/>
  <pageMargins left="0.51181102362204722" right="0.51181102362204722" top="0.82677165354330717" bottom="0.78740157480314965" header="0.31496062992125984" footer="0.31496062992125984"/>
  <pageSetup paperSize="9" scale="94" orientation="portrait" r:id="rId1"/>
  <headerFooter>
    <oddHeader>&amp;LČ. j.: MSMT-1404/2017-1</oddHeader>
    <oddFooter>&amp;R5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Normal="100" workbookViewId="0">
      <selection activeCell="H36" sqref="H36"/>
    </sheetView>
  </sheetViews>
  <sheetFormatPr defaultRowHeight="14.25" x14ac:dyDescent="0.2"/>
  <cols>
    <col min="1" max="1" width="11.140625" style="252" customWidth="1"/>
    <col min="2" max="2" width="61.85546875" style="271" customWidth="1"/>
    <col min="3" max="3" width="10.140625" style="252" customWidth="1"/>
    <col min="4" max="4" width="10.42578125" style="252" customWidth="1"/>
    <col min="5" max="5" width="15" style="252" customWidth="1"/>
    <col min="6" max="6" width="14.140625" style="257" customWidth="1"/>
    <col min="7" max="8" width="10.140625" style="257" bestFit="1" customWidth="1"/>
    <col min="9" max="16384" width="9.140625" style="252"/>
  </cols>
  <sheetData>
    <row r="1" spans="1:8" ht="20.25" x14ac:dyDescent="0.3">
      <c r="A1" s="855" t="s">
        <v>114</v>
      </c>
      <c r="B1" s="855"/>
      <c r="C1" s="855"/>
      <c r="D1" s="855"/>
      <c r="E1" s="855"/>
      <c r="F1" s="256"/>
    </row>
    <row r="2" spans="1:8" ht="20.25" x14ac:dyDescent="0.3">
      <c r="A2" s="258"/>
      <c r="B2" s="258"/>
      <c r="C2" s="258"/>
      <c r="D2" s="258"/>
      <c r="E2" s="258"/>
      <c r="F2" s="256"/>
    </row>
    <row r="3" spans="1:8" ht="36.75" customHeight="1" x14ac:dyDescent="0.3">
      <c r="A3" s="856" t="s">
        <v>175</v>
      </c>
      <c r="B3" s="856"/>
      <c r="C3" s="856"/>
      <c r="D3" s="856"/>
      <c r="E3" s="856"/>
      <c r="F3" s="256"/>
    </row>
    <row r="4" spans="1:8" x14ac:dyDescent="0.2">
      <c r="B4" s="252"/>
    </row>
    <row r="5" spans="1:8" s="260" customFormat="1" x14ac:dyDescent="0.2">
      <c r="A5" s="640" t="s">
        <v>145</v>
      </c>
      <c r="B5" s="641"/>
      <c r="C5" s="641"/>
      <c r="D5" s="642"/>
      <c r="E5" s="643">
        <v>22000000</v>
      </c>
      <c r="F5" s="259"/>
      <c r="G5" s="259"/>
      <c r="H5" s="259"/>
    </row>
    <row r="6" spans="1:8" s="260" customFormat="1" x14ac:dyDescent="0.2">
      <c r="A6" s="640" t="s">
        <v>115</v>
      </c>
      <c r="B6" s="641"/>
      <c r="C6" s="641"/>
      <c r="D6" s="642"/>
      <c r="E6" s="644">
        <f>E5/D37</f>
        <v>22.869781375514105</v>
      </c>
      <c r="F6" s="259"/>
      <c r="G6" s="259"/>
      <c r="H6" s="259"/>
    </row>
    <row r="7" spans="1:8" s="260" customFormat="1" ht="12.75" x14ac:dyDescent="0.2">
      <c r="A7" s="261"/>
      <c r="B7" s="261"/>
      <c r="C7" s="261"/>
      <c r="D7" s="261"/>
      <c r="E7" s="262"/>
      <c r="F7" s="259"/>
      <c r="G7" s="259"/>
      <c r="H7" s="259"/>
    </row>
    <row r="8" spans="1:8" s="260" customFormat="1" ht="13.5" thickBot="1" x14ac:dyDescent="0.25">
      <c r="E8" s="263" t="s">
        <v>176</v>
      </c>
      <c r="F8" s="259"/>
      <c r="G8" s="259"/>
      <c r="H8" s="259"/>
    </row>
    <row r="9" spans="1:8" s="260" customFormat="1" ht="18.75" customHeight="1" x14ac:dyDescent="0.2">
      <c r="A9" s="857" t="s">
        <v>73</v>
      </c>
      <c r="B9" s="859" t="s">
        <v>116</v>
      </c>
      <c r="C9" s="861" t="s">
        <v>117</v>
      </c>
      <c r="D9" s="862"/>
      <c r="E9" s="863" t="s">
        <v>177</v>
      </c>
      <c r="F9" s="259"/>
      <c r="G9" s="259"/>
      <c r="H9" s="259"/>
    </row>
    <row r="10" spans="1:8" s="260" customFormat="1" ht="50.25" customHeight="1" thickBot="1" x14ac:dyDescent="0.25">
      <c r="A10" s="858"/>
      <c r="B10" s="860"/>
      <c r="C10" s="690" t="s">
        <v>118</v>
      </c>
      <c r="D10" s="552" t="s">
        <v>119</v>
      </c>
      <c r="E10" s="864"/>
      <c r="F10" s="264"/>
      <c r="G10" s="265"/>
      <c r="H10" s="264"/>
    </row>
    <row r="11" spans="1:8" s="248" customFormat="1" ht="15" customHeight="1" x14ac:dyDescent="0.2">
      <c r="A11" s="553">
        <v>11000</v>
      </c>
      <c r="B11" s="696" t="s">
        <v>170</v>
      </c>
      <c r="C11" s="691">
        <v>7432</v>
      </c>
      <c r="D11" s="554">
        <v>176792.5</v>
      </c>
      <c r="E11" s="555">
        <f>ROUND(E$5/D$37*D11,-3)</f>
        <v>4043000</v>
      </c>
      <c r="F11" s="512"/>
      <c r="G11" s="512"/>
      <c r="H11" s="512"/>
    </row>
    <row r="12" spans="1:8" s="248" customFormat="1" ht="15" customHeight="1" x14ac:dyDescent="0.2">
      <c r="A12" s="556">
        <v>12000</v>
      </c>
      <c r="B12" s="697" t="s">
        <v>91</v>
      </c>
      <c r="C12" s="692">
        <v>1134</v>
      </c>
      <c r="D12" s="557">
        <v>28910.880000000001</v>
      </c>
      <c r="E12" s="555">
        <f t="shared" ref="E12:E36" si="0">ROUND(E$5/D$37*D12,-3)</f>
        <v>661000</v>
      </c>
      <c r="F12" s="512"/>
      <c r="G12" s="512"/>
      <c r="H12" s="512"/>
    </row>
    <row r="13" spans="1:8" s="248" customFormat="1" ht="15" customHeight="1" x14ac:dyDescent="0.2">
      <c r="A13" s="556">
        <v>13000</v>
      </c>
      <c r="B13" s="697" t="s">
        <v>92</v>
      </c>
      <c r="C13" s="692">
        <v>2933</v>
      </c>
      <c r="D13" s="557">
        <v>59330.207999999999</v>
      </c>
      <c r="E13" s="555">
        <f t="shared" si="0"/>
        <v>1357000</v>
      </c>
      <c r="F13" s="512"/>
      <c r="G13" s="512"/>
      <c r="H13" s="512"/>
    </row>
    <row r="14" spans="1:8" s="248" customFormat="1" ht="15" customHeight="1" x14ac:dyDescent="0.2">
      <c r="A14" s="556">
        <v>14000</v>
      </c>
      <c r="B14" s="697" t="s">
        <v>93</v>
      </c>
      <c r="C14" s="692">
        <v>5308</v>
      </c>
      <c r="D14" s="557">
        <v>68066.464000000007</v>
      </c>
      <c r="E14" s="555">
        <f t="shared" si="0"/>
        <v>1557000</v>
      </c>
      <c r="F14" s="512"/>
      <c r="G14" s="512"/>
      <c r="H14" s="512"/>
    </row>
    <row r="15" spans="1:8" s="248" customFormat="1" ht="15" customHeight="1" x14ac:dyDescent="0.2">
      <c r="A15" s="556">
        <v>15000</v>
      </c>
      <c r="B15" s="697" t="s">
        <v>94</v>
      </c>
      <c r="C15" s="692">
        <v>2492</v>
      </c>
      <c r="D15" s="557">
        <v>36447.08</v>
      </c>
      <c r="E15" s="555">
        <f t="shared" si="0"/>
        <v>834000</v>
      </c>
      <c r="F15" s="512"/>
      <c r="G15" s="512"/>
      <c r="H15" s="512"/>
    </row>
    <row r="16" spans="1:8" s="248" customFormat="1" ht="15" customHeight="1" x14ac:dyDescent="0.2">
      <c r="A16" s="556">
        <v>16000</v>
      </c>
      <c r="B16" s="697" t="s">
        <v>95</v>
      </c>
      <c r="C16" s="692">
        <v>847</v>
      </c>
      <c r="D16" s="557">
        <v>8034</v>
      </c>
      <c r="E16" s="555">
        <f t="shared" si="0"/>
        <v>184000</v>
      </c>
      <c r="F16" s="512"/>
      <c r="G16" s="512"/>
      <c r="H16" s="512"/>
    </row>
    <row r="17" spans="1:8" s="248" customFormat="1" ht="15" customHeight="1" x14ac:dyDescent="0.2">
      <c r="A17" s="556">
        <v>17000</v>
      </c>
      <c r="B17" s="697" t="s">
        <v>169</v>
      </c>
      <c r="C17" s="692">
        <v>1325</v>
      </c>
      <c r="D17" s="557">
        <v>32716.448</v>
      </c>
      <c r="E17" s="555">
        <f t="shared" si="0"/>
        <v>748000</v>
      </c>
      <c r="F17" s="512"/>
      <c r="G17" s="512"/>
      <c r="H17" s="512"/>
    </row>
    <row r="18" spans="1:8" s="248" customFormat="1" ht="15" customHeight="1" x14ac:dyDescent="0.2">
      <c r="A18" s="556">
        <v>18000</v>
      </c>
      <c r="B18" s="697" t="s">
        <v>88</v>
      </c>
      <c r="C18" s="692">
        <v>1103</v>
      </c>
      <c r="D18" s="557">
        <v>18509.808000000001</v>
      </c>
      <c r="E18" s="555">
        <f t="shared" si="0"/>
        <v>423000</v>
      </c>
      <c r="F18" s="512"/>
      <c r="G18" s="512"/>
      <c r="H18" s="512"/>
    </row>
    <row r="19" spans="1:8" s="248" customFormat="1" ht="15" customHeight="1" x14ac:dyDescent="0.2">
      <c r="A19" s="556">
        <v>19000</v>
      </c>
      <c r="B19" s="697" t="s">
        <v>96</v>
      </c>
      <c r="C19" s="692">
        <v>948</v>
      </c>
      <c r="D19" s="557">
        <v>33047.807999999997</v>
      </c>
      <c r="E19" s="555">
        <f t="shared" si="0"/>
        <v>756000</v>
      </c>
      <c r="F19" s="512"/>
      <c r="G19" s="512"/>
      <c r="H19" s="512"/>
    </row>
    <row r="20" spans="1:8" s="248" customFormat="1" ht="15" customHeight="1" x14ac:dyDescent="0.2">
      <c r="A20" s="556">
        <v>21000</v>
      </c>
      <c r="B20" s="697" t="s">
        <v>97</v>
      </c>
      <c r="C20" s="692">
        <v>1966</v>
      </c>
      <c r="D20" s="557">
        <v>57813.2</v>
      </c>
      <c r="E20" s="555">
        <f t="shared" si="0"/>
        <v>1322000</v>
      </c>
      <c r="F20" s="512"/>
      <c r="G20" s="512"/>
      <c r="H20" s="512"/>
    </row>
    <row r="21" spans="1:8" s="248" customFormat="1" ht="15" customHeight="1" x14ac:dyDescent="0.2">
      <c r="A21" s="556">
        <v>22000</v>
      </c>
      <c r="B21" s="697" t="s">
        <v>98</v>
      </c>
      <c r="C21" s="692">
        <v>536</v>
      </c>
      <c r="D21" s="557">
        <v>23303.204000000002</v>
      </c>
      <c r="E21" s="555">
        <f t="shared" si="0"/>
        <v>533000</v>
      </c>
      <c r="F21" s="512"/>
      <c r="G21" s="512"/>
      <c r="H21" s="512"/>
    </row>
    <row r="22" spans="1:8" s="248" customFormat="1" ht="15" customHeight="1" x14ac:dyDescent="0.2">
      <c r="A22" s="556">
        <v>23000</v>
      </c>
      <c r="B22" s="697" t="s">
        <v>99</v>
      </c>
      <c r="C22" s="692">
        <v>4116</v>
      </c>
      <c r="D22" s="557">
        <v>70908.100000000006</v>
      </c>
      <c r="E22" s="555">
        <f t="shared" si="0"/>
        <v>1622000</v>
      </c>
      <c r="F22" s="512"/>
      <c r="G22" s="512"/>
      <c r="H22" s="512"/>
    </row>
    <row r="23" spans="1:8" s="248" customFormat="1" ht="15" customHeight="1" x14ac:dyDescent="0.2">
      <c r="A23" s="556">
        <v>24000</v>
      </c>
      <c r="B23" s="697" t="s">
        <v>100</v>
      </c>
      <c r="C23" s="692">
        <v>1167</v>
      </c>
      <c r="D23" s="557">
        <v>35525.167999999998</v>
      </c>
      <c r="E23" s="555">
        <f t="shared" si="0"/>
        <v>812000</v>
      </c>
      <c r="F23" s="512"/>
      <c r="G23" s="512"/>
      <c r="H23" s="512"/>
    </row>
    <row r="24" spans="1:8" s="248" customFormat="1" ht="15" customHeight="1" x14ac:dyDescent="0.2">
      <c r="A24" s="556">
        <v>25000</v>
      </c>
      <c r="B24" s="697" t="s">
        <v>101</v>
      </c>
      <c r="C24" s="692">
        <v>758</v>
      </c>
      <c r="D24" s="557">
        <v>17012.128000000001</v>
      </c>
      <c r="E24" s="555">
        <f t="shared" si="0"/>
        <v>389000</v>
      </c>
      <c r="F24" s="512"/>
      <c r="G24" s="512"/>
      <c r="H24" s="512"/>
    </row>
    <row r="25" spans="1:8" s="248" customFormat="1" ht="15" customHeight="1" x14ac:dyDescent="0.2">
      <c r="A25" s="556">
        <v>26000</v>
      </c>
      <c r="B25" s="697" t="s">
        <v>102</v>
      </c>
      <c r="C25" s="692">
        <v>2713</v>
      </c>
      <c r="D25" s="557">
        <v>54190.591999999997</v>
      </c>
      <c r="E25" s="555">
        <f t="shared" si="0"/>
        <v>1239000</v>
      </c>
      <c r="F25" s="512"/>
      <c r="G25" s="512"/>
      <c r="H25" s="512"/>
    </row>
    <row r="26" spans="1:8" s="248" customFormat="1" ht="15" customHeight="1" x14ac:dyDescent="0.2">
      <c r="A26" s="556">
        <v>27000</v>
      </c>
      <c r="B26" s="697" t="s">
        <v>103</v>
      </c>
      <c r="C26" s="692">
        <v>795</v>
      </c>
      <c r="D26" s="557">
        <v>18692.894</v>
      </c>
      <c r="E26" s="555">
        <f>ROUND(E$5/D$37*D26,-3)-1000</f>
        <v>427000</v>
      </c>
      <c r="F26" s="512"/>
      <c r="G26" s="512"/>
      <c r="H26" s="512"/>
    </row>
    <row r="27" spans="1:8" s="248" customFormat="1" ht="15" customHeight="1" x14ac:dyDescent="0.2">
      <c r="A27" s="556">
        <v>28000</v>
      </c>
      <c r="B27" s="697" t="s">
        <v>104</v>
      </c>
      <c r="C27" s="692">
        <v>1106</v>
      </c>
      <c r="D27" s="557">
        <v>25728.799999999999</v>
      </c>
      <c r="E27" s="555">
        <f t="shared" si="0"/>
        <v>588000</v>
      </c>
      <c r="F27" s="512"/>
      <c r="G27" s="512"/>
      <c r="H27" s="512"/>
    </row>
    <row r="28" spans="1:8" s="248" customFormat="1" ht="15" customHeight="1" x14ac:dyDescent="0.2">
      <c r="A28" s="556">
        <v>31000</v>
      </c>
      <c r="B28" s="697" t="s">
        <v>105</v>
      </c>
      <c r="C28" s="692">
        <v>3361</v>
      </c>
      <c r="D28" s="557">
        <v>84766.471999999994</v>
      </c>
      <c r="E28" s="555">
        <f t="shared" si="0"/>
        <v>1939000</v>
      </c>
      <c r="F28" s="512"/>
      <c r="G28" s="512"/>
      <c r="H28" s="512"/>
    </row>
    <row r="29" spans="1:8" s="248" customFormat="1" ht="15" customHeight="1" x14ac:dyDescent="0.2">
      <c r="A29" s="556">
        <v>41000</v>
      </c>
      <c r="B29" s="697" t="s">
        <v>106</v>
      </c>
      <c r="C29" s="692">
        <v>8087</v>
      </c>
      <c r="D29" s="557">
        <v>27794.76</v>
      </c>
      <c r="E29" s="555">
        <f t="shared" si="0"/>
        <v>636000</v>
      </c>
      <c r="F29" s="512"/>
      <c r="G29" s="512"/>
      <c r="H29" s="512"/>
    </row>
    <row r="30" spans="1:8" s="248" customFormat="1" ht="15" customHeight="1" x14ac:dyDescent="0.2">
      <c r="A30" s="556">
        <v>43000</v>
      </c>
      <c r="B30" s="697" t="s">
        <v>107</v>
      </c>
      <c r="C30" s="692">
        <v>2351</v>
      </c>
      <c r="D30" s="557">
        <v>50510.8</v>
      </c>
      <c r="E30" s="555">
        <f t="shared" si="0"/>
        <v>1155000</v>
      </c>
      <c r="F30" s="512"/>
      <c r="G30" s="512"/>
      <c r="H30" s="512"/>
    </row>
    <row r="31" spans="1:8" s="248" customFormat="1" ht="15" customHeight="1" x14ac:dyDescent="0.2">
      <c r="A31" s="556">
        <v>51000</v>
      </c>
      <c r="B31" s="697" t="s">
        <v>108</v>
      </c>
      <c r="C31" s="693"/>
      <c r="D31" s="558"/>
      <c r="E31" s="559">
        <f t="shared" si="0"/>
        <v>0</v>
      </c>
      <c r="F31" s="512"/>
      <c r="G31" s="512"/>
      <c r="H31" s="512"/>
    </row>
    <row r="32" spans="1:8" s="248" customFormat="1" ht="15" customHeight="1" x14ac:dyDescent="0.2">
      <c r="A32" s="556">
        <v>52000</v>
      </c>
      <c r="B32" s="697" t="s">
        <v>109</v>
      </c>
      <c r="C32" s="693"/>
      <c r="D32" s="558"/>
      <c r="E32" s="559">
        <f t="shared" si="0"/>
        <v>0</v>
      </c>
      <c r="F32" s="512"/>
      <c r="G32" s="512"/>
      <c r="H32" s="512"/>
    </row>
    <row r="33" spans="1:8" s="248" customFormat="1" ht="15" customHeight="1" x14ac:dyDescent="0.2">
      <c r="A33" s="556">
        <v>53000</v>
      </c>
      <c r="B33" s="697" t="s">
        <v>110</v>
      </c>
      <c r="C33" s="693"/>
      <c r="D33" s="558"/>
      <c r="E33" s="559">
        <f t="shared" si="0"/>
        <v>0</v>
      </c>
      <c r="F33" s="512"/>
      <c r="G33" s="512"/>
      <c r="H33" s="512"/>
    </row>
    <row r="34" spans="1:8" s="248" customFormat="1" ht="15" customHeight="1" x14ac:dyDescent="0.2">
      <c r="A34" s="556">
        <v>54000</v>
      </c>
      <c r="B34" s="697" t="s">
        <v>111</v>
      </c>
      <c r="C34" s="693">
        <v>379</v>
      </c>
      <c r="D34" s="558">
        <v>7722.08</v>
      </c>
      <c r="E34" s="555">
        <f t="shared" si="0"/>
        <v>177000</v>
      </c>
      <c r="F34" s="512"/>
      <c r="G34" s="512"/>
      <c r="H34" s="512"/>
    </row>
    <row r="35" spans="1:8" s="248" customFormat="1" ht="15" customHeight="1" x14ac:dyDescent="0.2">
      <c r="A35" s="556">
        <v>55000</v>
      </c>
      <c r="B35" s="697" t="s">
        <v>112</v>
      </c>
      <c r="C35" s="692">
        <v>969</v>
      </c>
      <c r="D35" s="557">
        <v>26144.7</v>
      </c>
      <c r="E35" s="555">
        <f t="shared" si="0"/>
        <v>598000</v>
      </c>
      <c r="F35" s="512"/>
      <c r="G35" s="512"/>
      <c r="H35" s="512"/>
    </row>
    <row r="36" spans="1:8" s="248" customFormat="1" ht="15" customHeight="1" thickBot="1" x14ac:dyDescent="0.25">
      <c r="A36" s="560">
        <v>56000</v>
      </c>
      <c r="B36" s="698" t="s">
        <v>113</v>
      </c>
      <c r="C36" s="694"/>
      <c r="D36" s="561"/>
      <c r="E36" s="559">
        <f t="shared" si="0"/>
        <v>0</v>
      </c>
      <c r="F36" s="512"/>
      <c r="G36" s="512"/>
      <c r="H36" s="512"/>
    </row>
    <row r="37" spans="1:8" s="248" customFormat="1" ht="15" customHeight="1" thickBot="1" x14ac:dyDescent="0.25">
      <c r="A37" s="562"/>
      <c r="B37" s="699" t="s">
        <v>72</v>
      </c>
      <c r="C37" s="695">
        <f>SUM(C11:C36)</f>
        <v>51826</v>
      </c>
      <c r="D37" s="563">
        <f>SUM(D11:D36)</f>
        <v>961968.09399999992</v>
      </c>
      <c r="E37" s="564">
        <f>SUM(E11:E36)</f>
        <v>22000000</v>
      </c>
      <c r="F37" s="512"/>
      <c r="G37" s="512"/>
      <c r="H37" s="513"/>
    </row>
    <row r="38" spans="1:8" s="260" customFormat="1" ht="12.75" x14ac:dyDescent="0.2">
      <c r="B38" s="266"/>
      <c r="F38" s="259"/>
      <c r="G38" s="259"/>
      <c r="H38" s="259"/>
    </row>
    <row r="39" spans="1:8" ht="15" x14ac:dyDescent="0.2">
      <c r="A39" s="267"/>
      <c r="B39" s="268"/>
      <c r="C39" s="267"/>
      <c r="D39" s="267"/>
      <c r="E39" s="267"/>
      <c r="F39" s="269"/>
    </row>
    <row r="40" spans="1:8" ht="15.75" x14ac:dyDescent="0.25">
      <c r="A40" s="267"/>
      <c r="B40" s="268"/>
      <c r="C40" s="267"/>
      <c r="D40" s="270"/>
      <c r="E40" s="268"/>
      <c r="F40" s="269"/>
    </row>
    <row r="41" spans="1:8" ht="15" x14ac:dyDescent="0.2">
      <c r="A41" s="267"/>
      <c r="B41" s="268"/>
      <c r="C41" s="267"/>
      <c r="D41" s="267"/>
      <c r="E41" s="267"/>
      <c r="F41" s="269"/>
    </row>
    <row r="42" spans="1:8" ht="15" x14ac:dyDescent="0.2">
      <c r="A42" s="267"/>
      <c r="B42" s="268"/>
      <c r="C42" s="267"/>
      <c r="D42" s="267"/>
      <c r="E42" s="267"/>
      <c r="F42" s="269"/>
    </row>
    <row r="43" spans="1:8" ht="15" x14ac:dyDescent="0.2">
      <c r="A43" s="267"/>
      <c r="B43" s="268"/>
      <c r="C43" s="267"/>
      <c r="D43" s="267"/>
      <c r="E43" s="267"/>
      <c r="F43" s="269"/>
    </row>
    <row r="44" spans="1:8" ht="15" x14ac:dyDescent="0.2">
      <c r="A44" s="267"/>
      <c r="B44" s="268"/>
      <c r="C44" s="267"/>
      <c r="D44" s="267"/>
      <c r="E44" s="267"/>
      <c r="F44" s="269"/>
    </row>
    <row r="45" spans="1:8" ht="15" x14ac:dyDescent="0.2">
      <c r="A45" s="267"/>
      <c r="B45" s="268"/>
      <c r="C45" s="267"/>
      <c r="D45" s="267"/>
      <c r="E45" s="267"/>
      <c r="F45" s="269"/>
    </row>
    <row r="46" spans="1:8" ht="15" x14ac:dyDescent="0.2">
      <c r="A46" s="267"/>
      <c r="B46" s="268"/>
      <c r="C46" s="267"/>
      <c r="D46" s="267"/>
      <c r="E46" s="267"/>
      <c r="F46" s="269"/>
    </row>
    <row r="47" spans="1:8" ht="15.75" x14ac:dyDescent="0.25">
      <c r="A47" s="267"/>
      <c r="B47" s="268"/>
      <c r="C47" s="267"/>
      <c r="D47" s="270"/>
      <c r="E47" s="267"/>
      <c r="F47" s="269"/>
    </row>
    <row r="48" spans="1:8" ht="15" x14ac:dyDescent="0.2">
      <c r="A48" s="267"/>
      <c r="B48" s="268"/>
      <c r="C48" s="267"/>
      <c r="D48" s="267"/>
      <c r="E48" s="267"/>
      <c r="F48" s="269"/>
    </row>
  </sheetData>
  <mergeCells count="6">
    <mergeCell ref="A1:E1"/>
    <mergeCell ref="A3:E3"/>
    <mergeCell ref="A9:A10"/>
    <mergeCell ref="B9:B10"/>
    <mergeCell ref="C9:D9"/>
    <mergeCell ref="E9:E10"/>
  </mergeCells>
  <printOptions horizontalCentered="1"/>
  <pageMargins left="0.11811023622047245" right="0.11811023622047245" top="0.86614173228346458" bottom="0.78740157480314965" header="0.31496062992125984" footer="0.31496062992125984"/>
  <pageSetup paperSize="9" scale="110" orientation="portrait" r:id="rId1"/>
  <headerFooter>
    <oddHeader>&amp;LČ. j.: MSMT-1404/2017-1</oddHeader>
    <oddFooter>&amp;R6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5"/>
  <sheetViews>
    <sheetView topLeftCell="A5" zoomScaleNormal="100" workbookViewId="0">
      <selection activeCell="H37" sqref="H37"/>
    </sheetView>
  </sheetViews>
  <sheetFormatPr defaultRowHeight="15" x14ac:dyDescent="0.2"/>
  <cols>
    <col min="1" max="1" width="10.85546875" style="273" customWidth="1"/>
    <col min="2" max="2" width="58.5703125" style="273" customWidth="1"/>
    <col min="3" max="3" width="12.42578125" style="273" customWidth="1"/>
    <col min="4" max="4" width="15.85546875" style="273" customWidth="1"/>
    <col min="5" max="5" width="13.28515625" style="273" customWidth="1"/>
    <col min="6" max="6" width="6" style="273" customWidth="1"/>
    <col min="7" max="7" width="8.85546875" style="273" customWidth="1"/>
    <col min="8" max="226" width="9.140625" style="273" customWidth="1"/>
    <col min="227" max="227" width="5.5703125" style="273" customWidth="1"/>
    <col min="228" max="228" width="8.5703125" style="273" customWidth="1"/>
    <col min="229" max="229" width="41.5703125" style="273" customWidth="1"/>
    <col min="230" max="230" width="12.5703125" style="273" customWidth="1"/>
    <col min="231" max="231" width="12.7109375" style="273" customWidth="1"/>
    <col min="232" max="232" width="13.28515625" style="273" customWidth="1"/>
    <col min="233" max="233" width="13" style="273" customWidth="1"/>
    <col min="234" max="234" width="11.5703125" style="273" customWidth="1"/>
    <col min="235" max="237" width="9.140625" style="273" customWidth="1"/>
    <col min="238" max="238" width="13.5703125" style="273" customWidth="1"/>
    <col min="239" max="239" width="13.7109375" style="273" customWidth="1"/>
    <col min="240" max="16384" width="9.140625" style="273"/>
  </cols>
  <sheetData>
    <row r="1" spans="1:6" x14ac:dyDescent="0.2">
      <c r="A1" s="272"/>
    </row>
    <row r="3" spans="1:6" ht="15.75" x14ac:dyDescent="0.2">
      <c r="A3" s="855" t="s">
        <v>120</v>
      </c>
      <c r="B3" s="855"/>
      <c r="C3" s="855"/>
      <c r="D3" s="855"/>
      <c r="E3" s="855"/>
    </row>
    <row r="4" spans="1:6" ht="15.75" x14ac:dyDescent="0.2">
      <c r="A4" s="258"/>
      <c r="B4" s="258"/>
      <c r="C4" s="258"/>
      <c r="D4" s="258"/>
      <c r="E4" s="258"/>
    </row>
    <row r="5" spans="1:6" ht="31.5" customHeight="1" x14ac:dyDescent="0.2">
      <c r="A5" s="865" t="s">
        <v>178</v>
      </c>
      <c r="B5" s="865"/>
      <c r="C5" s="865"/>
      <c r="D5" s="865"/>
      <c r="E5" s="865"/>
    </row>
    <row r="6" spans="1:6" s="274" customFormat="1" ht="14.25" x14ac:dyDescent="0.2"/>
    <row r="7" spans="1:6" s="279" customFormat="1" ht="12.75" x14ac:dyDescent="0.2">
      <c r="A7" s="275" t="s">
        <v>146</v>
      </c>
      <c r="B7" s="276"/>
      <c r="C7" s="276"/>
      <c r="D7" s="277"/>
      <c r="E7" s="278">
        <v>60000000</v>
      </c>
    </row>
    <row r="8" spans="1:6" s="279" customFormat="1" ht="12.75" x14ac:dyDescent="0.2">
      <c r="A8" s="275" t="s">
        <v>121</v>
      </c>
      <c r="B8" s="276"/>
      <c r="C8" s="276"/>
      <c r="D8" s="277"/>
      <c r="E8" s="280">
        <f>+E39/D39*100</f>
        <v>78.758632684504406</v>
      </c>
    </row>
    <row r="9" spans="1:6" s="279" customFormat="1" ht="27.75" x14ac:dyDescent="0.2">
      <c r="A9" s="281"/>
      <c r="B9" s="282"/>
      <c r="C9" s="281"/>
      <c r="D9" s="283"/>
    </row>
    <row r="10" spans="1:6" s="279" customFormat="1" ht="13.5" thickBot="1" x14ac:dyDescent="0.25">
      <c r="A10" s="284"/>
      <c r="E10" s="285"/>
    </row>
    <row r="11" spans="1:6" s="279" customFormat="1" ht="18.75" customHeight="1" x14ac:dyDescent="0.2">
      <c r="A11" s="866" t="s">
        <v>73</v>
      </c>
      <c r="B11" s="868" t="s">
        <v>116</v>
      </c>
      <c r="C11" s="870" t="s">
        <v>117</v>
      </c>
      <c r="D11" s="871"/>
      <c r="E11" s="872" t="s">
        <v>179</v>
      </c>
    </row>
    <row r="12" spans="1:6" s="279" customFormat="1" ht="61.5" customHeight="1" thickBot="1" x14ac:dyDescent="0.25">
      <c r="A12" s="867"/>
      <c r="B12" s="869"/>
      <c r="C12" s="682" t="s">
        <v>122</v>
      </c>
      <c r="D12" s="565" t="s">
        <v>123</v>
      </c>
      <c r="E12" s="852"/>
    </row>
    <row r="13" spans="1:6" s="279" customFormat="1" ht="15" customHeight="1" x14ac:dyDescent="0.2">
      <c r="A13" s="566">
        <v>11000</v>
      </c>
      <c r="B13" s="687" t="s">
        <v>170</v>
      </c>
      <c r="C13" s="683">
        <v>393</v>
      </c>
      <c r="D13" s="567">
        <v>16426000</v>
      </c>
      <c r="E13" s="568">
        <f>ROUND(+D13/D$39*E$7,-3)</f>
        <v>12937000</v>
      </c>
      <c r="F13" s="286"/>
    </row>
    <row r="14" spans="1:6" s="279" customFormat="1" ht="15" customHeight="1" x14ac:dyDescent="0.2">
      <c r="A14" s="569">
        <v>12000</v>
      </c>
      <c r="B14" s="688" t="s">
        <v>91</v>
      </c>
      <c r="C14" s="684">
        <v>59</v>
      </c>
      <c r="D14" s="570">
        <v>2984700</v>
      </c>
      <c r="E14" s="571">
        <f t="shared" ref="E14:E38" si="0">ROUND(+D14/D$39*E$7,-3)</f>
        <v>2351000</v>
      </c>
      <c r="F14" s="286"/>
    </row>
    <row r="15" spans="1:6" s="279" customFormat="1" ht="15" customHeight="1" x14ac:dyDescent="0.2">
      <c r="A15" s="569">
        <v>13000</v>
      </c>
      <c r="B15" s="688" t="s">
        <v>92</v>
      </c>
      <c r="C15" s="684">
        <v>41</v>
      </c>
      <c r="D15" s="570">
        <v>1525500</v>
      </c>
      <c r="E15" s="571">
        <f t="shared" si="0"/>
        <v>1201000</v>
      </c>
      <c r="F15" s="286"/>
    </row>
    <row r="16" spans="1:6" s="279" customFormat="1" ht="15" customHeight="1" x14ac:dyDescent="0.2">
      <c r="A16" s="569">
        <v>14000</v>
      </c>
      <c r="B16" s="688" t="s">
        <v>93</v>
      </c>
      <c r="C16" s="684">
        <v>344</v>
      </c>
      <c r="D16" s="570">
        <v>19098425</v>
      </c>
      <c r="E16" s="571">
        <f t="shared" si="0"/>
        <v>15042000</v>
      </c>
      <c r="F16" s="286"/>
    </row>
    <row r="17" spans="1:6" s="279" customFormat="1" ht="15" customHeight="1" x14ac:dyDescent="0.2">
      <c r="A17" s="569">
        <v>15000</v>
      </c>
      <c r="B17" s="688" t="s">
        <v>94</v>
      </c>
      <c r="C17" s="684">
        <v>126</v>
      </c>
      <c r="D17" s="570">
        <v>6372900</v>
      </c>
      <c r="E17" s="571">
        <f t="shared" si="0"/>
        <v>5019000</v>
      </c>
      <c r="F17" s="286"/>
    </row>
    <row r="18" spans="1:6" s="279" customFormat="1" ht="15" customHeight="1" x14ac:dyDescent="0.2">
      <c r="A18" s="569">
        <v>16000</v>
      </c>
      <c r="B18" s="688" t="s">
        <v>95</v>
      </c>
      <c r="C18" s="684">
        <v>0</v>
      </c>
      <c r="D18" s="570">
        <v>0</v>
      </c>
      <c r="E18" s="571">
        <f t="shared" si="0"/>
        <v>0</v>
      </c>
      <c r="F18" s="286"/>
    </row>
    <row r="19" spans="1:6" s="279" customFormat="1" ht="15" customHeight="1" x14ac:dyDescent="0.2">
      <c r="A19" s="569">
        <v>17000</v>
      </c>
      <c r="B19" s="688" t="s">
        <v>169</v>
      </c>
      <c r="C19" s="684">
        <v>53</v>
      </c>
      <c r="D19" s="570">
        <v>2058000</v>
      </c>
      <c r="E19" s="571">
        <f t="shared" si="0"/>
        <v>1621000</v>
      </c>
      <c r="F19" s="286"/>
    </row>
    <row r="20" spans="1:6" s="279" customFormat="1" ht="15" customHeight="1" x14ac:dyDescent="0.2">
      <c r="A20" s="569">
        <v>18000</v>
      </c>
      <c r="B20" s="688" t="s">
        <v>88</v>
      </c>
      <c r="C20" s="684">
        <v>64</v>
      </c>
      <c r="D20" s="570">
        <v>1987300.0000000002</v>
      </c>
      <c r="E20" s="571">
        <f t="shared" si="0"/>
        <v>1565000</v>
      </c>
      <c r="F20" s="286"/>
    </row>
    <row r="21" spans="1:6" s="279" customFormat="1" ht="15" customHeight="1" x14ac:dyDescent="0.2">
      <c r="A21" s="569">
        <v>19000</v>
      </c>
      <c r="B21" s="688" t="s">
        <v>96</v>
      </c>
      <c r="C21" s="684">
        <v>28</v>
      </c>
      <c r="D21" s="570">
        <v>1198899.9999999998</v>
      </c>
      <c r="E21" s="571">
        <f t="shared" si="0"/>
        <v>944000</v>
      </c>
      <c r="F21" s="286"/>
    </row>
    <row r="22" spans="1:6" s="279" customFormat="1" ht="15" customHeight="1" x14ac:dyDescent="0.2">
      <c r="A22" s="569">
        <v>21000</v>
      </c>
      <c r="B22" s="688" t="s">
        <v>97</v>
      </c>
      <c r="C22" s="684">
        <v>92</v>
      </c>
      <c r="D22" s="570">
        <v>2639000</v>
      </c>
      <c r="E22" s="571">
        <f t="shared" si="0"/>
        <v>2078000</v>
      </c>
      <c r="F22" s="286"/>
    </row>
    <row r="23" spans="1:6" s="279" customFormat="1" ht="15" customHeight="1" x14ac:dyDescent="0.2">
      <c r="A23" s="569">
        <v>22000</v>
      </c>
      <c r="B23" s="688" t="s">
        <v>98</v>
      </c>
      <c r="C23" s="684">
        <v>0</v>
      </c>
      <c r="D23" s="570">
        <v>0</v>
      </c>
      <c r="E23" s="571">
        <f t="shared" si="0"/>
        <v>0</v>
      </c>
      <c r="F23" s="286"/>
    </row>
    <row r="24" spans="1:6" s="279" customFormat="1" ht="15" customHeight="1" x14ac:dyDescent="0.2">
      <c r="A24" s="569">
        <v>23000</v>
      </c>
      <c r="B24" s="688" t="s">
        <v>99</v>
      </c>
      <c r="C24" s="684">
        <v>91</v>
      </c>
      <c r="D24" s="570">
        <v>2330000</v>
      </c>
      <c r="E24" s="571">
        <f t="shared" si="0"/>
        <v>1835000</v>
      </c>
      <c r="F24" s="286"/>
    </row>
    <row r="25" spans="1:6" s="279" customFormat="1" ht="15" customHeight="1" x14ac:dyDescent="0.2">
      <c r="A25" s="569">
        <v>24000</v>
      </c>
      <c r="B25" s="688" t="s">
        <v>100</v>
      </c>
      <c r="C25" s="684">
        <v>43</v>
      </c>
      <c r="D25" s="570">
        <v>1967700</v>
      </c>
      <c r="E25" s="571">
        <f t="shared" si="0"/>
        <v>1550000</v>
      </c>
      <c r="F25" s="286"/>
    </row>
    <row r="26" spans="1:6" s="279" customFormat="1" ht="15" customHeight="1" x14ac:dyDescent="0.2">
      <c r="A26" s="569">
        <v>25000</v>
      </c>
      <c r="B26" s="688" t="s">
        <v>101</v>
      </c>
      <c r="C26" s="684">
        <v>55</v>
      </c>
      <c r="D26" s="570">
        <v>3074300</v>
      </c>
      <c r="E26" s="571">
        <f t="shared" si="0"/>
        <v>2421000</v>
      </c>
      <c r="F26" s="286"/>
    </row>
    <row r="27" spans="1:6" s="279" customFormat="1" ht="15" customHeight="1" x14ac:dyDescent="0.2">
      <c r="A27" s="569">
        <v>26000</v>
      </c>
      <c r="B27" s="688" t="s">
        <v>102</v>
      </c>
      <c r="C27" s="684">
        <v>137</v>
      </c>
      <c r="D27" s="570">
        <v>3495000</v>
      </c>
      <c r="E27" s="571">
        <f>ROUND(+D27/D$39*E$7,-3)+1000</f>
        <v>2754000</v>
      </c>
      <c r="F27" s="286"/>
    </row>
    <row r="28" spans="1:6" s="279" customFormat="1" ht="15" customHeight="1" x14ac:dyDescent="0.2">
      <c r="A28" s="569">
        <v>27000</v>
      </c>
      <c r="B28" s="688" t="s">
        <v>103</v>
      </c>
      <c r="C28" s="684">
        <v>34</v>
      </c>
      <c r="D28" s="570">
        <v>1293000</v>
      </c>
      <c r="E28" s="571">
        <f t="shared" si="0"/>
        <v>1018000</v>
      </c>
      <c r="F28" s="286"/>
    </row>
    <row r="29" spans="1:6" s="279" customFormat="1" ht="15" customHeight="1" x14ac:dyDescent="0.2">
      <c r="A29" s="569">
        <v>28000</v>
      </c>
      <c r="B29" s="688" t="s">
        <v>104</v>
      </c>
      <c r="C29" s="684">
        <v>31</v>
      </c>
      <c r="D29" s="570">
        <v>2006100.0000000002</v>
      </c>
      <c r="E29" s="571">
        <f t="shared" si="0"/>
        <v>1580000</v>
      </c>
      <c r="F29" s="286"/>
    </row>
    <row r="30" spans="1:6" s="279" customFormat="1" ht="15" customHeight="1" x14ac:dyDescent="0.2">
      <c r="A30" s="569">
        <v>31000</v>
      </c>
      <c r="B30" s="688" t="s">
        <v>105</v>
      </c>
      <c r="C30" s="684">
        <v>40</v>
      </c>
      <c r="D30" s="570">
        <v>1265000</v>
      </c>
      <c r="E30" s="571">
        <f t="shared" si="0"/>
        <v>996000</v>
      </c>
      <c r="F30" s="286"/>
    </row>
    <row r="31" spans="1:6" s="279" customFormat="1" ht="15" customHeight="1" x14ac:dyDescent="0.2">
      <c r="A31" s="569">
        <v>41000</v>
      </c>
      <c r="B31" s="688" t="s">
        <v>106</v>
      </c>
      <c r="C31" s="684">
        <v>96</v>
      </c>
      <c r="D31" s="570">
        <v>3567000</v>
      </c>
      <c r="E31" s="571">
        <f t="shared" si="0"/>
        <v>2809000</v>
      </c>
      <c r="F31" s="287"/>
    </row>
    <row r="32" spans="1:6" s="279" customFormat="1" ht="15" customHeight="1" x14ac:dyDescent="0.2">
      <c r="A32" s="569">
        <v>43000</v>
      </c>
      <c r="B32" s="688" t="s">
        <v>107</v>
      </c>
      <c r="C32" s="684">
        <v>62</v>
      </c>
      <c r="D32" s="570">
        <v>1281000</v>
      </c>
      <c r="E32" s="571">
        <f t="shared" si="0"/>
        <v>1009000</v>
      </c>
      <c r="F32" s="286"/>
    </row>
    <row r="33" spans="1:6" s="279" customFormat="1" ht="15" customHeight="1" x14ac:dyDescent="0.2">
      <c r="A33" s="569">
        <v>51000</v>
      </c>
      <c r="B33" s="688" t="s">
        <v>108</v>
      </c>
      <c r="C33" s="684">
        <v>0</v>
      </c>
      <c r="D33" s="570">
        <v>0</v>
      </c>
      <c r="E33" s="571">
        <f t="shared" si="0"/>
        <v>0</v>
      </c>
      <c r="F33" s="286"/>
    </row>
    <row r="34" spans="1:6" s="279" customFormat="1" ht="15" customHeight="1" x14ac:dyDescent="0.2">
      <c r="A34" s="569">
        <v>52000</v>
      </c>
      <c r="B34" s="688" t="s">
        <v>109</v>
      </c>
      <c r="C34" s="684">
        <v>0</v>
      </c>
      <c r="D34" s="570">
        <v>0</v>
      </c>
      <c r="E34" s="571">
        <f t="shared" si="0"/>
        <v>0</v>
      </c>
      <c r="F34" s="286"/>
    </row>
    <row r="35" spans="1:6" s="279" customFormat="1" ht="15" customHeight="1" x14ac:dyDescent="0.2">
      <c r="A35" s="569">
        <v>53000</v>
      </c>
      <c r="B35" s="688" t="s">
        <v>110</v>
      </c>
      <c r="C35" s="684">
        <v>0</v>
      </c>
      <c r="D35" s="570">
        <v>0</v>
      </c>
      <c r="E35" s="571">
        <f t="shared" si="0"/>
        <v>0</v>
      </c>
      <c r="F35" s="286"/>
    </row>
    <row r="36" spans="1:6" s="279" customFormat="1" ht="15" customHeight="1" x14ac:dyDescent="0.2">
      <c r="A36" s="569">
        <v>54000</v>
      </c>
      <c r="B36" s="688" t="s">
        <v>111</v>
      </c>
      <c r="C36" s="684">
        <v>6</v>
      </c>
      <c r="D36" s="570">
        <v>740000</v>
      </c>
      <c r="E36" s="571">
        <f t="shared" si="0"/>
        <v>583000</v>
      </c>
      <c r="F36" s="286"/>
    </row>
    <row r="37" spans="1:6" s="279" customFormat="1" ht="15" customHeight="1" x14ac:dyDescent="0.2">
      <c r="A37" s="569">
        <v>55000</v>
      </c>
      <c r="B37" s="688" t="s">
        <v>112</v>
      </c>
      <c r="C37" s="684">
        <v>0</v>
      </c>
      <c r="D37" s="570">
        <v>0</v>
      </c>
      <c r="E37" s="571">
        <f t="shared" si="0"/>
        <v>0</v>
      </c>
      <c r="F37" s="286"/>
    </row>
    <row r="38" spans="1:6" s="279" customFormat="1" ht="15" customHeight="1" thickBot="1" x14ac:dyDescent="0.25">
      <c r="A38" s="572">
        <v>56000</v>
      </c>
      <c r="B38" s="681" t="s">
        <v>113</v>
      </c>
      <c r="C38" s="685">
        <v>16</v>
      </c>
      <c r="D38" s="573">
        <v>872300.00000000012</v>
      </c>
      <c r="E38" s="574">
        <f t="shared" si="0"/>
        <v>687000</v>
      </c>
      <c r="F38" s="286"/>
    </row>
    <row r="39" spans="1:6" s="289" customFormat="1" ht="15" customHeight="1" thickBot="1" x14ac:dyDescent="0.25">
      <c r="A39" s="575"/>
      <c r="B39" s="689" t="s">
        <v>72</v>
      </c>
      <c r="C39" s="686">
        <f>SUM(C13:C38)</f>
        <v>1811</v>
      </c>
      <c r="D39" s="576">
        <f>SUM(D13:D38)</f>
        <v>76182125</v>
      </c>
      <c r="E39" s="577">
        <f>SUM(E13:E38)</f>
        <v>60000000</v>
      </c>
      <c r="F39" s="288"/>
    </row>
    <row r="40" spans="1:6" s="290" customFormat="1" ht="12.75" x14ac:dyDescent="0.2">
      <c r="C40" s="726"/>
      <c r="D40" s="727"/>
      <c r="E40" s="727"/>
    </row>
    <row r="41" spans="1:6" s="291" customFormat="1" ht="12.75" x14ac:dyDescent="0.2">
      <c r="A41" s="291" t="s">
        <v>251</v>
      </c>
    </row>
    <row r="42" spans="1:6" s="291" customFormat="1" ht="12.75" x14ac:dyDescent="0.2"/>
    <row r="43" spans="1:6" s="291" customFormat="1" ht="12.75" x14ac:dyDescent="0.2">
      <c r="C43" s="292"/>
    </row>
    <row r="44" spans="1:6" ht="15.75" x14ac:dyDescent="0.2">
      <c r="A44" s="293"/>
      <c r="B44" s="293"/>
      <c r="C44" s="293"/>
      <c r="D44" s="293"/>
      <c r="E44" s="293"/>
      <c r="F44" s="293"/>
    </row>
    <row r="45" spans="1:6" ht="15.75" x14ac:dyDescent="0.2">
      <c r="A45" s="293"/>
      <c r="B45" s="293"/>
      <c r="C45" s="293"/>
      <c r="D45" s="293"/>
      <c r="E45" s="293"/>
      <c r="F45" s="293"/>
    </row>
    <row r="46" spans="1:6" ht="15.75" x14ac:dyDescent="0.2">
      <c r="A46" s="293"/>
      <c r="B46" s="293"/>
      <c r="C46" s="293"/>
      <c r="D46" s="293"/>
      <c r="E46" s="293"/>
      <c r="F46" s="293"/>
    </row>
    <row r="47" spans="1:6" ht="15.75" x14ac:dyDescent="0.2">
      <c r="A47" s="293"/>
      <c r="B47" s="293"/>
      <c r="C47" s="293"/>
      <c r="D47" s="293"/>
      <c r="E47" s="293"/>
      <c r="F47" s="293"/>
    </row>
    <row r="48" spans="1:6" ht="15.75" x14ac:dyDescent="0.2">
      <c r="A48" s="293"/>
      <c r="B48" s="293"/>
      <c r="C48" s="293"/>
      <c r="D48" s="293"/>
      <c r="E48" s="293"/>
      <c r="F48" s="293"/>
    </row>
    <row r="49" spans="1:6" ht="15.75" x14ac:dyDescent="0.2">
      <c r="A49" s="293"/>
      <c r="B49" s="293"/>
      <c r="C49" s="293"/>
      <c r="D49" s="293"/>
      <c r="E49" s="293"/>
      <c r="F49" s="293"/>
    </row>
    <row r="50" spans="1:6" ht="15.75" x14ac:dyDescent="0.2">
      <c r="A50" s="293"/>
      <c r="B50" s="293"/>
      <c r="C50" s="293"/>
      <c r="D50" s="293"/>
      <c r="E50" s="293"/>
      <c r="F50" s="293"/>
    </row>
    <row r="51" spans="1:6" ht="15.75" x14ac:dyDescent="0.2">
      <c r="A51" s="293"/>
      <c r="B51" s="293"/>
      <c r="C51" s="293"/>
      <c r="D51" s="293"/>
      <c r="E51" s="293"/>
      <c r="F51" s="293"/>
    </row>
    <row r="52" spans="1:6" ht="15.75" x14ac:dyDescent="0.2">
      <c r="A52" s="293"/>
      <c r="B52" s="293"/>
      <c r="C52" s="293"/>
      <c r="D52" s="293"/>
      <c r="E52" s="293"/>
      <c r="F52" s="293"/>
    </row>
    <row r="53" spans="1:6" ht="15.75" x14ac:dyDescent="0.2">
      <c r="A53" s="293"/>
      <c r="B53" s="293"/>
      <c r="C53" s="293"/>
      <c r="D53" s="293"/>
      <c r="E53" s="293"/>
      <c r="F53" s="293"/>
    </row>
    <row r="54" spans="1:6" ht="15.75" x14ac:dyDescent="0.2">
      <c r="A54" s="293"/>
      <c r="B54" s="293"/>
      <c r="C54" s="293"/>
      <c r="D54" s="293"/>
      <c r="E54" s="293"/>
      <c r="F54" s="293"/>
    </row>
    <row r="55" spans="1:6" ht="15.75" x14ac:dyDescent="0.2">
      <c r="A55" s="293"/>
      <c r="B55" s="293"/>
      <c r="C55" s="293"/>
      <c r="D55" s="293"/>
      <c r="E55" s="293"/>
      <c r="F55" s="293"/>
    </row>
    <row r="56" spans="1:6" ht="15.75" x14ac:dyDescent="0.2">
      <c r="A56" s="293"/>
      <c r="B56" s="293"/>
      <c r="C56" s="293"/>
      <c r="D56" s="293"/>
      <c r="E56" s="293"/>
      <c r="F56" s="293"/>
    </row>
    <row r="57" spans="1:6" ht="15.75" x14ac:dyDescent="0.2">
      <c r="A57" s="293"/>
      <c r="B57" s="293"/>
      <c r="C57" s="293"/>
      <c r="D57" s="293"/>
      <c r="E57" s="293"/>
      <c r="F57" s="293"/>
    </row>
    <row r="58" spans="1:6" ht="15.75" x14ac:dyDescent="0.2">
      <c r="A58" s="293"/>
      <c r="B58" s="293"/>
      <c r="C58" s="293"/>
      <c r="D58" s="293"/>
      <c r="E58" s="293"/>
      <c r="F58" s="293"/>
    </row>
    <row r="59" spans="1:6" ht="15.75" x14ac:dyDescent="0.2">
      <c r="A59" s="293"/>
      <c r="B59" s="293"/>
      <c r="C59" s="293"/>
      <c r="D59" s="293"/>
      <c r="E59" s="293"/>
      <c r="F59" s="293"/>
    </row>
    <row r="60" spans="1:6" ht="15.75" x14ac:dyDescent="0.2">
      <c r="A60" s="293"/>
      <c r="B60" s="293"/>
      <c r="C60" s="293"/>
      <c r="D60" s="293"/>
      <c r="E60" s="293"/>
      <c r="F60" s="293"/>
    </row>
    <row r="61" spans="1:6" ht="15.75" x14ac:dyDescent="0.2">
      <c r="A61" s="293"/>
      <c r="B61" s="293"/>
      <c r="C61" s="293"/>
      <c r="D61" s="293"/>
      <c r="E61" s="293"/>
      <c r="F61" s="293"/>
    </row>
    <row r="62" spans="1:6" ht="15.75" x14ac:dyDescent="0.2">
      <c r="A62" s="293"/>
      <c r="B62" s="293"/>
      <c r="C62" s="293"/>
      <c r="D62" s="293"/>
      <c r="E62" s="293"/>
      <c r="F62" s="293"/>
    </row>
    <row r="63" spans="1:6" ht="15.75" x14ac:dyDescent="0.2">
      <c r="A63" s="293"/>
      <c r="B63" s="293"/>
      <c r="C63" s="293"/>
      <c r="D63" s="293"/>
      <c r="E63" s="293"/>
      <c r="F63" s="293"/>
    </row>
    <row r="64" spans="1:6" ht="15.75" x14ac:dyDescent="0.2">
      <c r="A64" s="293"/>
      <c r="B64" s="293"/>
      <c r="C64" s="293"/>
      <c r="D64" s="293"/>
      <c r="E64" s="293"/>
      <c r="F64" s="293"/>
    </row>
    <row r="65" spans="1:6" ht="15.75" x14ac:dyDescent="0.2">
      <c r="A65" s="293"/>
      <c r="B65" s="293"/>
      <c r="C65" s="293"/>
      <c r="D65" s="293"/>
      <c r="E65" s="293"/>
      <c r="F65" s="293"/>
    </row>
    <row r="66" spans="1:6" ht="15.75" x14ac:dyDescent="0.2">
      <c r="A66" s="293"/>
      <c r="B66" s="293"/>
      <c r="C66" s="293"/>
      <c r="D66" s="293"/>
      <c r="E66" s="293"/>
      <c r="F66" s="293"/>
    </row>
    <row r="67" spans="1:6" ht="15.75" x14ac:dyDescent="0.2">
      <c r="A67" s="293"/>
      <c r="B67" s="293"/>
      <c r="C67" s="293"/>
      <c r="D67" s="293"/>
      <c r="E67" s="293"/>
      <c r="F67" s="293"/>
    </row>
    <row r="68" spans="1:6" ht="15.75" x14ac:dyDescent="0.2">
      <c r="A68" s="293"/>
      <c r="B68" s="293"/>
      <c r="C68" s="293"/>
      <c r="D68" s="293"/>
      <c r="E68" s="293"/>
      <c r="F68" s="293"/>
    </row>
    <row r="69" spans="1:6" ht="15.75" x14ac:dyDescent="0.2">
      <c r="A69" s="293"/>
      <c r="B69" s="293"/>
      <c r="C69" s="293"/>
      <c r="D69" s="293"/>
      <c r="E69" s="293"/>
      <c r="F69" s="293"/>
    </row>
    <row r="70" spans="1:6" ht="15.75" x14ac:dyDescent="0.2">
      <c r="A70" s="293"/>
      <c r="B70" s="293"/>
      <c r="C70" s="293"/>
      <c r="D70" s="293"/>
      <c r="E70" s="293"/>
      <c r="F70" s="293"/>
    </row>
    <row r="71" spans="1:6" ht="15.75" x14ac:dyDescent="0.2">
      <c r="A71" s="293"/>
      <c r="B71" s="293"/>
      <c r="C71" s="293"/>
      <c r="D71" s="293"/>
      <c r="E71" s="293"/>
      <c r="F71" s="293"/>
    </row>
    <row r="72" spans="1:6" ht="15.75" x14ac:dyDescent="0.2">
      <c r="A72" s="293"/>
      <c r="B72" s="293"/>
      <c r="C72" s="293"/>
      <c r="D72" s="293"/>
      <c r="E72" s="293"/>
      <c r="F72" s="293"/>
    </row>
    <row r="73" spans="1:6" ht="15.75" x14ac:dyDescent="0.2">
      <c r="A73" s="293"/>
      <c r="B73" s="293"/>
      <c r="C73" s="293"/>
      <c r="D73" s="293"/>
      <c r="E73" s="293"/>
      <c r="F73" s="293"/>
    </row>
    <row r="74" spans="1:6" ht="15.75" x14ac:dyDescent="0.2">
      <c r="A74" s="293"/>
      <c r="B74" s="293"/>
      <c r="C74" s="293"/>
      <c r="D74" s="293"/>
      <c r="E74" s="293"/>
      <c r="F74" s="293"/>
    </row>
    <row r="75" spans="1:6" ht="15.75" x14ac:dyDescent="0.2">
      <c r="A75" s="293"/>
      <c r="B75" s="293"/>
      <c r="C75" s="293"/>
      <c r="D75" s="293"/>
      <c r="E75" s="293"/>
      <c r="F75" s="293"/>
    </row>
  </sheetData>
  <mergeCells count="6">
    <mergeCell ref="A3:E3"/>
    <mergeCell ref="A5:E5"/>
    <mergeCell ref="A11:A12"/>
    <mergeCell ref="B11:B12"/>
    <mergeCell ref="C11:D11"/>
    <mergeCell ref="E11:E12"/>
  </mergeCells>
  <printOptions horizontalCentered="1"/>
  <pageMargins left="0.9055118110236221" right="0.9055118110236221" top="0.78740157480314965" bottom="0.78740157480314965" header="0.31496062992125984" footer="0.31496062992125984"/>
  <pageSetup paperSize="9" scale="85" orientation="portrait" r:id="rId1"/>
  <headerFooter>
    <oddHeader>&amp;LČ. j.: MSMT-1404/2017-1</oddHeader>
    <oddFooter>&amp;R7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9"/>
  <sheetViews>
    <sheetView zoomScaleNormal="100" zoomScaleSheetLayoutView="100" workbookViewId="0">
      <selection activeCell="G34" sqref="G34"/>
    </sheetView>
  </sheetViews>
  <sheetFormatPr defaultRowHeight="12.75" x14ac:dyDescent="0.2"/>
  <cols>
    <col min="1" max="1" width="11.140625" style="213" customWidth="1"/>
    <col min="2" max="2" width="60.7109375" style="213" customWidth="1"/>
    <col min="3" max="3" width="17.28515625" style="213" customWidth="1"/>
    <col min="4" max="4" width="11.85546875" style="213" bestFit="1" customWidth="1"/>
    <col min="5" max="5" width="9.5703125" style="213" bestFit="1" customWidth="1"/>
    <col min="6" max="6" width="9.42578125" style="213" bestFit="1" customWidth="1"/>
    <col min="7" max="7" width="10.140625" style="213" customWidth="1"/>
    <col min="8" max="8" width="9.28515625" style="213" customWidth="1"/>
    <col min="9" max="16384" width="9.140625" style="213"/>
  </cols>
  <sheetData>
    <row r="1" spans="1:10" x14ac:dyDescent="0.2">
      <c r="A1" s="212"/>
    </row>
    <row r="3" spans="1:10" ht="23.25" x14ac:dyDescent="0.2">
      <c r="A3" s="214" t="s">
        <v>124</v>
      </c>
    </row>
    <row r="4" spans="1:10" x14ac:dyDescent="0.2">
      <c r="A4" s="215"/>
    </row>
    <row r="5" spans="1:10" ht="20.25" x14ac:dyDescent="0.2">
      <c r="A5" s="216" t="s">
        <v>180</v>
      </c>
      <c r="C5" s="217"/>
      <c r="D5" s="218"/>
      <c r="E5" s="218"/>
      <c r="F5" s="218"/>
      <c r="G5" s="218"/>
      <c r="H5" s="218"/>
      <c r="I5" s="218"/>
      <c r="J5" s="218"/>
    </row>
    <row r="6" spans="1:10" ht="15" x14ac:dyDescent="0.2">
      <c r="A6" s="219"/>
      <c r="C6" s="217"/>
      <c r="D6" s="218"/>
      <c r="E6" s="218"/>
      <c r="F6" s="218"/>
      <c r="G6" s="218"/>
      <c r="H6" s="218"/>
      <c r="I6" s="218"/>
      <c r="J6" s="218"/>
    </row>
    <row r="7" spans="1:10" ht="15" x14ac:dyDescent="0.2">
      <c r="A7" s="219" t="s">
        <v>181</v>
      </c>
      <c r="C7" s="217"/>
      <c r="D7" s="218"/>
      <c r="E7" s="218"/>
      <c r="F7" s="218"/>
      <c r="G7" s="218"/>
      <c r="H7" s="218"/>
      <c r="I7" s="218"/>
      <c r="J7" s="218"/>
    </row>
    <row r="8" spans="1:10" ht="15.75" thickBot="1" x14ac:dyDescent="0.25">
      <c r="A8" s="220"/>
      <c r="B8" s="220"/>
      <c r="C8" s="455" t="s">
        <v>176</v>
      </c>
      <c r="D8" s="218"/>
      <c r="E8" s="218"/>
      <c r="F8" s="218"/>
      <c r="G8" s="218"/>
      <c r="H8" s="218"/>
      <c r="I8" s="218"/>
      <c r="J8" s="218"/>
    </row>
    <row r="9" spans="1:10" ht="40.5" customHeight="1" thickBot="1" x14ac:dyDescent="0.25">
      <c r="A9" s="578" t="s">
        <v>73</v>
      </c>
      <c r="B9" s="678" t="s">
        <v>116</v>
      </c>
      <c r="C9" s="673" t="s">
        <v>125</v>
      </c>
      <c r="D9" s="218"/>
      <c r="E9" s="218"/>
      <c r="F9" s="221"/>
      <c r="G9" s="221"/>
      <c r="H9" s="221"/>
      <c r="I9" s="221"/>
      <c r="J9" s="221"/>
    </row>
    <row r="10" spans="1:10" ht="15" customHeight="1" x14ac:dyDescent="0.2">
      <c r="A10" s="579">
        <v>11000</v>
      </c>
      <c r="B10" s="679" t="s">
        <v>170</v>
      </c>
      <c r="C10" s="674">
        <v>201040000</v>
      </c>
      <c r="D10" s="218"/>
      <c r="E10" s="218"/>
      <c r="F10" s="221"/>
      <c r="G10" s="221"/>
      <c r="H10" s="221"/>
      <c r="I10" s="221"/>
      <c r="J10" s="221"/>
    </row>
    <row r="11" spans="1:10" ht="15" customHeight="1" x14ac:dyDescent="0.2">
      <c r="A11" s="580">
        <v>12000</v>
      </c>
      <c r="B11" s="679" t="s">
        <v>91</v>
      </c>
      <c r="C11" s="674">
        <v>30888000</v>
      </c>
      <c r="D11" s="218"/>
      <c r="E11" s="218"/>
      <c r="F11" s="221"/>
      <c r="G11" s="221"/>
      <c r="H11" s="221"/>
      <c r="I11" s="221"/>
      <c r="J11" s="221"/>
    </row>
    <row r="12" spans="1:10" ht="15" customHeight="1" x14ac:dyDescent="0.2">
      <c r="A12" s="580">
        <v>13000</v>
      </c>
      <c r="B12" s="679" t="s">
        <v>92</v>
      </c>
      <c r="C12" s="674">
        <v>26893000</v>
      </c>
      <c r="D12" s="218"/>
      <c r="E12" s="218"/>
      <c r="F12" s="221"/>
      <c r="G12" s="221"/>
      <c r="H12" s="221"/>
      <c r="I12" s="221"/>
      <c r="J12" s="221"/>
    </row>
    <row r="13" spans="1:10" ht="15" customHeight="1" x14ac:dyDescent="0.2">
      <c r="A13" s="580">
        <v>14000</v>
      </c>
      <c r="B13" s="679" t="s">
        <v>93</v>
      </c>
      <c r="C13" s="674">
        <v>120366000</v>
      </c>
      <c r="D13" s="218"/>
      <c r="E13" s="218"/>
      <c r="F13" s="221"/>
      <c r="G13" s="221"/>
      <c r="H13" s="221"/>
      <c r="I13" s="221"/>
      <c r="J13" s="221"/>
    </row>
    <row r="14" spans="1:10" ht="15" customHeight="1" x14ac:dyDescent="0.2">
      <c r="A14" s="580">
        <v>15000</v>
      </c>
      <c r="B14" s="679" t="s">
        <v>94</v>
      </c>
      <c r="C14" s="674">
        <v>61207000</v>
      </c>
      <c r="D14" s="218"/>
      <c r="E14" s="218"/>
      <c r="F14" s="221"/>
      <c r="G14" s="221"/>
      <c r="H14" s="221"/>
      <c r="I14" s="221"/>
      <c r="J14" s="221"/>
    </row>
    <row r="15" spans="1:10" ht="15" customHeight="1" x14ac:dyDescent="0.2">
      <c r="A15" s="580">
        <v>16000</v>
      </c>
      <c r="B15" s="679" t="s">
        <v>95</v>
      </c>
      <c r="C15" s="674">
        <v>13113000</v>
      </c>
      <c r="D15" s="218"/>
      <c r="E15" s="222"/>
      <c r="F15" s="221"/>
      <c r="G15" s="221"/>
      <c r="H15" s="221"/>
      <c r="I15" s="221"/>
      <c r="J15" s="221"/>
    </row>
    <row r="16" spans="1:10" ht="15" customHeight="1" x14ac:dyDescent="0.2">
      <c r="A16" s="580">
        <v>17000</v>
      </c>
      <c r="B16" s="679" t="s">
        <v>169</v>
      </c>
      <c r="C16" s="674">
        <v>28209000</v>
      </c>
      <c r="D16" s="218"/>
      <c r="E16" s="218"/>
      <c r="F16" s="221"/>
      <c r="G16" s="221"/>
      <c r="H16" s="221"/>
      <c r="I16" s="221"/>
      <c r="J16" s="221"/>
    </row>
    <row r="17" spans="1:10" ht="15" customHeight="1" x14ac:dyDescent="0.2">
      <c r="A17" s="580">
        <v>18000</v>
      </c>
      <c r="B17" s="679" t="s">
        <v>88</v>
      </c>
      <c r="C17" s="674">
        <v>20557000</v>
      </c>
      <c r="D17" s="218"/>
      <c r="E17" s="218"/>
      <c r="F17" s="221"/>
      <c r="G17" s="221"/>
      <c r="H17" s="221"/>
      <c r="I17" s="221"/>
      <c r="J17" s="221"/>
    </row>
    <row r="18" spans="1:10" ht="15" customHeight="1" x14ac:dyDescent="0.2">
      <c r="A18" s="580">
        <v>19000</v>
      </c>
      <c r="B18" s="679" t="s">
        <v>96</v>
      </c>
      <c r="C18" s="674">
        <v>15406000</v>
      </c>
      <c r="D18" s="218"/>
      <c r="E18" s="218"/>
      <c r="F18" s="221"/>
      <c r="G18" s="221"/>
      <c r="H18" s="221"/>
      <c r="I18" s="221"/>
      <c r="J18" s="221"/>
    </row>
    <row r="19" spans="1:10" ht="15" customHeight="1" x14ac:dyDescent="0.2">
      <c r="A19" s="580">
        <v>21000</v>
      </c>
      <c r="B19" s="679" t="s">
        <v>97</v>
      </c>
      <c r="C19" s="675">
        <v>83314000</v>
      </c>
      <c r="D19" s="218"/>
      <c r="E19" s="218"/>
      <c r="F19" s="221"/>
      <c r="G19" s="221"/>
      <c r="H19" s="221"/>
      <c r="I19" s="221"/>
      <c r="J19" s="221"/>
    </row>
    <row r="20" spans="1:10" ht="15" customHeight="1" x14ac:dyDescent="0.2">
      <c r="A20" s="580">
        <v>22000</v>
      </c>
      <c r="B20" s="679" t="s">
        <v>98</v>
      </c>
      <c r="C20" s="674">
        <v>21521000</v>
      </c>
      <c r="D20" s="218"/>
      <c r="E20" s="222"/>
      <c r="F20" s="221"/>
      <c r="G20" s="221"/>
      <c r="H20" s="221"/>
      <c r="I20" s="221"/>
      <c r="J20" s="221"/>
    </row>
    <row r="21" spans="1:10" ht="15" customHeight="1" x14ac:dyDescent="0.2">
      <c r="A21" s="580">
        <v>23000</v>
      </c>
      <c r="B21" s="679" t="s">
        <v>99</v>
      </c>
      <c r="C21" s="674">
        <v>39343000</v>
      </c>
      <c r="D21" s="218"/>
      <c r="E21" s="222"/>
      <c r="F21" s="221"/>
      <c r="G21" s="221"/>
      <c r="H21" s="221"/>
      <c r="I21" s="221"/>
      <c r="J21" s="221"/>
    </row>
    <row r="22" spans="1:10" ht="15" customHeight="1" x14ac:dyDescent="0.2">
      <c r="A22" s="580">
        <v>24000</v>
      </c>
      <c r="B22" s="679" t="s">
        <v>100</v>
      </c>
      <c r="C22" s="674">
        <v>23833000</v>
      </c>
      <c r="D22" s="218"/>
      <c r="E22" s="218"/>
      <c r="F22" s="221"/>
      <c r="G22" s="221"/>
      <c r="H22" s="221"/>
      <c r="I22" s="221"/>
      <c r="J22" s="221"/>
    </row>
    <row r="23" spans="1:10" ht="15" customHeight="1" x14ac:dyDescent="0.2">
      <c r="A23" s="580">
        <v>25000</v>
      </c>
      <c r="B23" s="679" t="s">
        <v>101</v>
      </c>
      <c r="C23" s="674">
        <v>25555000</v>
      </c>
      <c r="D23" s="218"/>
      <c r="E23" s="218"/>
      <c r="F23" s="221"/>
      <c r="G23" s="221"/>
      <c r="H23" s="221"/>
      <c r="I23" s="221"/>
      <c r="J23" s="221"/>
    </row>
    <row r="24" spans="1:10" ht="15" customHeight="1" x14ac:dyDescent="0.2">
      <c r="A24" s="580">
        <v>26000</v>
      </c>
      <c r="B24" s="679" t="s">
        <v>102</v>
      </c>
      <c r="C24" s="674">
        <v>67292000</v>
      </c>
      <c r="D24" s="218"/>
      <c r="E24" s="223"/>
      <c r="F24" s="221"/>
      <c r="G24" s="221"/>
      <c r="H24" s="221"/>
      <c r="I24" s="221"/>
      <c r="J24" s="221"/>
    </row>
    <row r="25" spans="1:10" ht="15" customHeight="1" x14ac:dyDescent="0.2">
      <c r="A25" s="580">
        <v>27000</v>
      </c>
      <c r="B25" s="679" t="s">
        <v>103</v>
      </c>
      <c r="C25" s="674">
        <v>53637000</v>
      </c>
      <c r="D25" s="218"/>
      <c r="E25" s="222"/>
      <c r="F25" s="221"/>
      <c r="G25" s="221"/>
      <c r="H25" s="221"/>
      <c r="I25" s="221"/>
      <c r="J25" s="221"/>
    </row>
    <row r="26" spans="1:10" ht="15" customHeight="1" x14ac:dyDescent="0.2">
      <c r="A26" s="580">
        <v>28000</v>
      </c>
      <c r="B26" s="679" t="s">
        <v>104</v>
      </c>
      <c r="C26" s="674">
        <v>28040000</v>
      </c>
      <c r="D26" s="218"/>
      <c r="E26" s="222"/>
      <c r="F26" s="221"/>
      <c r="G26" s="221"/>
      <c r="H26" s="221"/>
      <c r="I26" s="221"/>
      <c r="J26" s="221"/>
    </row>
    <row r="27" spans="1:10" ht="15" customHeight="1" x14ac:dyDescent="0.2">
      <c r="A27" s="580">
        <v>31000</v>
      </c>
      <c r="B27" s="679" t="s">
        <v>105</v>
      </c>
      <c r="C27" s="674">
        <v>47746000</v>
      </c>
      <c r="D27" s="218"/>
      <c r="E27" s="222"/>
      <c r="F27" s="221"/>
      <c r="G27" s="221"/>
      <c r="H27" s="221"/>
      <c r="I27" s="221"/>
      <c r="J27" s="221"/>
    </row>
    <row r="28" spans="1:10" ht="15" customHeight="1" x14ac:dyDescent="0.2">
      <c r="A28" s="580">
        <v>41000</v>
      </c>
      <c r="B28" s="679" t="s">
        <v>106</v>
      </c>
      <c r="C28" s="674">
        <v>52828000</v>
      </c>
      <c r="D28" s="218"/>
      <c r="E28" s="218"/>
      <c r="F28" s="221"/>
      <c r="G28" s="221"/>
      <c r="H28" s="221"/>
      <c r="I28" s="221"/>
      <c r="J28" s="221"/>
    </row>
    <row r="29" spans="1:10" ht="15" customHeight="1" x14ac:dyDescent="0.2">
      <c r="A29" s="580">
        <v>43000</v>
      </c>
      <c r="B29" s="679" t="s">
        <v>107</v>
      </c>
      <c r="C29" s="674">
        <v>30575000</v>
      </c>
      <c r="D29" s="218"/>
      <c r="E29" s="218"/>
      <c r="F29" s="221"/>
      <c r="G29" s="221"/>
      <c r="H29" s="221"/>
      <c r="I29" s="221"/>
      <c r="J29" s="221"/>
    </row>
    <row r="30" spans="1:10" ht="15" customHeight="1" x14ac:dyDescent="0.2">
      <c r="A30" s="580">
        <v>51000</v>
      </c>
      <c r="B30" s="680" t="s">
        <v>108</v>
      </c>
      <c r="C30" s="675">
        <v>14734000</v>
      </c>
      <c r="D30" s="218"/>
      <c r="E30" s="218"/>
      <c r="F30" s="221"/>
      <c r="G30" s="221"/>
      <c r="H30" s="221"/>
      <c r="I30" s="221"/>
      <c r="J30" s="221"/>
    </row>
    <row r="31" spans="1:10" ht="15" customHeight="1" x14ac:dyDescent="0.2">
      <c r="A31" s="580">
        <v>52000</v>
      </c>
      <c r="B31" s="680" t="s">
        <v>109</v>
      </c>
      <c r="C31" s="675">
        <v>3101000</v>
      </c>
      <c r="D31" s="218"/>
      <c r="E31" s="218"/>
      <c r="F31" s="221"/>
      <c r="G31" s="221"/>
      <c r="H31" s="221"/>
      <c r="I31" s="221"/>
      <c r="J31" s="221"/>
    </row>
    <row r="32" spans="1:10" ht="15" customHeight="1" x14ac:dyDescent="0.2">
      <c r="A32" s="580">
        <v>53000</v>
      </c>
      <c r="B32" s="680" t="s">
        <v>110</v>
      </c>
      <c r="C32" s="675">
        <v>4488000</v>
      </c>
      <c r="D32" s="218"/>
      <c r="E32" s="224"/>
      <c r="F32" s="221"/>
      <c r="G32" s="221"/>
      <c r="H32" s="221"/>
      <c r="I32" s="221"/>
      <c r="J32" s="221"/>
    </row>
    <row r="33" spans="1:10" ht="15" customHeight="1" x14ac:dyDescent="0.2">
      <c r="A33" s="580">
        <v>54000</v>
      </c>
      <c r="B33" s="680" t="s">
        <v>111</v>
      </c>
      <c r="C33" s="675">
        <v>7568000</v>
      </c>
      <c r="D33" s="218"/>
      <c r="E33" s="218"/>
      <c r="F33" s="221"/>
      <c r="G33" s="221"/>
      <c r="H33" s="221"/>
      <c r="I33" s="221"/>
      <c r="J33" s="221"/>
    </row>
    <row r="34" spans="1:10" ht="15" customHeight="1" x14ac:dyDescent="0.2">
      <c r="A34" s="580">
        <v>55000</v>
      </c>
      <c r="B34" s="680" t="s">
        <v>112</v>
      </c>
      <c r="C34" s="675">
        <v>5928000</v>
      </c>
      <c r="D34" s="218"/>
      <c r="E34" s="222"/>
      <c r="F34" s="221"/>
      <c r="G34" s="221"/>
      <c r="H34" s="221"/>
      <c r="I34" s="221"/>
      <c r="J34" s="221"/>
    </row>
    <row r="35" spans="1:10" ht="15" customHeight="1" thickBot="1" x14ac:dyDescent="0.25">
      <c r="A35" s="581">
        <v>56000</v>
      </c>
      <c r="B35" s="681" t="s">
        <v>113</v>
      </c>
      <c r="C35" s="676">
        <v>7818000</v>
      </c>
      <c r="D35" s="218"/>
      <c r="E35" s="223"/>
      <c r="F35" s="221"/>
      <c r="G35" s="221"/>
      <c r="H35" s="221"/>
      <c r="I35" s="221"/>
      <c r="J35" s="221"/>
    </row>
    <row r="36" spans="1:10" ht="15" customHeight="1" thickBot="1" x14ac:dyDescent="0.25">
      <c r="A36" s="582"/>
      <c r="B36" s="639" t="s">
        <v>72</v>
      </c>
      <c r="C36" s="677">
        <v>1035000000</v>
      </c>
      <c r="D36" s="218"/>
      <c r="E36" s="225"/>
      <c r="F36" s="221"/>
      <c r="G36" s="221"/>
      <c r="H36" s="221"/>
      <c r="I36" s="221"/>
      <c r="J36" s="221"/>
    </row>
    <row r="37" spans="1:10" x14ac:dyDescent="0.2">
      <c r="A37" s="218"/>
      <c r="B37" s="218"/>
      <c r="C37" s="218"/>
      <c r="D37" s="218"/>
      <c r="E37" s="218"/>
      <c r="F37" s="221"/>
      <c r="G37" s="221"/>
      <c r="H37" s="221"/>
      <c r="I37" s="221"/>
      <c r="J37" s="221"/>
    </row>
    <row r="38" spans="1:10" x14ac:dyDescent="0.2">
      <c r="A38" s="218"/>
      <c r="B38" s="218"/>
      <c r="C38" s="218"/>
      <c r="D38" s="218"/>
      <c r="E38" s="218"/>
      <c r="F38" s="221"/>
      <c r="G38" s="221"/>
      <c r="H38" s="221"/>
      <c r="I38" s="221"/>
      <c r="J38" s="221"/>
    </row>
    <row r="39" spans="1:10" x14ac:dyDescent="0.2">
      <c r="A39" s="218"/>
      <c r="B39" s="218"/>
      <c r="C39" s="218"/>
      <c r="D39" s="218"/>
      <c r="E39" s="218"/>
      <c r="F39" s="221"/>
      <c r="G39" s="221"/>
      <c r="H39" s="221"/>
      <c r="I39" s="221"/>
      <c r="J39" s="221"/>
    </row>
    <row r="40" spans="1:10" x14ac:dyDescent="0.2">
      <c r="A40" s="218"/>
      <c r="B40" s="218"/>
      <c r="C40" s="218"/>
      <c r="D40" s="218"/>
      <c r="E40" s="218"/>
    </row>
    <row r="41" spans="1:10" x14ac:dyDescent="0.2">
      <c r="A41" s="218"/>
      <c r="B41" s="218"/>
      <c r="C41" s="218"/>
      <c r="D41" s="218"/>
      <c r="E41" s="218"/>
    </row>
    <row r="42" spans="1:10" x14ac:dyDescent="0.2">
      <c r="A42" s="218"/>
      <c r="B42" s="218"/>
      <c r="C42" s="218"/>
      <c r="D42" s="218"/>
      <c r="E42" s="218"/>
    </row>
    <row r="43" spans="1:10" x14ac:dyDescent="0.2">
      <c r="A43" s="218"/>
      <c r="B43" s="218"/>
      <c r="C43" s="218"/>
      <c r="D43" s="218"/>
      <c r="E43" s="218"/>
    </row>
    <row r="44" spans="1:10" x14ac:dyDescent="0.2">
      <c r="A44" s="218"/>
      <c r="B44" s="218"/>
      <c r="C44" s="218"/>
      <c r="D44" s="218"/>
      <c r="E44" s="218"/>
    </row>
    <row r="45" spans="1:10" x14ac:dyDescent="0.2">
      <c r="A45" s="218"/>
      <c r="B45" s="218"/>
      <c r="C45" s="218"/>
      <c r="D45" s="218"/>
      <c r="E45" s="218"/>
    </row>
    <row r="46" spans="1:10" x14ac:dyDescent="0.2">
      <c r="A46" s="218"/>
      <c r="B46" s="218"/>
      <c r="C46" s="218"/>
      <c r="D46" s="218"/>
      <c r="E46" s="218"/>
    </row>
    <row r="47" spans="1:10" x14ac:dyDescent="0.2">
      <c r="A47" s="218"/>
      <c r="B47" s="218"/>
      <c r="C47" s="218"/>
      <c r="D47" s="218"/>
      <c r="E47" s="218"/>
    </row>
    <row r="48" spans="1:10" x14ac:dyDescent="0.2">
      <c r="A48" s="218"/>
      <c r="B48" s="218"/>
      <c r="C48" s="218"/>
      <c r="D48" s="218"/>
      <c r="E48" s="218"/>
    </row>
    <row r="49" spans="1:5" x14ac:dyDescent="0.2">
      <c r="A49" s="218"/>
      <c r="B49" s="218"/>
      <c r="C49" s="218"/>
      <c r="D49" s="218"/>
      <c r="E49" s="218"/>
    </row>
  </sheetData>
  <printOptions horizontalCentered="1"/>
  <pageMargins left="0.78740157480314965" right="0.27559055118110237" top="0.78740157480314965" bottom="0.27559055118110237" header="0.27559055118110237" footer="0.19685039370078741"/>
  <pageSetup paperSize="9" scale="90" orientation="portrait" r:id="rId1"/>
  <headerFooter alignWithMargins="0">
    <oddHeader>&amp;LČ. j.: MSMT-1404/2017-1</oddHeader>
    <oddFooter>&amp;R8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Seznam</vt:lpstr>
      <vt:lpstr>1 Bilance pro výpočet</vt:lpstr>
      <vt:lpstr>2 stanovení podílů fix. části</vt:lpstr>
      <vt:lpstr>3 stanovení podílů výkon. části</vt:lpstr>
      <vt:lpstr>4 Výpočet RO I</vt:lpstr>
      <vt:lpstr>5 Ukaz C</vt:lpstr>
      <vt:lpstr>6 Ukaz. F - U3V</vt:lpstr>
      <vt:lpstr>7 Ukaz F - SSP</vt:lpstr>
      <vt:lpstr>8 Ukaz I</vt:lpstr>
      <vt:lpstr>9 Ukaz J</vt:lpstr>
      <vt:lpstr>10 Ukaz U</vt:lpstr>
      <vt:lpstr>11 Ukaz D</vt:lpstr>
      <vt:lpstr>'5 Ukaz C'!Oblast_tisku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Valášek Petr</dc:creator>
  <cp:lastModifiedBy>Valášek Petr</cp:lastModifiedBy>
  <cp:lastPrinted>2017-02-02T07:54:25Z</cp:lastPrinted>
  <dcterms:created xsi:type="dcterms:W3CDTF">2016-01-05T08:25:48Z</dcterms:created>
  <dcterms:modified xsi:type="dcterms:W3CDTF">2017-02-02T13:06:50Z</dcterms:modified>
</cp:coreProperties>
</file>