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II\30_odbor\300_oddělení\Monitorovací ukazatele\"/>
    </mc:Choice>
  </mc:AlternateContent>
  <bookViews>
    <workbookView xWindow="0" yWindow="0" windowWidth="27780" windowHeight="12960" tabRatio="692"/>
  </bookViews>
  <sheets>
    <sheet name="1_vysoké školy" sheetId="1" r:id="rId1"/>
    <sheet name="2_počty studentů" sheetId="2" r:id="rId2"/>
    <sheet name="3_dostupnost" sheetId="3" r:id="rId3"/>
    <sheet name="4_výuka a uplatnění" sheetId="4" r:id="rId4"/>
    <sheet name="5_internacionalizace" sheetId="5" r:id="rId5"/>
    <sheet name="6_soukromé VŠ" sheetId="10" r:id="rId6"/>
    <sheet name="7_CŽV" sheetId="8" r:id="rId7"/>
    <sheet name="8_metodika" sheetId="9" r:id="rId8"/>
  </sheets>
  <calcPr calcId="152511"/>
</workbook>
</file>

<file path=xl/calcChain.xml><?xml version="1.0" encoding="utf-8"?>
<calcChain xmlns="http://schemas.openxmlformats.org/spreadsheetml/2006/main">
  <c r="C9" i="4" l="1"/>
  <c r="C8" i="4"/>
  <c r="C7" i="4"/>
  <c r="C6" i="4"/>
  <c r="D9" i="4"/>
  <c r="D8" i="4"/>
  <c r="D7" i="4"/>
  <c r="D6" i="4"/>
  <c r="E9" i="4"/>
  <c r="E8" i="4"/>
  <c r="E7" i="4"/>
  <c r="E6" i="4"/>
  <c r="F9" i="4"/>
  <c r="F8" i="4"/>
  <c r="F7" i="4"/>
  <c r="F6" i="4"/>
  <c r="G9" i="4"/>
  <c r="G8" i="4"/>
  <c r="G7" i="4"/>
  <c r="G6" i="4"/>
  <c r="H9" i="4"/>
  <c r="H8" i="4"/>
  <c r="H7" i="4"/>
  <c r="H6" i="4"/>
  <c r="I9" i="4"/>
  <c r="I8" i="4"/>
  <c r="I7" i="4"/>
  <c r="I6" i="4"/>
  <c r="J9" i="4"/>
  <c r="J8" i="4"/>
  <c r="J7" i="4"/>
  <c r="J6" i="4"/>
  <c r="K9" i="4"/>
  <c r="K8" i="4"/>
  <c r="K7" i="4"/>
  <c r="K6" i="4"/>
  <c r="L9" i="4"/>
  <c r="L8" i="4"/>
  <c r="L7" i="4"/>
  <c r="L6" i="4"/>
  <c r="M9" i="4"/>
  <c r="M8" i="4"/>
  <c r="M7" i="4"/>
  <c r="M6" i="4"/>
  <c r="N9" i="4"/>
  <c r="N8" i="4"/>
  <c r="N7" i="4"/>
  <c r="N6" i="4"/>
  <c r="O9" i="4"/>
  <c r="O8" i="4"/>
  <c r="O7" i="4"/>
  <c r="O6" i="4"/>
  <c r="P9" i="4"/>
  <c r="P8" i="4"/>
  <c r="P7" i="4"/>
  <c r="P6" i="4"/>
  <c r="Q9" i="4"/>
  <c r="Q8" i="4"/>
  <c r="Q7" i="4"/>
  <c r="Q6" i="4"/>
  <c r="D9" i="5" l="1"/>
  <c r="C5" i="4"/>
  <c r="E15" i="5" l="1"/>
  <c r="D15" i="5"/>
  <c r="E18" i="3" l="1"/>
  <c r="D17" i="1" l="1"/>
  <c r="C20" i="4" l="1"/>
  <c r="E26" i="5" l="1"/>
  <c r="D26" i="5"/>
  <c r="E25" i="2" l="1"/>
  <c r="D25" i="2"/>
  <c r="D29" i="5" l="1"/>
  <c r="D28" i="5"/>
  <c r="D27" i="5"/>
  <c r="D20" i="3" l="1"/>
  <c r="D15" i="3"/>
  <c r="E56" i="2"/>
  <c r="D56" i="2"/>
  <c r="D54" i="2"/>
  <c r="D52" i="2"/>
  <c r="D50" i="2"/>
  <c r="D51" i="2"/>
  <c r="D45" i="2"/>
  <c r="D42" i="2"/>
  <c r="D40" i="2"/>
  <c r="D36" i="2"/>
  <c r="D37" i="2"/>
  <c r="D21" i="2"/>
  <c r="D6" i="10" l="1"/>
  <c r="D8" i="10"/>
  <c r="D5" i="10"/>
  <c r="D7" i="10"/>
  <c r="E6" i="10"/>
  <c r="D4" i="10"/>
  <c r="D21" i="4"/>
  <c r="D20" i="4"/>
  <c r="E16" i="5" l="1"/>
  <c r="E14" i="5"/>
  <c r="F14" i="5"/>
  <c r="E8" i="5" l="1"/>
  <c r="E7" i="5"/>
  <c r="D39" i="4"/>
  <c r="D40" i="4"/>
  <c r="E40" i="4"/>
  <c r="E20" i="3"/>
  <c r="E15" i="3"/>
  <c r="E16" i="3"/>
  <c r="E17" i="3"/>
  <c r="D20" i="5" l="1"/>
  <c r="D22" i="5"/>
  <c r="D25" i="5"/>
  <c r="D24" i="5"/>
  <c r="D23" i="5"/>
  <c r="D21" i="5"/>
  <c r="E7" i="3"/>
  <c r="F7" i="3"/>
  <c r="D7" i="3"/>
  <c r="D6" i="3"/>
  <c r="E6" i="3"/>
  <c r="D11" i="3"/>
  <c r="E11" i="3"/>
  <c r="D10" i="3"/>
  <c r="E7" i="10"/>
  <c r="E5" i="10"/>
  <c r="E4" i="10"/>
  <c r="D17" i="3"/>
  <c r="D16" i="3"/>
  <c r="H6" i="3"/>
  <c r="F6" i="3"/>
  <c r="D58" i="2" l="1"/>
  <c r="D57" i="2"/>
  <c r="D55" i="2"/>
  <c r="D53" i="2"/>
  <c r="E50" i="2"/>
  <c r="E47" i="2"/>
  <c r="D48" i="2"/>
  <c r="D47" i="2"/>
  <c r="D46" i="2"/>
  <c r="D44" i="2"/>
  <c r="D43" i="2"/>
  <c r="D41" i="2"/>
  <c r="E40" i="2"/>
  <c r="D38" i="2"/>
  <c r="D35" i="2"/>
  <c r="D34" i="2"/>
  <c r="D33" i="2"/>
  <c r="D32" i="2"/>
  <c r="D31" i="2"/>
  <c r="D30" i="2"/>
  <c r="E31" i="2"/>
  <c r="E30" i="2"/>
  <c r="D24" i="2" l="1"/>
  <c r="D23" i="2"/>
  <c r="D22" i="2"/>
  <c r="E21" i="2"/>
  <c r="F21" i="2"/>
  <c r="T13" i="1" l="1"/>
  <c r="R13" i="1"/>
  <c r="S13" i="1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E20" i="4"/>
  <c r="F20" i="4"/>
  <c r="G20" i="4" l="1"/>
  <c r="H20" i="4" l="1"/>
  <c r="I20" i="4"/>
  <c r="J20" i="4"/>
  <c r="K20" i="4"/>
  <c r="L20" i="4"/>
  <c r="M20" i="4"/>
  <c r="N20" i="4"/>
  <c r="O20" i="4"/>
  <c r="P20" i="4"/>
  <c r="Q20" i="4"/>
  <c r="R20" i="4"/>
  <c r="S20" i="4"/>
  <c r="U25" i="2"/>
  <c r="V25" i="2"/>
  <c r="W25" i="2"/>
  <c r="X25" i="2"/>
  <c r="Y25" i="2"/>
  <c r="Z25" i="2"/>
  <c r="AA25" i="2"/>
  <c r="AB25" i="2"/>
  <c r="AC25" i="2"/>
  <c r="AE25" i="2"/>
  <c r="AD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A17" i="1" l="1"/>
  <c r="AB17" i="1"/>
  <c r="S21" i="5"/>
  <c r="F8" i="5"/>
  <c r="F7" i="5"/>
  <c r="F16" i="5"/>
  <c r="E8" i="10"/>
  <c r="E29" i="5"/>
  <c r="E28" i="5"/>
  <c r="E27" i="5"/>
  <c r="E25" i="5"/>
  <c r="E24" i="5"/>
  <c r="E23" i="5"/>
  <c r="F29" i="5"/>
  <c r="F28" i="5"/>
  <c r="F27" i="5"/>
  <c r="F26" i="5"/>
  <c r="F25" i="5"/>
  <c r="F24" i="5"/>
  <c r="F23" i="5"/>
  <c r="F22" i="5"/>
  <c r="F20" i="5"/>
  <c r="T20" i="4" l="1"/>
  <c r="AN6" i="3" l="1"/>
  <c r="AL6" i="3"/>
  <c r="AK6" i="3"/>
  <c r="AJ6" i="3"/>
  <c r="AI6" i="3"/>
  <c r="AH6" i="3"/>
  <c r="AG6" i="3"/>
  <c r="AF6" i="3"/>
  <c r="T21" i="5"/>
  <c r="U21" i="5"/>
  <c r="AD22" i="5" l="1"/>
  <c r="AC20" i="5"/>
  <c r="AB20" i="5"/>
  <c r="AD20" i="5"/>
  <c r="S22" i="5"/>
  <c r="S23" i="5"/>
  <c r="S24" i="5"/>
  <c r="S25" i="5"/>
  <c r="T25" i="5"/>
  <c r="T24" i="5"/>
  <c r="T23" i="5"/>
  <c r="T22" i="5"/>
  <c r="T20" i="5"/>
  <c r="S20" i="5"/>
  <c r="S38" i="4"/>
  <c r="T24" i="2"/>
  <c r="T21" i="2"/>
  <c r="U13" i="1" l="1"/>
  <c r="S15" i="1"/>
  <c r="S17" i="1"/>
  <c r="Z15" i="1"/>
  <c r="Y15" i="1"/>
  <c r="X15" i="1"/>
  <c r="W15" i="1"/>
  <c r="V15" i="1"/>
  <c r="U15" i="1"/>
  <c r="T15" i="1"/>
  <c r="AC17" i="1"/>
  <c r="AD17" i="1"/>
  <c r="F18" i="3"/>
  <c r="T20" i="3" l="1"/>
  <c r="S20" i="3"/>
  <c r="AB10" i="3"/>
  <c r="S7" i="3"/>
  <c r="E10" i="3"/>
  <c r="E24" i="2"/>
  <c r="E23" i="2"/>
  <c r="E22" i="2"/>
  <c r="Z39" i="4" l="1"/>
  <c r="AA39" i="4"/>
  <c r="AB39" i="4"/>
  <c r="AC39" i="4"/>
  <c r="AD39" i="4"/>
  <c r="Y39" i="4"/>
  <c r="X39" i="4"/>
  <c r="W39" i="4"/>
  <c r="V39" i="4"/>
  <c r="V38" i="4"/>
  <c r="U38" i="4"/>
  <c r="T40" i="4"/>
  <c r="T39" i="4"/>
  <c r="T38" i="4"/>
  <c r="S40" i="4"/>
  <c r="S39" i="4"/>
  <c r="R40" i="4"/>
  <c r="R39" i="4"/>
  <c r="R38" i="4"/>
  <c r="Q40" i="4"/>
  <c r="Q39" i="4"/>
  <c r="Q38" i="4"/>
  <c r="E39" i="4"/>
  <c r="E38" i="4"/>
  <c r="X22" i="5" l="1"/>
  <c r="Y22" i="5"/>
  <c r="Z22" i="5"/>
  <c r="AA22" i="5"/>
  <c r="AB22" i="5"/>
  <c r="AB23" i="5"/>
  <c r="AA23" i="5"/>
  <c r="Z23" i="5"/>
  <c r="Y23" i="5"/>
  <c r="X23" i="5"/>
  <c r="U25" i="5"/>
  <c r="V25" i="5"/>
  <c r="W25" i="5"/>
  <c r="U23" i="5"/>
  <c r="V23" i="5"/>
  <c r="W23" i="5"/>
  <c r="U22" i="5"/>
  <c r="V22" i="5"/>
  <c r="W22" i="5"/>
  <c r="U20" i="5"/>
  <c r="V20" i="5"/>
  <c r="W20" i="5"/>
  <c r="U17" i="3"/>
  <c r="U16" i="3"/>
  <c r="U15" i="3"/>
  <c r="S17" i="3"/>
  <c r="S16" i="3"/>
  <c r="S15" i="3"/>
  <c r="R17" i="1"/>
  <c r="Q17" i="1"/>
  <c r="O17" i="1"/>
  <c r="P17" i="1"/>
  <c r="N17" i="1"/>
  <c r="M17" i="1"/>
  <c r="L17" i="1"/>
  <c r="K17" i="1"/>
  <c r="J17" i="1"/>
  <c r="I17" i="1"/>
  <c r="H17" i="1"/>
  <c r="G17" i="1"/>
  <c r="F17" i="1"/>
  <c r="E17" i="1"/>
  <c r="AA24" i="2"/>
  <c r="S6" i="10"/>
  <c r="T6" i="10"/>
  <c r="S5" i="10"/>
  <c r="T5" i="10"/>
  <c r="T4" i="10"/>
  <c r="S4" i="10"/>
  <c r="S7" i="10"/>
  <c r="T7" i="10"/>
  <c r="T10" i="3"/>
  <c r="S10" i="3"/>
  <c r="W10" i="3"/>
  <c r="V10" i="3"/>
  <c r="U10" i="3"/>
  <c r="Z17" i="1"/>
  <c r="Y17" i="1"/>
  <c r="X17" i="1"/>
  <c r="W17" i="1"/>
  <c r="V17" i="1"/>
  <c r="U17" i="1"/>
  <c r="T17" i="1"/>
  <c r="T42" i="2" l="1"/>
  <c r="T43" i="2"/>
  <c r="T48" i="2"/>
  <c r="T44" i="2"/>
  <c r="T41" i="2"/>
  <c r="T40" i="2"/>
  <c r="T58" i="2"/>
  <c r="T54" i="2"/>
  <c r="T53" i="2"/>
  <c r="T52" i="2"/>
  <c r="T51" i="2"/>
  <c r="T50" i="2"/>
  <c r="T17" i="3"/>
  <c r="T16" i="3"/>
  <c r="T15" i="3"/>
  <c r="AC58" i="2"/>
  <c r="AC57" i="2"/>
  <c r="AC56" i="2"/>
  <c r="AC54" i="2"/>
  <c r="AC55" i="2"/>
  <c r="AC53" i="2"/>
  <c r="AC52" i="2"/>
  <c r="AC51" i="2"/>
  <c r="AC50" i="2"/>
  <c r="AB58" i="2"/>
  <c r="AB57" i="2"/>
  <c r="AB56" i="2"/>
  <c r="AB54" i="2"/>
  <c r="AB55" i="2"/>
  <c r="AB53" i="2"/>
  <c r="AB52" i="2"/>
  <c r="AB51" i="2"/>
  <c r="AB50" i="2"/>
  <c r="AA58" i="2"/>
  <c r="AA57" i="2"/>
  <c r="AA56" i="2"/>
  <c r="AA54" i="2"/>
  <c r="AA55" i="2"/>
  <c r="AA53" i="2"/>
  <c r="AA52" i="2"/>
  <c r="AA51" i="2"/>
  <c r="AA50" i="2"/>
  <c r="Z58" i="2"/>
  <c r="Z57" i="2"/>
  <c r="Z56" i="2"/>
  <c r="Z54" i="2"/>
  <c r="Z55" i="2"/>
  <c r="Z53" i="2"/>
  <c r="Z52" i="2"/>
  <c r="Z51" i="2"/>
  <c r="Z50" i="2"/>
  <c r="Y58" i="2"/>
  <c r="Y57" i="2"/>
  <c r="Y56" i="2"/>
  <c r="Y54" i="2"/>
  <c r="Y55" i="2"/>
  <c r="Y53" i="2"/>
  <c r="Y52" i="2"/>
  <c r="Y51" i="2"/>
  <c r="Y50" i="2"/>
  <c r="X58" i="2"/>
  <c r="X57" i="2"/>
  <c r="X56" i="2"/>
  <c r="X54" i="2"/>
  <c r="X55" i="2"/>
  <c r="X53" i="2"/>
  <c r="X52" i="2"/>
  <c r="X51" i="2"/>
  <c r="X50" i="2"/>
  <c r="W58" i="2"/>
  <c r="W57" i="2"/>
  <c r="W56" i="2"/>
  <c r="W54" i="2"/>
  <c r="W55" i="2"/>
  <c r="W53" i="2"/>
  <c r="W52" i="2"/>
  <c r="W51" i="2"/>
  <c r="W50" i="2"/>
  <c r="V58" i="2"/>
  <c r="V57" i="2"/>
  <c r="V56" i="2"/>
  <c r="V54" i="2"/>
  <c r="V55" i="2"/>
  <c r="V53" i="2"/>
  <c r="V52" i="2"/>
  <c r="V51" i="2"/>
  <c r="V50" i="2"/>
  <c r="U58" i="2"/>
  <c r="U57" i="2"/>
  <c r="U56" i="2"/>
  <c r="U54" i="2"/>
  <c r="U55" i="2"/>
  <c r="U53" i="2"/>
  <c r="U52" i="2"/>
  <c r="U51" i="2"/>
  <c r="U50" i="2"/>
  <c r="AE58" i="2"/>
  <c r="AE57" i="2"/>
  <c r="AE56" i="2"/>
  <c r="AE55" i="2"/>
  <c r="AE54" i="2"/>
  <c r="AE53" i="2"/>
  <c r="AE52" i="2"/>
  <c r="AE51" i="2"/>
  <c r="AE50" i="2"/>
  <c r="AD58" i="2"/>
  <c r="AD57" i="2"/>
  <c r="AD56" i="2"/>
  <c r="AD55" i="2"/>
  <c r="AD54" i="2"/>
  <c r="AD53" i="2"/>
  <c r="AD52" i="2"/>
  <c r="AD51" i="2"/>
  <c r="AD50" i="2"/>
  <c r="AC48" i="2"/>
  <c r="AC47" i="2"/>
  <c r="AC46" i="2"/>
  <c r="AC45" i="2"/>
  <c r="AC44" i="2"/>
  <c r="AC43" i="2"/>
  <c r="AC42" i="2"/>
  <c r="AC41" i="2"/>
  <c r="AC40" i="2"/>
  <c r="AB48" i="2"/>
  <c r="AB47" i="2"/>
  <c r="AB46" i="2"/>
  <c r="AB45" i="2"/>
  <c r="AB44" i="2"/>
  <c r="AB43" i="2"/>
  <c r="AB42" i="2"/>
  <c r="AB41" i="2"/>
  <c r="AB40" i="2"/>
  <c r="AA48" i="2"/>
  <c r="AA47" i="2"/>
  <c r="AA46" i="2"/>
  <c r="AA45" i="2"/>
  <c r="AA44" i="2"/>
  <c r="AA43" i="2"/>
  <c r="AA42" i="2"/>
  <c r="AA41" i="2"/>
  <c r="AA40" i="2"/>
  <c r="Z48" i="2"/>
  <c r="Z47" i="2"/>
  <c r="Z46" i="2"/>
  <c r="Z45" i="2"/>
  <c r="Z44" i="2"/>
  <c r="Z43" i="2"/>
  <c r="Z42" i="2"/>
  <c r="Z41" i="2"/>
  <c r="Z40" i="2"/>
  <c r="Y48" i="2"/>
  <c r="Y47" i="2"/>
  <c r="Y46" i="2"/>
  <c r="Y45" i="2"/>
  <c r="Y44" i="2"/>
  <c r="Y43" i="2"/>
  <c r="Y42" i="2"/>
  <c r="Y41" i="2"/>
  <c r="Y40" i="2"/>
  <c r="X48" i="2"/>
  <c r="X47" i="2"/>
  <c r="X46" i="2"/>
  <c r="X45" i="2"/>
  <c r="X44" i="2"/>
  <c r="X43" i="2"/>
  <c r="X42" i="2"/>
  <c r="X41" i="2"/>
  <c r="X40" i="2"/>
  <c r="W48" i="2"/>
  <c r="W47" i="2"/>
  <c r="W46" i="2"/>
  <c r="W45" i="2"/>
  <c r="W44" i="2"/>
  <c r="W43" i="2"/>
  <c r="W42" i="2"/>
  <c r="W41" i="2"/>
  <c r="W40" i="2"/>
  <c r="V48" i="2"/>
  <c r="V47" i="2"/>
  <c r="V46" i="2"/>
  <c r="V45" i="2"/>
  <c r="V44" i="2"/>
  <c r="V43" i="2"/>
  <c r="V42" i="2"/>
  <c r="V41" i="2"/>
  <c r="V40" i="2"/>
  <c r="U48" i="2"/>
  <c r="U47" i="2"/>
  <c r="U46" i="2"/>
  <c r="U45" i="2"/>
  <c r="U44" i="2"/>
  <c r="U43" i="2"/>
  <c r="U42" i="2"/>
  <c r="U41" i="2"/>
  <c r="U40" i="2"/>
  <c r="AE48" i="2"/>
  <c r="AE47" i="2"/>
  <c r="AE46" i="2"/>
  <c r="AE45" i="2"/>
  <c r="AE44" i="2"/>
  <c r="AE43" i="2"/>
  <c r="AE42" i="2"/>
  <c r="AE41" i="2"/>
  <c r="AE40" i="2"/>
  <c r="AD48" i="2"/>
  <c r="AD47" i="2"/>
  <c r="AD46" i="2"/>
  <c r="AD45" i="2"/>
  <c r="AD44" i="2"/>
  <c r="AD43" i="2"/>
  <c r="AD42" i="2"/>
  <c r="AD41" i="2"/>
  <c r="AD40" i="2"/>
  <c r="AE38" i="2"/>
  <c r="AE37" i="2"/>
  <c r="AE36" i="2"/>
  <c r="AE35" i="2"/>
  <c r="AE34" i="2"/>
  <c r="AE33" i="2"/>
  <c r="AE32" i="2"/>
  <c r="AE31" i="2"/>
  <c r="AE30" i="2"/>
  <c r="AD38" i="2"/>
  <c r="AD37" i="2"/>
  <c r="AD36" i="2"/>
  <c r="AD35" i="2"/>
  <c r="AD34" i="2"/>
  <c r="AD33" i="2"/>
  <c r="AD32" i="2"/>
  <c r="AD31" i="2"/>
  <c r="AD30" i="2"/>
  <c r="AC38" i="2"/>
  <c r="AC37" i="2"/>
  <c r="AC36" i="2"/>
  <c r="AC34" i="2"/>
  <c r="AC35" i="2"/>
  <c r="AC33" i="2"/>
  <c r="AC32" i="2"/>
  <c r="AC31" i="2"/>
  <c r="AC30" i="2"/>
  <c r="AB38" i="2"/>
  <c r="AB37" i="2"/>
  <c r="AB36" i="2"/>
  <c r="AB34" i="2"/>
  <c r="AB35" i="2"/>
  <c r="AB33" i="2"/>
  <c r="AB32" i="2"/>
  <c r="AB31" i="2"/>
  <c r="AB30" i="2"/>
  <c r="AA38" i="2"/>
  <c r="AA37" i="2"/>
  <c r="AA36" i="2"/>
  <c r="AA34" i="2"/>
  <c r="AA35" i="2"/>
  <c r="AA33" i="2"/>
  <c r="AA32" i="2"/>
  <c r="AA31" i="2"/>
  <c r="AA30" i="2"/>
  <c r="Z38" i="2"/>
  <c r="Z37" i="2"/>
  <c r="Z36" i="2"/>
  <c r="Z35" i="2"/>
  <c r="Z34" i="2"/>
  <c r="Z33" i="2"/>
  <c r="Z32" i="2"/>
  <c r="Z31" i="2"/>
  <c r="Z30" i="2"/>
  <c r="Y38" i="2"/>
  <c r="Y37" i="2"/>
  <c r="Y36" i="2"/>
  <c r="Y34" i="2"/>
  <c r="Y35" i="2"/>
  <c r="Y33" i="2"/>
  <c r="Y32" i="2"/>
  <c r="Y31" i="2"/>
  <c r="Y30" i="2"/>
  <c r="X38" i="2"/>
  <c r="X37" i="2"/>
  <c r="X36" i="2"/>
  <c r="X34" i="2"/>
  <c r="X35" i="2"/>
  <c r="X33" i="2"/>
  <c r="X32" i="2"/>
  <c r="X31" i="2"/>
  <c r="X30" i="2"/>
  <c r="W38" i="2"/>
  <c r="W37" i="2"/>
  <c r="W36" i="2"/>
  <c r="W35" i="2"/>
  <c r="W34" i="2"/>
  <c r="W33" i="2"/>
  <c r="W32" i="2"/>
  <c r="W31" i="2"/>
  <c r="W30" i="2"/>
  <c r="V38" i="2"/>
  <c r="V37" i="2"/>
  <c r="V36" i="2"/>
  <c r="V35" i="2"/>
  <c r="V34" i="2"/>
  <c r="V33" i="2"/>
  <c r="V32" i="2"/>
  <c r="V31" i="2"/>
  <c r="V30" i="2"/>
  <c r="U38" i="2"/>
  <c r="U37" i="2"/>
  <c r="U36" i="2"/>
  <c r="U35" i="2"/>
  <c r="U34" i="2"/>
  <c r="U33" i="2"/>
  <c r="U32" i="2"/>
  <c r="U31" i="2"/>
  <c r="U30" i="2"/>
  <c r="X10" i="3"/>
  <c r="Y10" i="3"/>
  <c r="Y9" i="3"/>
  <c r="Z10" i="3"/>
  <c r="AA10" i="3"/>
  <c r="U24" i="2"/>
  <c r="U22" i="2"/>
  <c r="U21" i="2"/>
  <c r="V24" i="2"/>
  <c r="V22" i="2"/>
  <c r="V21" i="2"/>
  <c r="W24" i="2"/>
  <c r="W22" i="2"/>
  <c r="W21" i="2"/>
  <c r="X24" i="2"/>
  <c r="X22" i="2"/>
  <c r="X21" i="2"/>
  <c r="Y24" i="2"/>
  <c r="Y22" i="2"/>
  <c r="Y21" i="2"/>
  <c r="Z24" i="2"/>
  <c r="Z22" i="2"/>
  <c r="Z21" i="2"/>
  <c r="AA22" i="2"/>
  <c r="AB22" i="2"/>
  <c r="AA21" i="2"/>
  <c r="AB21" i="2"/>
  <c r="AC21" i="2"/>
  <c r="AD21" i="2"/>
  <c r="AE21" i="2"/>
  <c r="S58" i="2"/>
  <c r="S57" i="2"/>
  <c r="S56" i="2"/>
  <c r="S55" i="2"/>
  <c r="S54" i="2"/>
  <c r="S53" i="2"/>
  <c r="S52" i="2"/>
  <c r="S51" i="2"/>
  <c r="S50" i="2"/>
  <c r="E58" i="2"/>
  <c r="E57" i="2"/>
  <c r="E55" i="2"/>
  <c r="E54" i="2"/>
  <c r="E53" i="2"/>
  <c r="E52" i="2"/>
  <c r="E51" i="2"/>
  <c r="T38" i="2"/>
  <c r="T37" i="2"/>
  <c r="T36" i="2"/>
  <c r="T35" i="2"/>
  <c r="T34" i="2"/>
  <c r="T33" i="2"/>
  <c r="T32" i="2"/>
  <c r="T31" i="2"/>
  <c r="T30" i="2"/>
  <c r="S38" i="2"/>
  <c r="S37" i="2"/>
  <c r="S36" i="2"/>
  <c r="S35" i="2"/>
  <c r="S34" i="2"/>
  <c r="S33" i="2"/>
  <c r="S32" i="2"/>
  <c r="S31" i="2"/>
  <c r="S30" i="2"/>
  <c r="S48" i="2"/>
  <c r="S47" i="2"/>
  <c r="S46" i="2"/>
  <c r="S45" i="2"/>
  <c r="S44" i="2"/>
  <c r="S43" i="2"/>
  <c r="S42" i="2"/>
  <c r="S41" i="2"/>
  <c r="S40" i="2"/>
  <c r="E48" i="2"/>
  <c r="E46" i="2"/>
  <c r="E45" i="2"/>
  <c r="E44" i="2"/>
  <c r="E43" i="2"/>
  <c r="E42" i="2"/>
  <c r="E41" i="2"/>
  <c r="E38" i="2"/>
  <c r="E37" i="2"/>
  <c r="E36" i="2"/>
  <c r="E35" i="2"/>
  <c r="E34" i="2"/>
  <c r="E33" i="2"/>
  <c r="E32" i="2"/>
  <c r="S24" i="2"/>
  <c r="S23" i="2"/>
  <c r="S22" i="2"/>
  <c r="S21" i="2"/>
  <c r="T23" i="2"/>
  <c r="T22" i="2"/>
  <c r="AC22" i="5" l="1"/>
  <c r="AE22" i="5"/>
  <c r="X25" i="5"/>
  <c r="Y25" i="5"/>
  <c r="Z25" i="5"/>
  <c r="AA25" i="5"/>
  <c r="X20" i="5"/>
  <c r="Y20" i="5"/>
  <c r="Z20" i="5"/>
  <c r="AA20" i="5"/>
  <c r="AE20" i="5"/>
  <c r="AA14" i="1"/>
  <c r="AB14" i="1"/>
  <c r="AC14" i="1"/>
  <c r="AD14" i="1"/>
  <c r="R29" i="5" l="1"/>
  <c r="R28" i="5"/>
  <c r="R27" i="5"/>
  <c r="R26" i="5"/>
  <c r="Q29" i="5"/>
  <c r="Q28" i="5"/>
  <c r="Q27" i="5"/>
  <c r="Q26" i="5"/>
  <c r="P29" i="5"/>
  <c r="P28" i="5"/>
  <c r="P27" i="5"/>
  <c r="P26" i="5"/>
  <c r="O29" i="5"/>
  <c r="O28" i="5"/>
  <c r="O27" i="5"/>
  <c r="O26" i="5"/>
  <c r="N29" i="5"/>
  <c r="N28" i="5"/>
  <c r="N27" i="5"/>
  <c r="N26" i="5"/>
  <c r="M28" i="5"/>
  <c r="M27" i="5"/>
  <c r="M26" i="5"/>
  <c r="M29" i="5"/>
  <c r="L29" i="5"/>
  <c r="L28" i="5"/>
  <c r="L27" i="5"/>
  <c r="L26" i="5"/>
  <c r="K29" i="5"/>
  <c r="K28" i="5"/>
  <c r="K27" i="5"/>
  <c r="K26" i="5"/>
  <c r="J29" i="5"/>
  <c r="J28" i="5"/>
  <c r="J27" i="5"/>
  <c r="J26" i="5"/>
  <c r="I29" i="5"/>
  <c r="I28" i="5"/>
  <c r="I27" i="5"/>
  <c r="I26" i="5"/>
  <c r="H29" i="5"/>
  <c r="H28" i="5"/>
  <c r="H27" i="5"/>
  <c r="H26" i="5"/>
  <c r="G29" i="5"/>
  <c r="G28" i="5"/>
  <c r="G27" i="5"/>
  <c r="G26" i="5"/>
  <c r="L5" i="5" l="1"/>
  <c r="L6" i="5"/>
  <c r="M6" i="5"/>
  <c r="M5" i="5"/>
  <c r="P40" i="4" l="1"/>
  <c r="P39" i="4"/>
  <c r="O40" i="4"/>
  <c r="O39" i="4"/>
  <c r="N40" i="4"/>
  <c r="N39" i="4"/>
  <c r="M40" i="4"/>
  <c r="M39" i="4"/>
  <c r="L40" i="4"/>
  <c r="L39" i="4"/>
  <c r="K40" i="4"/>
  <c r="K39" i="4"/>
  <c r="J40" i="4"/>
  <c r="J39" i="4"/>
  <c r="I40" i="4"/>
  <c r="I39" i="4"/>
  <c r="F40" i="4"/>
  <c r="F39" i="4"/>
  <c r="H40" i="4" l="1"/>
  <c r="G38" i="4"/>
  <c r="G40" i="4"/>
  <c r="G39" i="4"/>
  <c r="H39" i="4" l="1"/>
  <c r="P38" i="4" l="1"/>
  <c r="O38" i="4"/>
  <c r="N38" i="4"/>
  <c r="M38" i="4"/>
  <c r="L38" i="4"/>
  <c r="K38" i="4"/>
  <c r="J38" i="4"/>
  <c r="I38" i="4"/>
  <c r="H38" i="4"/>
  <c r="F38" i="4"/>
  <c r="I18" i="3" l="1"/>
  <c r="H18" i="3" l="1"/>
  <c r="G18" i="3" l="1"/>
  <c r="L15" i="2" l="1"/>
  <c r="K15" i="2"/>
  <c r="J15" i="2"/>
  <c r="R11" i="3" l="1"/>
  <c r="Q11" i="3"/>
  <c r="P11" i="3"/>
  <c r="O11" i="3"/>
  <c r="N11" i="3"/>
  <c r="M11" i="3"/>
  <c r="L11" i="3"/>
  <c r="K11" i="3"/>
  <c r="J11" i="3"/>
  <c r="I11" i="3"/>
  <c r="H11" i="3"/>
  <c r="G11" i="3"/>
  <c r="F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R7" i="3"/>
  <c r="R6" i="3"/>
  <c r="Q7" i="3"/>
  <c r="Q6" i="3"/>
  <c r="P7" i="3"/>
  <c r="P6" i="3"/>
  <c r="O7" i="3"/>
  <c r="O6" i="3"/>
  <c r="N7" i="3"/>
  <c r="N6" i="3"/>
  <c r="M7" i="3"/>
  <c r="M6" i="3"/>
  <c r="L7" i="3"/>
  <c r="L6" i="3"/>
  <c r="K7" i="3"/>
  <c r="K6" i="3"/>
  <c r="J7" i="3"/>
  <c r="J6" i="3"/>
  <c r="I7" i="3"/>
  <c r="I6" i="3"/>
  <c r="H7" i="3"/>
  <c r="G7" i="3"/>
  <c r="G6" i="3"/>
  <c r="J24" i="2" l="1"/>
  <c r="K24" i="2"/>
  <c r="L24" i="2"/>
  <c r="M24" i="2"/>
  <c r="N24" i="2"/>
  <c r="O24" i="2"/>
  <c r="P24" i="2"/>
  <c r="Q24" i="2"/>
  <c r="R24" i="2"/>
  <c r="R23" i="2"/>
  <c r="Q23" i="2"/>
  <c r="P23" i="2"/>
  <c r="O23" i="2"/>
  <c r="N23" i="2"/>
  <c r="M23" i="2"/>
  <c r="L23" i="2"/>
  <c r="K23" i="2"/>
  <c r="J23" i="2"/>
  <c r="J22" i="2"/>
  <c r="K22" i="2"/>
  <c r="L22" i="2"/>
  <c r="M22" i="2"/>
  <c r="N22" i="2"/>
  <c r="O22" i="2"/>
  <c r="P22" i="2"/>
  <c r="Q22" i="2"/>
  <c r="R22" i="2"/>
  <c r="R21" i="2"/>
  <c r="Q21" i="2"/>
  <c r="P21" i="2"/>
  <c r="O21" i="2"/>
  <c r="N21" i="2"/>
  <c r="M21" i="2"/>
  <c r="L21" i="2"/>
  <c r="K21" i="2"/>
  <c r="J21" i="2"/>
  <c r="I20" i="5" l="1"/>
  <c r="H20" i="5"/>
  <c r="G20" i="5"/>
  <c r="G16" i="5" l="1"/>
  <c r="G8" i="5"/>
  <c r="G7" i="5"/>
  <c r="F24" i="2" l="1"/>
  <c r="F23" i="2"/>
  <c r="F22" i="2"/>
  <c r="H16" i="5" l="1"/>
  <c r="H8" i="5"/>
  <c r="H7" i="5"/>
  <c r="G17" i="2" l="1"/>
  <c r="G16" i="2"/>
  <c r="G15" i="2"/>
  <c r="G25" i="5" l="1"/>
  <c r="G24" i="5"/>
  <c r="G23" i="5"/>
  <c r="G22" i="5"/>
  <c r="H25" i="5"/>
  <c r="H24" i="5"/>
  <c r="H23" i="5"/>
  <c r="H22" i="5"/>
  <c r="I25" i="5"/>
  <c r="I24" i="5"/>
  <c r="I23" i="5"/>
  <c r="I22" i="5"/>
  <c r="I24" i="2"/>
  <c r="I23" i="2"/>
  <c r="I22" i="2"/>
  <c r="I21" i="2"/>
  <c r="H24" i="2"/>
  <c r="H23" i="2"/>
  <c r="H22" i="2"/>
  <c r="H21" i="2"/>
  <c r="G24" i="2"/>
  <c r="G23" i="2"/>
  <c r="G22" i="2"/>
  <c r="G21" i="2"/>
  <c r="I16" i="2"/>
  <c r="I17" i="2"/>
  <c r="H17" i="2"/>
  <c r="H15" i="2" l="1"/>
  <c r="I15" i="2"/>
</calcChain>
</file>

<file path=xl/comments1.xml><?xml version="1.0" encoding="utf-8"?>
<comments xmlns="http://schemas.openxmlformats.org/spreadsheetml/2006/main">
  <authors>
    <author>Ivan Burian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3-4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4-6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1-3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3-4</t>
        </r>
      </text>
    </comment>
  </commentList>
</comments>
</file>

<file path=xl/comments2.xml><?xml version="1.0" encoding="utf-8"?>
<comments xmlns="http://schemas.openxmlformats.org/spreadsheetml/2006/main">
  <authors>
    <author>Fliegl Tomáš</author>
  </authors>
  <commentList>
    <comment ref="E68" authorId="0" shapeId="0">
      <text>
        <r>
          <rPr>
            <b/>
            <sz val="9"/>
            <color indexed="81"/>
            <rFont val="Tahoma"/>
            <family val="2"/>
            <charset val="238"/>
          </rPr>
          <t>Fliegl Tomáš:</t>
        </r>
        <r>
          <rPr>
            <sz val="9"/>
            <color indexed="81"/>
            <rFont val="Tahoma"/>
            <family val="2"/>
            <charset val="238"/>
          </rPr>
          <t xml:space="preserve">
zde zřejmě https://vdb.czso.cz/vdbvo2/faces/cs/index.jsf?page=vystup-objekt-vyhledavani&amp;bkvt=MTk.&amp;vyhltext=19&amp;katalog=30845&amp;pvo=DEMD001</t>
        </r>
      </text>
    </comment>
  </commentList>
</comments>
</file>

<file path=xl/sharedStrings.xml><?xml version="1.0" encoding="utf-8"?>
<sst xmlns="http://schemas.openxmlformats.org/spreadsheetml/2006/main" count="2544" uniqueCount="438">
  <si>
    <t>Vysoké školy</t>
  </si>
  <si>
    <t>ukazatel</t>
  </si>
  <si>
    <t>počet veřejných vysokých škol</t>
  </si>
  <si>
    <t>počet státních vysokých škol</t>
  </si>
  <si>
    <t>počet soukromých vysokých škol</t>
  </si>
  <si>
    <t>Počty studentů</t>
  </si>
  <si>
    <t>2a</t>
  </si>
  <si>
    <t>Stupně studia</t>
  </si>
  <si>
    <t>2a.1</t>
  </si>
  <si>
    <t>2a.2</t>
  </si>
  <si>
    <t>2a.3</t>
  </si>
  <si>
    <t>2a.4</t>
  </si>
  <si>
    <t>2a.5</t>
  </si>
  <si>
    <t>2a.6</t>
  </si>
  <si>
    <t>2a.7</t>
  </si>
  <si>
    <t>2a.8</t>
  </si>
  <si>
    <t>2a.9</t>
  </si>
  <si>
    <t>2a.10</t>
  </si>
  <si>
    <t>2a.11</t>
  </si>
  <si>
    <t>2b</t>
  </si>
  <si>
    <t>2b.1</t>
  </si>
  <si>
    <t>2b.2</t>
  </si>
  <si>
    <t>2b.3</t>
  </si>
  <si>
    <t>2b.4</t>
  </si>
  <si>
    <t>podíl studentů pobírajících sociální stipendia</t>
  </si>
  <si>
    <t>podíl absolventů bakalářských studijních programů, kteří nepokračují v dalším studiu</t>
  </si>
  <si>
    <t>Délka studií</t>
  </si>
  <si>
    <t>4a</t>
  </si>
  <si>
    <t>4a.2</t>
  </si>
  <si>
    <t>4a.3</t>
  </si>
  <si>
    <t>4a.4</t>
  </si>
  <si>
    <t>průměrná délka řádně ukončeného studia v bakalářských studijních programech</t>
  </si>
  <si>
    <t>průměrná délka řádně ukončeného studia v „dlouhých“ magisterských studijních programech</t>
  </si>
  <si>
    <t>průměrná délka řádně ukončeného studia v navazujících magisterských studijních programech</t>
  </si>
  <si>
    <t>průměrná délka řádně ukončeného studia v doktorských studijních programech</t>
  </si>
  <si>
    <t>4b</t>
  </si>
  <si>
    <t>4b.1</t>
  </si>
  <si>
    <t>4b.2</t>
  </si>
  <si>
    <t>4b.3</t>
  </si>
  <si>
    <t>4c</t>
  </si>
  <si>
    <t>4c.1</t>
  </si>
  <si>
    <t>4c.2</t>
  </si>
  <si>
    <t>4c.3</t>
  </si>
  <si>
    <t>Nezaměstnanost absolventů</t>
  </si>
  <si>
    <t>Akademičtí pracovníci</t>
  </si>
  <si>
    <t>Mobility studentů a akademických pracovníků</t>
  </si>
  <si>
    <t>Otevřenost nabídky studijních programů</t>
  </si>
  <si>
    <t>Zahraniční studenti</t>
  </si>
  <si>
    <t>5a</t>
  </si>
  <si>
    <t>5a.1</t>
  </si>
  <si>
    <t>5a.2</t>
  </si>
  <si>
    <t>5a.3</t>
  </si>
  <si>
    <t>5a.4</t>
  </si>
  <si>
    <t>5b</t>
  </si>
  <si>
    <t>5b.1</t>
  </si>
  <si>
    <t>5b.2</t>
  </si>
  <si>
    <t>5b.3</t>
  </si>
  <si>
    <t>5c</t>
  </si>
  <si>
    <t>5c.1</t>
  </si>
  <si>
    <t>5c.2</t>
  </si>
  <si>
    <t>5c.3</t>
  </si>
  <si>
    <t>5c.4</t>
  </si>
  <si>
    <t>počet studentů vyjíždějících v mobilitních programech</t>
  </si>
  <si>
    <t>počet studentů přijíždějících v mobilitních programech</t>
  </si>
  <si>
    <t>podíl akademických pracovníků vyslaných na zahraniční pobyty na celkovém počtu akademických pracovníků</t>
  </si>
  <si>
    <t>podíl absolventů, kteří v rámci svého studijního programu absolvovali studijní pobyt v zahraničí na celkovém počtu absolventů</t>
  </si>
  <si>
    <t>5a.5</t>
  </si>
  <si>
    <t>počet vysokých škol s ECTS Label</t>
  </si>
  <si>
    <t>podíl studijních programů akreditovaných v cizím jazyce na všech akreditovaných studijních programech</t>
  </si>
  <si>
    <t>podíl počtu studentů ve studijních programech akreditovaných v cizím jazyce na celkovém počtu studentů</t>
  </si>
  <si>
    <t>podíl joint/double/multiple degree studijních programů na všech akreditovaných studijních programech</t>
  </si>
  <si>
    <t>5b.4</t>
  </si>
  <si>
    <t>podíl zahraničních studentů na celkovém počtu studentů v bakalářských studijních programech (fyzické osoby)</t>
  </si>
  <si>
    <t>podíl zahraničních studentů na celkovém počtu studentů v „dlouhých“ magisterských studijních programech (fyzické osoby)</t>
  </si>
  <si>
    <t>podíl zahraničních studentů na celkovém počtu studentů v navazujících magisterských studijních programech (fyzické osoby)</t>
  </si>
  <si>
    <t>podíl zahraničních studentů na celkovém počtu studentů v doktorských studijních programech (fyzické osoby)</t>
  </si>
  <si>
    <t>podíl občanů Slovenska na celkovém počtu zahraničních studentů v doktorských studijních programech (fyzické osoby)</t>
  </si>
  <si>
    <t>5c.5</t>
  </si>
  <si>
    <t>5c.6</t>
  </si>
  <si>
    <t>Celoživotní vzdělávání</t>
  </si>
  <si>
    <t>7.1</t>
  </si>
  <si>
    <t>7.2</t>
  </si>
  <si>
    <t>7.3</t>
  </si>
  <si>
    <t>počet účastníků kurzů CŽV orientovaných na výkon povolání o délce 15-100 hodin</t>
  </si>
  <si>
    <t>počet účastníků kurzů CŽV orientovaných na výkon povolání o délce více než 100 hodin</t>
  </si>
  <si>
    <t>počet účastníků kurzů Univerzity třetího věku</t>
  </si>
  <si>
    <t>2a.12</t>
  </si>
  <si>
    <t>2a.13</t>
  </si>
  <si>
    <t>podíl zapsaných do navazujících magisterských programů v daném kalendářním roce, kteří (nikdy) neabsolvovali bakalářské studium na stejné škole</t>
  </si>
  <si>
    <t>podíl zapsaných do doktorských studijních programů v daném kalendářním roce, kteří (nikdy) neabsolvovali magisterské studium na stejné škole</t>
  </si>
  <si>
    <t>podíl občanů Slovenska na celkovém počtu zahraničních studentů v bakalářských studijních programech (fyzické osoby)</t>
  </si>
  <si>
    <t>podíl občanů Slovenska na celkovém počtu zahraničních studentů v  „dlouhých“ magisterských studijních programech (fyzické osoby)</t>
  </si>
  <si>
    <t>podíl občanů Slovenska na celkovém počtu zahraničních studentů v navazujících magisterských studijních programech (fyzické osoby)</t>
  </si>
  <si>
    <t>5c.7</t>
  </si>
  <si>
    <t>5c.8</t>
  </si>
  <si>
    <t>Dostupnost studia</t>
  </si>
  <si>
    <t>podíl studentů starších 30 let (včetně) na celkovém počtu studentů bakalářského a magisterského stupně</t>
  </si>
  <si>
    <t>podíl studentů prezenční formy studia v bakalářských studijních programech</t>
  </si>
  <si>
    <t>podíl studentů prezenční formy studia v „dlouhých“ magisterských studijních programech</t>
  </si>
  <si>
    <t>podíl studentů prezenční formy studia v navazujících magisterských studijních programech</t>
  </si>
  <si>
    <t>podíl studentů prezenční formy studia v doktorských studijních programech</t>
  </si>
  <si>
    <t>Forma studia</t>
  </si>
  <si>
    <t>poměr zahraničních akademických pracovníků přijatých v rámci mezinárodních mobilit ku celkovému počtu akademických pracovníků</t>
  </si>
  <si>
    <t>Internacionalizace</t>
  </si>
  <si>
    <t>4b.4</t>
  </si>
  <si>
    <t>4d</t>
  </si>
  <si>
    <t>4d.1</t>
  </si>
  <si>
    <t>4d.2</t>
  </si>
  <si>
    <t>4d.3</t>
  </si>
  <si>
    <t>Studijní úspěšnost</t>
  </si>
  <si>
    <t>míra studijní úspěšnosti v bakalářských studijních programech</t>
  </si>
  <si>
    <t>míra studijní úspěšnosti v "dlouhých" magisterských programech</t>
  </si>
  <si>
    <t>míra studijní úspěšnosti v navazujících magisterských programech</t>
  </si>
  <si>
    <t>4a.5</t>
  </si>
  <si>
    <t>míra studijní úspěšnosti v doktorských studijních programech</t>
  </si>
  <si>
    <t>SVP</t>
  </si>
  <si>
    <t>3a</t>
  </si>
  <si>
    <t>3a.1</t>
  </si>
  <si>
    <t>3a.2</t>
  </si>
  <si>
    <t>3a.3</t>
  </si>
  <si>
    <t>2c</t>
  </si>
  <si>
    <t>2c.1</t>
  </si>
  <si>
    <t>Přírodní vědy a nauky</t>
  </si>
  <si>
    <t>Technické vědy a nauky</t>
  </si>
  <si>
    <t>Zemědělsko-lesnické a veterinární vědy a nauky</t>
  </si>
  <si>
    <t>Zdravotnictví, lékařství a farmaceutické vědy a nauky</t>
  </si>
  <si>
    <t>Humanitní a společenské vědy a nauky</t>
  </si>
  <si>
    <t>Ekonomické vědy a nauky</t>
  </si>
  <si>
    <t>Právní vědy a nauky</t>
  </si>
  <si>
    <t>Pedagogika, učitelství a sociální péče</t>
  </si>
  <si>
    <t>Vědy a nauky o kultuře a umění</t>
  </si>
  <si>
    <t>4c.4</t>
  </si>
  <si>
    <t>5c.9</t>
  </si>
  <si>
    <t>5c.10</t>
  </si>
  <si>
    <t>podíl zahraničních studentů na celkovém počtu studentů</t>
  </si>
  <si>
    <t>podíl občanů Slovenska na celkovém počtu zahraničních studentů</t>
  </si>
  <si>
    <t>2c.2</t>
  </si>
  <si>
    <t>2c.3</t>
  </si>
  <si>
    <t>zdroj</t>
  </si>
  <si>
    <t>VZ</t>
  </si>
  <si>
    <t>http://www.msmt.cz/vzdelavani/vysoke-skolstvi/vyrocni-zpravy-1</t>
  </si>
  <si>
    <t>web</t>
  </si>
  <si>
    <t>-</t>
  </si>
  <si>
    <t>v bakalářských studijních programech</t>
  </si>
  <si>
    <t>v navazujících magisterských studijních programech</t>
  </si>
  <si>
    <r>
      <rPr>
        <i/>
        <sz val="12"/>
        <color theme="1"/>
        <rFont val="Calibri"/>
        <family val="2"/>
        <charset val="238"/>
        <scheme val="minor"/>
      </rPr>
      <t xml:space="preserve">počet absolventů </t>
    </r>
    <r>
      <rPr>
        <sz val="12"/>
        <color theme="1"/>
        <rFont val="Calibri"/>
        <family val="2"/>
        <charset val="238"/>
        <scheme val="minor"/>
      </rPr>
      <t>celkem</t>
    </r>
  </si>
  <si>
    <t xml:space="preserve"> v navazujících magisterských studijních programech</t>
  </si>
  <si>
    <t xml:space="preserve"> v doktorských studijních programech</t>
  </si>
  <si>
    <t>podíl absolventů oborů jednotlivých oborových skupin</t>
  </si>
  <si>
    <r>
      <rPr>
        <i/>
        <sz val="12"/>
        <color theme="1"/>
        <rFont val="Calibri"/>
        <family val="2"/>
        <charset val="238"/>
        <scheme val="minor"/>
      </rPr>
      <t xml:space="preserve">počet studentů </t>
    </r>
    <r>
      <rPr>
        <sz val="11"/>
        <color theme="1"/>
        <rFont val="Calibri"/>
        <family val="2"/>
        <charset val="238"/>
        <scheme val="minor"/>
      </rPr>
      <t>celkem</t>
    </r>
  </si>
  <si>
    <t>Počet uchazečů o studium v bakalářských a "dlouhých" magisterských programech</t>
  </si>
  <si>
    <t>Podíl přijatých ke studiu</t>
  </si>
  <si>
    <t>Průměrný počet přihlášek podávaný jedním uchazečem</t>
  </si>
  <si>
    <t>Přístup ke studiu</t>
  </si>
  <si>
    <t>3a.4</t>
  </si>
  <si>
    <t>3a.5</t>
  </si>
  <si>
    <t>3a.6</t>
  </si>
  <si>
    <t>3b</t>
  </si>
  <si>
    <r>
      <rPr>
        <i/>
        <sz val="12"/>
        <color theme="1"/>
        <rFont val="Calibri"/>
        <family val="2"/>
        <charset val="238"/>
        <scheme val="minor"/>
      </rPr>
      <t>podíl žen na absolventech</t>
    </r>
    <r>
      <rPr>
        <sz val="11"/>
        <color theme="1"/>
        <rFont val="Calibri"/>
        <family val="2"/>
        <charset val="238"/>
        <scheme val="minor"/>
      </rPr>
      <t xml:space="preserve"> bakalářských studijních programů</t>
    </r>
  </si>
  <si>
    <t>magisterských studijních programů</t>
  </si>
  <si>
    <t>doktorských studijních programů</t>
  </si>
  <si>
    <t>Různé</t>
  </si>
  <si>
    <t>k 31. 12. daného kalendářního roku</t>
  </si>
  <si>
    <t>popis</t>
  </si>
  <si>
    <t>od 1. 1. do 31. 12 daného kalendářního roku</t>
  </si>
  <si>
    <t>od 1. 1. do 31. 12. daného kalendářního roku</t>
  </si>
  <si>
    <t>celkem</t>
  </si>
  <si>
    <r>
      <rPr>
        <i/>
        <sz val="12"/>
        <color theme="1"/>
        <rFont val="Calibri"/>
        <family val="2"/>
        <charset val="238"/>
        <scheme val="minor"/>
      </rPr>
      <t>počet studentů</t>
    </r>
    <r>
      <rPr>
        <sz val="11"/>
        <color theme="1"/>
        <rFont val="Calibri"/>
        <family val="2"/>
        <charset val="238"/>
        <scheme val="minor"/>
      </rPr>
      <t xml:space="preserve">    </t>
    </r>
  </si>
  <si>
    <t>počet absolventů</t>
  </si>
  <si>
    <t>počet poprvé zapsaných ve studiu</t>
  </si>
  <si>
    <t>3a.7</t>
  </si>
  <si>
    <t>3b.1</t>
  </si>
  <si>
    <t>3b.2</t>
  </si>
  <si>
    <t>3b.3</t>
  </si>
  <si>
    <t>3b.4</t>
  </si>
  <si>
    <t>3b.5</t>
  </si>
  <si>
    <t>3b.6</t>
  </si>
  <si>
    <t>pozn.</t>
  </si>
  <si>
    <t>pro rok 2014 použit počet osmnáctiletých v r. 2013</t>
  </si>
  <si>
    <t>podíl občanů ČR zapsaných od 1. 1. do 31. 12. daného kalendářního roku do prvního ročníku bakalářských a "dlouhých" magisterských programů, kteří předtím nikdy nestudovali na žádné vysoké škole a kterým bylo v době zápisu devatenáct let, a počtu devatenáctiletých k 31. 12. daného kalendářního roku</t>
  </si>
  <si>
    <t>http://torah.net.uiv.cz/vykonyVS.aspx ; http://vdb.czso.cz/vdbvo/tabparam.jsp?cislotab=04-02&amp;vo=tabulka&amp;kapitola_id=371&amp;voa=tabulka</t>
  </si>
  <si>
    <t>Eurostat</t>
  </si>
  <si>
    <t>http://ec.europa.eu/eurostat/tgm/table.do?tab=table&amp;init=1&amp;language=en&amp;pcode=tsdsc480&amp;plugin=1</t>
  </si>
  <si>
    <t>http://torah.net.uiv.cz/uchazecVS.aspx</t>
  </si>
  <si>
    <r>
      <rPr>
        <i/>
        <sz val="12"/>
        <color theme="1"/>
        <rFont val="Calibri"/>
        <family val="2"/>
        <charset val="238"/>
        <scheme val="minor"/>
      </rPr>
      <t>podíl žen na absolventech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</si>
  <si>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bakalářských studijních programů</t>
  </si>
  <si>
    <t>4a.1</t>
  </si>
  <si>
    <t>http://www.strediskovzdelavacipolitiky.info/app/navs2010/</t>
  </si>
  <si>
    <t>počet studentů na jednoho přepočteného akademického pracovníka</t>
  </si>
  <si>
    <t>údaje pouze za veřejné vysoké školy</t>
  </si>
  <si>
    <t>podíl přepočtených akademických pracovníků s titulem profesor na celkovém počtu přepočtených ak. prac.</t>
  </si>
  <si>
    <t>http://www.msmt.cz/vzdelavani/vysoke-skolstvi/vyrocni-zpravy-2</t>
  </si>
  <si>
    <t>v bakalářských studijních programech</t>
  </si>
  <si>
    <t>v „dlouhých“ magisterských studijních programech</t>
  </si>
  <si>
    <t>v doktorských studijních programech</t>
  </si>
  <si>
    <t xml:space="preserve"> v bakalářských studijních programech</t>
  </si>
  <si>
    <t>v  „dlouhých“ magisterských studijních programech</t>
  </si>
  <si>
    <t xml:space="preserve">v navazujících magisterských studijních programech </t>
  </si>
  <si>
    <t>studenti zapsaní od 1. 1. do 31. 12. daného kalendářního roku do prvního ročníku bakalářských a "dlouhých" magisterských programů, kteří předtím nikdy nestudovali na žádné vysoké škole</t>
  </si>
  <si>
    <t>úspěšnost studentů v prvních ročnících: podíl studentů bakalářských a dlouhých magisterských SP, kteří po prvním ročníku dále pokračují alespoň v jednom ze zahájených studií</t>
  </si>
  <si>
    <t>úspěšnost studentů v prvních ročnících: podíl studentů bakalářských a dlouhých magisterských SP, kteří po prvním ročníku dále pokračují alespoň v jednom ze zahájených studiích</t>
  </si>
  <si>
    <t>http://www.msmt.cz/vzdelavani/vysoke-skolstvi/vyrocni-zpravy-3</t>
  </si>
  <si>
    <t>podíl přepočtených akademických pracovníků s titulem docent na celkovém počtu ak. prac.</t>
  </si>
  <si>
    <t>Soukromé vysoké školy</t>
  </si>
  <si>
    <t>podíl studentů soukromých VŠ na celkovém počtu studentů</t>
  </si>
  <si>
    <t>celkem ve všech typech studijních programů</t>
  </si>
  <si>
    <t>podíl studentů soukromých vysokých škol na celkovém počtu studentů ve všech typech studijních programů</t>
  </si>
  <si>
    <t>podíl studentů soukromých vysokých škol na celkovém počtu studentů v bakalářských studijních programech</t>
  </si>
  <si>
    <t>podíl studentů soukromých vysokých škol na celkovém počtu studentů v navazujících magisterských studijních programech</t>
  </si>
  <si>
    <t>počet podpořených studentů se specifickými potřebami</t>
  </si>
  <si>
    <t>počet studentů se specifickými potřebami, o jejichž podporu vysoké školy pro daný rok požádaly</t>
  </si>
  <si>
    <t>Státní rozpočet pro následující rok</t>
  </si>
  <si>
    <t>4c.5</t>
  </si>
  <si>
    <t>Ministerstvo práce a sociálních věcí</t>
  </si>
  <si>
    <t>https://portal.mpsv.cz/sz/stat/nz/qrt</t>
  </si>
  <si>
    <t>6.1</t>
  </si>
  <si>
    <t>6.2</t>
  </si>
  <si>
    <t>6.3</t>
  </si>
  <si>
    <t>6.4</t>
  </si>
  <si>
    <t>6.5</t>
  </si>
  <si>
    <t>Výuka a uplatnění</t>
  </si>
  <si>
    <t>nezaměstnanost čerstvých absolventů magisterských studijních programů</t>
  </si>
  <si>
    <t>nezaměstnanost čerstvých absolventů doktorských studijních programů</t>
  </si>
  <si>
    <t>nezaměstnanost čerstvých absolventů bakalářských studijních programů (tj. podíl čerstvých absolventů nepokračujích ve studiu zapsaných na úřadu práce)</t>
  </si>
  <si>
    <t>Skupiny studijních programů</t>
  </si>
  <si>
    <t>podíl poprvé zapsaných podle skupin studijních programů</t>
  </si>
  <si>
    <t>podíl absolventů podle skupin studijních programů</t>
  </si>
  <si>
    <t>podíl studentů podle skupin studijních programů</t>
  </si>
  <si>
    <t>1a</t>
  </si>
  <si>
    <t>Vysoké školy působící v ČR</t>
  </si>
  <si>
    <t>1b</t>
  </si>
  <si>
    <t>Veřejné výdaje na vysoké školství</t>
  </si>
  <si>
    <t>Příspěvek a dotace ze státního rozpočtu na vzdělávací činnost (v mil. Kč)</t>
  </si>
  <si>
    <t>Veřejné výdaje na vysoké školství včetně včetně výdajů na VaV v běžných cenách (v mil. Kč.), tj. bez zohlednění inflace</t>
  </si>
  <si>
    <t>Veřejné výdaje na vysoké školství včetně včetně výdajů na VaV ve stálých cenách roku 2005 (v mil. Kč.); tj. při zohlednění inflace</t>
  </si>
  <si>
    <t>1a.1</t>
  </si>
  <si>
    <t>1a.2</t>
  </si>
  <si>
    <t>1a.3</t>
  </si>
  <si>
    <t>1b.1</t>
  </si>
  <si>
    <t>1b.2</t>
  </si>
  <si>
    <t>1b.3</t>
  </si>
  <si>
    <t>1b.4</t>
  </si>
  <si>
    <t>1b.5</t>
  </si>
  <si>
    <t>Kontakt</t>
  </si>
  <si>
    <t>Příspěvek ze státního rozpočtu v poměru k HDP</t>
  </si>
  <si>
    <t>Veřejné výdaje včetně výdajů na VaV v poměru k HDP</t>
  </si>
  <si>
    <t>http://www.mfcr.cz/cs/legislativa/legislativni-dokumenty/2015</t>
  </si>
  <si>
    <t>http://www.msmt.cz/vzdelavani/skolstvi-v-cr/statistika-skolstvi/statisticka-rocenka-skolstvi-soubor-ekonomickych-ukazatelu-6</t>
  </si>
  <si>
    <t>1b.6</t>
  </si>
  <si>
    <t>nezaměstnanost čerstvých absolventů dle typu fakult</t>
  </si>
  <si>
    <t>Přírodovědně fakulty</t>
  </si>
  <si>
    <t>Technické fakulty</t>
  </si>
  <si>
    <t>Zemědělské fakulty</t>
  </si>
  <si>
    <t>Lékařské fakulty</t>
  </si>
  <si>
    <t>Filozofické, teologické nebo sociální fakulty</t>
  </si>
  <si>
    <t>Právnické fakulty</t>
  </si>
  <si>
    <t>Umělecké fakulty</t>
  </si>
  <si>
    <t>Pedagogické a tělovýchovné fakulty</t>
  </si>
  <si>
    <t>Ekonomické fakulty</t>
  </si>
  <si>
    <t>Celkové veřejné výdaje na vysoké školství včetně výdajů na VaV v poměru k celkovým výdajům na školství</t>
  </si>
  <si>
    <t>podíl vysokoškolsky vzdělaných evidovaných na úřadu práce k 31. 3. daného roku a všech nezaměstnaných evidovaných na úřadu práce k 31. 3. daného roku</t>
  </si>
  <si>
    <t>celkové přepočtené počty akademických pracovníků</t>
  </si>
  <si>
    <t>celkové přepočtené počty vědeckých pracovníků</t>
  </si>
  <si>
    <t>4d.4</t>
  </si>
  <si>
    <t>4d.5</t>
  </si>
  <si>
    <t>http://www.msmt.cz/vzdelavani/vysoke-skolstvi/vyrocni-zpravy-o-cinnosti-vysokych-skol</t>
  </si>
  <si>
    <t>2a.2 + 2a.3 + 2a.4</t>
  </si>
  <si>
    <t>2a.7 + 2a.8 + 2a.9</t>
  </si>
  <si>
    <t>2b.1 + 2b.2 + 2b.3</t>
  </si>
  <si>
    <t>od 1999 skupiny oborů dle soustavy KKOV, do té doby JKOV</t>
  </si>
  <si>
    <t>1991 - pouze občané ČR, všechny programy</t>
  </si>
  <si>
    <t>2005 a 2013 dochází ke změně metodiky evidence nezaměstnaných</t>
  </si>
  <si>
    <t>4d.2 + 4d.3</t>
  </si>
  <si>
    <t>roky 2000 a 2001 zahrnují všechny magisterské studijní programy</t>
  </si>
  <si>
    <t>SIMS - stav k 20. 1. 2015; Ročenka</t>
  </si>
  <si>
    <t>SIMS - stav k 20. 1. 2016</t>
  </si>
  <si>
    <t>SIMS - stav k 20. 1. 2016; Ročenka</t>
  </si>
  <si>
    <t>SIMS - stav k 20. 1. 2016; ČSÚ</t>
  </si>
  <si>
    <t>výše HDP použita z ročenek příslušného roku</t>
  </si>
  <si>
    <t>ER, tab. A6; ČSÚ</t>
  </si>
  <si>
    <t>ER, tab. A5; Ročenka; Historická ročenka</t>
  </si>
  <si>
    <t>ER, tab. A5; tab. A1; Ročenka; Historická ročenka</t>
  </si>
  <si>
    <t>ER; Ročenka; Historická ročenka</t>
  </si>
  <si>
    <t>SIMS - stav k 20. 1. 2016; Ročenka; Historická ročenka</t>
  </si>
  <si>
    <t>SIMS - stav k 20. 1. 2016; Historická ročenka</t>
  </si>
  <si>
    <t>VZ; Ročenka; Historická ročenka</t>
  </si>
  <si>
    <t>v roce 2001 dochází k transformaci vysokého školství a změně financování</t>
  </si>
  <si>
    <t>1989-1990 zahrnuje pouze standardní studia (obdoba prezenčních)</t>
  </si>
  <si>
    <t>1989-1991 zahrnuje pouze standardní studia (obdoba prezenčních)</t>
  </si>
  <si>
    <t>1989-1992 vykazování u bakalářských a magisterských dohromady</t>
  </si>
  <si>
    <t>1989-1990 zahrnuje pouze standardní formu studia</t>
  </si>
  <si>
    <t>1989-1999 pouze bc. a mgr. studenti s českým občanstvím</t>
  </si>
  <si>
    <t>1989-2000 jen nově přijatí (mohli mít i dřívější studium)</t>
  </si>
  <si>
    <t>za rok 2000 společenskovědní skupina celkem</t>
  </si>
  <si>
    <t>v roce 1997 evidováni za magisterské studenty pouze přijatí na dlouhé magisterské programy</t>
  </si>
  <si>
    <t>1989-1991 společné pro všechny pregraduální studia denní formy</t>
  </si>
  <si>
    <t>1992-1993 pouze pro studenty s českým občanstvím</t>
  </si>
  <si>
    <t>1989-2000 jen nově přijatí občané ČR, od 2001 poprvé zapsaní</t>
  </si>
  <si>
    <t>1989-1990 magisterští a bakalářští dohromady</t>
  </si>
  <si>
    <t>Roky 1960-1997 zahrnují podíl žen na absolventech celkem (bez cizinců)</t>
  </si>
  <si>
    <t>1954-1988 nově přijatí ke studiu</t>
  </si>
  <si>
    <t>1953-1988 počítány počty studentů na pedagogické pracovníky</t>
  </si>
  <si>
    <t>do 1988 podíl absolutního počtu docentů a profesorů vůči pedagogickým pracovníkům, evidováno společně</t>
  </si>
  <si>
    <t>1953-1988 počítání pouze pedagogičtí pracovníci</t>
  </si>
  <si>
    <t>1989-1990 zahrnuje pouze standardní studia</t>
  </si>
  <si>
    <t>od roku 1993 se slovenští studenti započítávají jako cizinci</t>
  </si>
  <si>
    <t>za rok 1999 pouze prezenční bakalářští a magisterští studenti</t>
  </si>
  <si>
    <t>Tomáš Fliegl, Odbor vysokých škol</t>
  </si>
  <si>
    <t>tomas.fliegl@msmt.cz</t>
  </si>
  <si>
    <t>Použité zkratky zdrojů</t>
  </si>
  <si>
    <t>Historická ročenka = Historická ročenka školství 1953/1954 - 1997/1998</t>
  </si>
  <si>
    <t>Ročenka = Statistická ročenka školství</t>
  </si>
  <si>
    <t>Zákon o státním rozpočtu na daný rok; ER, tab. A1</t>
  </si>
  <si>
    <t>ER = Soubor ekonomických ukazatelů statistické ročenky</t>
  </si>
  <si>
    <t>SIMS - stav k 20. 1. 2016, ČSÚ</t>
  </si>
  <si>
    <t>VZ; SIMS - stav k 20. 1. 2015; Ročenka; Historická ročenka</t>
  </si>
  <si>
    <t>ČSÚ = Český statistický úřad</t>
  </si>
  <si>
    <t>Vysvětlivky</t>
  </si>
  <si>
    <t>n/a</t>
  </si>
  <si>
    <t>Data za rok 2013 jsou nespolehlivá a SVP nemůže garantovat jejich správnost kvůli změně evidence nezaměstnaných na MPSV, proto je neuvádí.</t>
  </si>
  <si>
    <t>n/a = nedostupná data za daný rok</t>
  </si>
  <si>
    <t>- = ukazatel nebyl sledován/evidován</t>
  </si>
  <si>
    <t>1b.3*</t>
  </si>
  <si>
    <t>1b.6*</t>
  </si>
  <si>
    <t>*Pozn.</t>
  </si>
  <si>
    <t>1b.1*</t>
  </si>
  <si>
    <t>2a.1*</t>
  </si>
  <si>
    <t>2a.2*</t>
  </si>
  <si>
    <t>2a.3*</t>
  </si>
  <si>
    <t>2a.4*</t>
  </si>
  <si>
    <t>2a.7*</t>
  </si>
  <si>
    <t>2a.8*</t>
  </si>
  <si>
    <t>2a.9*</t>
  </si>
  <si>
    <t>2b.1*</t>
  </si>
  <si>
    <t>2b.2*</t>
  </si>
  <si>
    <t>2b.3*</t>
  </si>
  <si>
    <t>2c*</t>
  </si>
  <si>
    <t>2c.2*</t>
  </si>
  <si>
    <t>3a.1*</t>
  </si>
  <si>
    <t>3a.2*</t>
  </si>
  <si>
    <t>3b.1*</t>
  </si>
  <si>
    <t>4a.2*</t>
  </si>
  <si>
    <t>4a.3*</t>
  </si>
  <si>
    <t>4a.4*</t>
  </si>
  <si>
    <t>4c.1*</t>
  </si>
  <si>
    <t>4d.1*</t>
  </si>
  <si>
    <t>4d.2*</t>
  </si>
  <si>
    <t>4d.3*</t>
  </si>
  <si>
    <t>4d.4*</t>
  </si>
  <si>
    <t>5c.1*</t>
  </si>
  <si>
    <t>6.3*</t>
  </si>
  <si>
    <t>SVP = Středisko vzdělávací politiky Pedagogické fakulty UK</t>
  </si>
  <si>
    <r>
      <t>Veřejné výdaje na vysoké školství</t>
    </r>
    <r>
      <rPr>
        <sz val="11"/>
        <color theme="1"/>
        <rFont val="Calibri"/>
        <family val="2"/>
        <charset val="238"/>
        <scheme val="minor"/>
      </rPr>
      <t xml:space="preserve"> včetně výdajů na Výzkum a vývoj (dále "VaV") v běžných cenách (v mil. Kč.), tj. bez zohlednění inflace</t>
    </r>
  </si>
  <si>
    <t>Veřejné výdaje včetně výdajů na VaV (1b.3) v poměru k HDP</t>
  </si>
  <si>
    <t>Příspěvek a dotace ze státního rozpočtu na vzdělávací činnost (1b.1) v poměru k HDP</t>
  </si>
  <si>
    <r>
      <t>Veřejné výdaje na vysoké školství</t>
    </r>
    <r>
      <rPr>
        <sz val="11"/>
        <color theme="1"/>
        <rFont val="Calibri"/>
        <family val="2"/>
        <charset val="238"/>
        <scheme val="minor"/>
      </rPr>
      <t xml:space="preserve"> včetně výdajů na VaV ve stálých cenách roku 2005 (v mil. Kč.); tj. při zohlednění inflace</t>
    </r>
  </si>
  <si>
    <r>
      <t>Celkové veřejné výdaje na vysoké školství včetně výdajů na VaV v poměru k celkovým veřejným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výdajům na školství</t>
    </r>
  </si>
  <si>
    <t>v letech 1954 - 1988 jsou započteny nvýdaje bez VaV</t>
  </si>
  <si>
    <r>
      <t>V roce 2000 neodchází na VŠ mnoho maturantů - jde o důsledek prodloužení povinné školní docházky z osmi na devět let s účinností od školního roku</t>
    </r>
    <r>
      <rPr>
        <sz val="11"/>
        <rFont val="Calibri"/>
        <family val="2"/>
        <charset val="238"/>
        <scheme val="minor"/>
      </rPr>
      <t xml:space="preserve"> 1996/1997</t>
    </r>
  </si>
  <si>
    <t>Vzhledem k neúplnosti databáze (údaje z ledna) nejsou za rok 2011 evidována všechna data.</t>
  </si>
  <si>
    <t>Vzhledem k neúplnosti databáze (údaje z ledna) nejsou za rok 2009 evidována všechna data.</t>
  </si>
  <si>
    <t>Vzhledem k neúplnosti databáze (údaje z ledna) nejsou za rok 2012 evidována všechna data.</t>
  </si>
  <si>
    <r>
      <t>podíl joint/double/multiple degree studijních programů na celkovém počtu</t>
    </r>
    <r>
      <rPr>
        <sz val="11"/>
        <rFont val="Calibri"/>
        <family val="2"/>
        <charset val="238"/>
        <scheme val="minor"/>
      </rPr>
      <t xml:space="preserve"> akreditovaných studijních programů</t>
    </r>
  </si>
  <si>
    <t>před rokem 1998 se akademičtí pracovníci evidují jako interní pedagogičtí pracovníci</t>
  </si>
  <si>
    <t>VZ, Evropská komise</t>
  </si>
  <si>
    <t>http://www.msmt.cz/vzdelavani/vysoke-skolstvi/vyrocni-zpravy-1 http://eacea.ec.europa.eu/llp/support_measures_and_network/ects_dsl_en.php#fragment-4</t>
  </si>
  <si>
    <t>http://dsia.uiv.cz/vystupy/vu_vs_f4.html</t>
  </si>
  <si>
    <t>tabulka F21</t>
  </si>
  <si>
    <t>tabulka F41</t>
  </si>
  <si>
    <t>http://dsia.uiv.cz/vystupy/vu_vs_f2.html</t>
  </si>
  <si>
    <t>podíl absolventů bakalářského studia, kteří k 31. 12. kalendářního roku, ve kterém absolvovali, nemají žádná aktivní studia</t>
  </si>
  <si>
    <t>Tabulka F22</t>
  </si>
  <si>
    <t>Tabulka F42</t>
  </si>
  <si>
    <t>http://dsia.uiv.cz/vystupy/vu_vs_f3.html</t>
  </si>
  <si>
    <t>podíl osob s terciárním vzděláním v populaci 30-34 let</t>
  </si>
  <si>
    <r>
      <t xml:space="preserve">podíl osob ve věku 30-34 let, kteří během svého života úspěšně ukončili alespoň jedno studium na terciárním vzdělávání (tj. studium na škále ISCED 5-8. tzn. </t>
    </r>
    <r>
      <rPr>
        <i/>
        <sz val="11"/>
        <color theme="1"/>
        <rFont val="Calibri"/>
        <family val="2"/>
        <charset val="238"/>
        <scheme val="minor"/>
      </rPr>
      <t>včetně absolventů VOŠ</t>
    </r>
    <r>
      <rPr>
        <sz val="11"/>
        <color theme="1"/>
        <rFont val="Calibri"/>
        <family val="2"/>
        <charset val="238"/>
        <scheme val="minor"/>
      </rPr>
      <t>)</t>
    </r>
  </si>
  <si>
    <t>http://www.msmt.cz/vzdelavani/vysoke-skolstvi/vyrocni-zpravy-1 ; http://dsia.uiv.cz/vystupy/vu_vs_f2.html</t>
  </si>
  <si>
    <r>
      <t>studenti zapsaní  od 1. 1. do 31. 12. daného kalendářního roku do prvního ročníku bakalářských a "dlouhých" magisterských programů, kteří předtím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nikdy nestudovali na žádné vysoké škole v České republice</t>
    </r>
  </si>
  <si>
    <t>podíl občanů ČR zapsaných od 1. 1. do 31. 12. daného kalendářního roku do prvního ročníku bakalářských a "dlouhých" magisterských programů, kteří předtím nikdy nestudovali na žádné vysoké škole v České republice, a počtu devatenáctiletých k 31. 12. daného kalendářního roku</t>
  </si>
  <si>
    <t>Tabulka F31a_cr</t>
  </si>
  <si>
    <t>Tabulka F31a</t>
  </si>
  <si>
    <t>http://dsia.uiv.cz/vystupy/vu_vs_f3.html ; http://vdb.czso.cz/vdbvo/tabparam.jsp?cislotab=04-02&amp;vo=tabulka&amp;kapitola_id=371&amp;voa=tabulka</t>
  </si>
  <si>
    <t>podíl poprvé zapsaných občanů ČR do vysokoškolského vzdělávání na populaci 19tiletých</t>
  </si>
  <si>
    <t>podíl poprvé zapsaných občanů ČR ve věku 19 let do vysokoškolského vzdělávání na populaci 19tiletých</t>
  </si>
  <si>
    <t>podíl uchazečů (fyzických osob), kteří v daném kalendářním roce podali alespoň jednu přihlášku ke studiu na vysoké škole a kteří se zároveň dostavili k přijímacím zkouškám, a počtu přijatých ke studiu na vysoké škole v daném kalendářním roce</t>
  </si>
  <si>
    <t>počet uchazečů (fyzických osob), kteří v daném kalendářním roce podali alespoň jednu přihlášku ke studiu na vysoké škole a kteří se zároveň dostavili k přijímacím zkouškám</t>
  </si>
  <si>
    <t>V letech 1954-1992 jsou údaje počítány bez nákladů na VaV - výsledek je přiblížná částka</t>
  </si>
  <si>
    <t>2b.5</t>
  </si>
  <si>
    <t>podíl studentů v prezenční formě studia na počtu všech studentů</t>
  </si>
  <si>
    <t>1989-1992 pouze studenti bc./mgr. programů s českým občanstvím</t>
  </si>
  <si>
    <t>2a*</t>
  </si>
  <si>
    <t>ve všech ukazatelích, kteří zahrnují pouze studenty s českým státním občanstvím jsou v letech 1989-1992 zahrnuti také studenti ze Slovenska</t>
  </si>
  <si>
    <t>podíl vysokoškolsky vzdělaných osob mezi nezaměstnanými</t>
  </si>
  <si>
    <t>4c.6*</t>
  </si>
  <si>
    <t>4c.6</t>
  </si>
  <si>
    <t>podíl nezaměstnaných vysokoškolsky vzdělaných vůči všem vysokoškolsky vzdělaným</t>
  </si>
  <si>
    <t>Ministerstvo práce a sociálních věcí; ČSÚ</t>
  </si>
  <si>
    <t>https://portal.mpsv.cz/sz/stat/nz/qrt ; https://www.czso.cz/csu/czso/101r-k-vek-a-vzdelani-populace--xrc84xlknq</t>
  </si>
  <si>
    <t>podíl vysokoškolsky vzdělaných evidovaných na úřadu práce k 31. 3. daného roku ke všem vysokoškolsky vzdělaným v populaci</t>
  </si>
  <si>
    <r>
      <t xml:space="preserve">podíl nezaměstnaných absolventů s bakalářským vzděláním v dubnu roku následujícího </t>
    </r>
    <r>
      <rPr>
        <sz val="11"/>
        <rFont val="Calibri"/>
        <family val="2"/>
        <charset val="238"/>
        <scheme val="minor"/>
      </rPr>
      <t>rok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absolutori</t>
    </r>
    <r>
      <rPr>
        <sz val="1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, půl roku až rok od jejich absolutoria, a rozdílu mezi celkovým počtem absolventů a počtem absolventů dále studujících na vysoké škole (rok udává rok absolutoria)</t>
    </r>
  </si>
  <si>
    <t>podíl nezaměstnaných absolventů s magisterským vzděláním v dubnu roku následujícího rok absolutoria, půl roku až rok od jejich absolutoria, a rozdílu mezi celkovým počtem absolventů a počtem absolventů dále studujících na vysoké škole (rok udává rok absolutoria)</t>
  </si>
  <si>
    <t>podíl nezaměstnaných absolventů s doktorským vzděláním v dubnu roku následujícího rok absolutoria, půl roku až rok od jejich absolutoria, a rozdílu mezi celkovým počtem absolventů a počtem absolventů dále studujících na vysoké škole (rok udává rok absolutoria)</t>
  </si>
  <si>
    <t>podíl nezaměstnaných absolventů oborů jednotlivých fakult vydělených do oborových skupin  v dubnu roku následujícího rok absolutoria, půl roku až rok od jejich absolutoria, a rozdílu mezi celkovým počtem absolventů a počtem absolventů dále studujících na vysoké škole (rok udává rok absolutoria)</t>
  </si>
  <si>
    <t>Tabulka F32</t>
  </si>
  <si>
    <t>Skupiny studijních programů jsou definovány dle kódování soustavou KKOV, které lze najít na: http://www.msmt.cz/vzdelavani/vysoke-skolstvi/kody-studijnich-programu-a-oboru?highlightWords=KKOV</t>
  </si>
  <si>
    <t>4d*</t>
  </si>
  <si>
    <t>Tabulka F21</t>
  </si>
  <si>
    <t>5a.1+5a.2+5a.3+5a.4</t>
  </si>
  <si>
    <t>5b.2+5b.4</t>
  </si>
  <si>
    <t>7*</t>
  </si>
  <si>
    <t>5b.4*</t>
  </si>
  <si>
    <t>5b.2*</t>
  </si>
  <si>
    <t>5a.1*</t>
  </si>
  <si>
    <t>5a.2*</t>
  </si>
  <si>
    <t>5a.3*</t>
  </si>
  <si>
    <t>5a.4*</t>
  </si>
  <si>
    <t>3a.3*</t>
  </si>
  <si>
    <r>
      <t>SIMS = Sdružené informace matrik</t>
    </r>
    <r>
      <rPr>
        <sz val="11"/>
        <color theme="1"/>
        <rFont val="Calibri"/>
        <family val="2"/>
        <charset val="238"/>
        <scheme val="minor"/>
      </rPr>
      <t xml:space="preserve"> studentů</t>
    </r>
  </si>
  <si>
    <r>
      <t xml:space="preserve">VZ = Výroční zpráva </t>
    </r>
    <r>
      <rPr>
        <sz val="11"/>
        <rFont val="Calibri"/>
        <family val="2"/>
        <charset val="238"/>
        <scheme val="minor"/>
      </rPr>
      <t>dle § 87 odst. 1 písm. B) zákona č. 111/1998 Sb., o vysokých školách a o změně a doplnění dalších zákonů v aktuálním znění</t>
    </r>
  </si>
  <si>
    <t>typy fakult jsou určovány dle oborového zaměření - ekonomické, humanitní, lékařské, pedagogické, právnické, přírodovědné, technické, umělecké a zemědělské</t>
  </si>
  <si>
    <t>v každém daném roce jde o studenty zapsané v předchozím roce, tj. studenti zapsaní v roce n-1</t>
  </si>
  <si>
    <t>SIMS - stav k 20. 1. 2016; VZ</t>
  </si>
  <si>
    <t>roky 2011-2013 ze SIMS, od 2014 čerpá z VZ</t>
  </si>
  <si>
    <t>Jde o příspěvky dle Pravidel pro poskytování příspěvků a dotací veřejným vysokám školám Ministerstve školství, mládeže a tělovýchovy, které zahrnují: a) příspěvky ze státního rozpočtu na vzdělávací a vědeckou, výzkumnou, vývojovou a inovační, uměleckou nebo další tvůrčí činnost (dále jen „příspěvek“) podle § 18 odst. 3 zákona č. 111/1998 Sb., o vysokých školách a o změně a doplnění dalších zákonů ve znění pozdějších předpisů,
b) dotace ze státního rozpočtu podle § 18 odst. 5 zákona o vysokých školách na rozvoj vysoké školy
c) dotace podle § 18 odst. 5 zákona o vysokých školách na ubytování a stravování studentů</t>
  </si>
  <si>
    <t>Zákon o státním rozpočtu na daný rok</t>
  </si>
  <si>
    <t>podíl počtu přihlášek aktivních v přijímacím řízení k počtu fyzických osob-uchazečů, kteří se dostavili k přijímacímu řízení</t>
  </si>
  <si>
    <t>Tabulka F21 a F21_ciz</t>
  </si>
  <si>
    <t>Tabulka F23</t>
  </si>
  <si>
    <t>http://dsia.uiv.cz/vystupy/vu_vs_f2.html ; http://torah.net.uiv.cz/vykonyVS.aspx</t>
  </si>
  <si>
    <t>Tabulka F41</t>
  </si>
  <si>
    <t>Tabulka F24</t>
  </si>
  <si>
    <t>počty studentů za jednotlivé typy programů neodpovídají v některých případech celkovému součtu - v každé kategorii jsou zahrnuti také studenti, kteří studují více typů programů, v celku jsou tedy zahrnuti jen jednou, ale mohou být zahrnuti jak např. v magisterském, tak bakalářském programu</t>
  </si>
  <si>
    <t>bakalářských programů</t>
  </si>
  <si>
    <t>„dlouhých“ magisterských programů</t>
  </si>
  <si>
    <t>navazujících magisterských programů</t>
  </si>
  <si>
    <t>doktorských programů</t>
  </si>
  <si>
    <t>navazujících magisterských programůh</t>
  </si>
  <si>
    <r>
      <t xml:space="preserve">míra řádně ukončených studií studentů </t>
    </r>
    <r>
      <rPr>
        <i/>
        <sz val="11"/>
        <color theme="1"/>
        <rFont val="Calibri"/>
        <family val="2"/>
        <charset val="238"/>
        <scheme val="minor"/>
      </rPr>
      <t>daného imatrikulačního ročníku</t>
    </r>
    <r>
      <rPr>
        <sz val="11"/>
        <color theme="1"/>
        <rFont val="Calibri"/>
        <family val="2"/>
        <charset val="238"/>
        <scheme val="minor"/>
      </rPr>
      <t xml:space="preserve"> ve standardní době studia navýšené o jeden rok; každoročně je s ohledem na průběžné ukončování např. přerušených studií třeba dopočítat i roky zpětně.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</si>
</sst>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č_-;\-* #,##0.00\ _K_č_-;_-* &quot;-&quot;??\ _K_č_-;_-@_-"/>
    <numFmt numFmtId="164" formatCode="0.0%"/>
    <numFmt numFmtId="165" formatCode="_-* #,##0\ _K_č_-;\-* #,##0\ _K_č_-;_-* &quot;-&quot;??\ _K_č_-;_-@_-"/>
    <numFmt numFmtId="166" formatCode="#\ ##0"/>
    <numFmt numFmtId="167" formatCode="#,##0;\-#,##0;&quot;–&quot;"/>
    <numFmt numFmtId="168" formatCode="_____________´@"/>
    <numFmt numFmtId="169" formatCode="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2" borderId="9"/>
    <xf numFmtId="0" fontId="14" fillId="0" borderId="10"/>
    <xf numFmtId="0" fontId="15" fillId="3" borderId="0">
      <alignment horizontal="center"/>
    </xf>
    <xf numFmtId="167" fontId="16" fillId="0" borderId="0" applyFill="0" applyBorder="0" applyAlignment="0" applyProtection="0"/>
    <xf numFmtId="0" fontId="17" fillId="3" borderId="10">
      <alignment horizontal="left"/>
    </xf>
    <xf numFmtId="0" fontId="18" fillId="3" borderId="0">
      <alignment horizontal="left"/>
    </xf>
    <xf numFmtId="0" fontId="14" fillId="0" borderId="0"/>
    <xf numFmtId="168" fontId="19" fillId="0" borderId="0" applyFont="0">
      <alignment horizontal="left"/>
    </xf>
    <xf numFmtId="9" fontId="6" fillId="0" borderId="0" applyFont="0" applyFill="0" applyBorder="0" applyAlignment="0" applyProtection="0"/>
    <xf numFmtId="0" fontId="14" fillId="3" borderId="10"/>
  </cellStyleXfs>
  <cellXfs count="395">
    <xf numFmtId="0" fontId="0" fillId="0" borderId="0" xfId="0"/>
    <xf numFmtId="49" fontId="0" fillId="0" borderId="0" xfId="0" applyNumberFormat="1" applyAlignment="1">
      <alignment horizontal="right"/>
    </xf>
    <xf numFmtId="3" fontId="0" fillId="0" borderId="0" xfId="0" applyNumberFormat="1"/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3" fontId="0" fillId="0" borderId="0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0" fontId="0" fillId="0" borderId="0" xfId="0" applyBorder="1"/>
    <xf numFmtId="0" fontId="2" fillId="0" borderId="0" xfId="0" applyFont="1" applyBorder="1"/>
    <xf numFmtId="164" fontId="0" fillId="0" borderId="0" xfId="1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Fill="1" applyBorder="1"/>
    <xf numFmtId="3" fontId="0" fillId="0" borderId="0" xfId="1" applyNumberFormat="1" applyFont="1" applyFill="1" applyBorder="1"/>
    <xf numFmtId="0" fontId="0" fillId="0" borderId="0" xfId="0" applyBorder="1" applyAlignment="1">
      <alignment horizontal="center" vertical="center"/>
    </xf>
    <xf numFmtId="3" fontId="0" fillId="0" borderId="2" xfId="0" applyNumberFormat="1" applyBorder="1"/>
    <xf numFmtId="164" fontId="0" fillId="0" borderId="5" xfId="1" applyNumberFormat="1" applyFont="1" applyBorder="1"/>
    <xf numFmtId="3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164" fontId="0" fillId="0" borderId="7" xfId="1" applyNumberFormat="1" applyFont="1" applyBorder="1"/>
    <xf numFmtId="49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49" fontId="0" fillId="0" borderId="6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164" fontId="0" fillId="0" borderId="2" xfId="0" applyNumberFormat="1" applyFill="1" applyBorder="1"/>
    <xf numFmtId="164" fontId="0" fillId="0" borderId="2" xfId="1" applyNumberFormat="1" applyFont="1" applyFill="1" applyBorder="1"/>
    <xf numFmtId="164" fontId="0" fillId="0" borderId="3" xfId="0" applyNumberFormat="1" applyFill="1" applyBorder="1"/>
    <xf numFmtId="0" fontId="0" fillId="0" borderId="0" xfId="0" applyFill="1" applyBorder="1"/>
    <xf numFmtId="10" fontId="0" fillId="0" borderId="0" xfId="0" applyNumberFormat="1" applyFill="1" applyBorder="1"/>
    <xf numFmtId="164" fontId="0" fillId="0" borderId="0" xfId="0" applyNumberFormat="1" applyFill="1" applyBorder="1"/>
    <xf numFmtId="164" fontId="0" fillId="0" borderId="5" xfId="0" applyNumberFormat="1" applyFill="1" applyBorder="1"/>
    <xf numFmtId="2" fontId="0" fillId="0" borderId="0" xfId="0" applyNumberFormat="1" applyFill="1" applyBorder="1"/>
    <xf numFmtId="2" fontId="0" fillId="0" borderId="5" xfId="0" applyNumberFormat="1" applyFill="1" applyBorder="1"/>
    <xf numFmtId="0" fontId="0" fillId="0" borderId="7" xfId="0" applyFill="1" applyBorder="1"/>
    <xf numFmtId="164" fontId="0" fillId="0" borderId="7" xfId="0" applyNumberFormat="1" applyFill="1" applyBorder="1"/>
    <xf numFmtId="164" fontId="0" fillId="0" borderId="7" xfId="1" applyNumberFormat="1" applyFont="1" applyFill="1" applyBorder="1"/>
    <xf numFmtId="164" fontId="0" fillId="0" borderId="7" xfId="0" applyNumberFormat="1" applyBorder="1"/>
    <xf numFmtId="0" fontId="0" fillId="0" borderId="8" xfId="0" applyBorder="1" applyAlignment="1">
      <alignment horizontal="center" vertical="center"/>
    </xf>
    <xf numFmtId="2" fontId="0" fillId="0" borderId="2" xfId="0" applyNumberFormat="1" applyFill="1" applyBorder="1"/>
    <xf numFmtId="2" fontId="0" fillId="0" borderId="3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0" fontId="0" fillId="0" borderId="2" xfId="0" applyBorder="1"/>
    <xf numFmtId="2" fontId="0" fillId="0" borderId="2" xfId="1" applyNumberFormat="1" applyFont="1" applyFill="1" applyBorder="1"/>
    <xf numFmtId="0" fontId="0" fillId="0" borderId="3" xfId="0" applyBorder="1" applyAlignment="1">
      <alignment horizontal="center" vertical="center"/>
    </xf>
    <xf numFmtId="164" fontId="0" fillId="0" borderId="8" xfId="0" applyNumberFormat="1" applyFill="1" applyBorder="1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64" fontId="5" fillId="0" borderId="0" xfId="0" applyNumberFormat="1" applyFont="1" applyFill="1" applyBorder="1"/>
    <xf numFmtId="164" fontId="5" fillId="0" borderId="7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7" xfId="0" applyBorder="1"/>
    <xf numFmtId="0" fontId="5" fillId="0" borderId="2" xfId="0" applyFon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Border="1"/>
    <xf numFmtId="3" fontId="0" fillId="0" borderId="0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3" fontId="0" fillId="0" borderId="7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2" xfId="0" applyBorder="1" applyAlignment="1">
      <alignment horizontal="left"/>
    </xf>
    <xf numFmtId="49" fontId="3" fillId="0" borderId="0" xfId="0" applyNumberFormat="1" applyFont="1" applyBorder="1" applyAlignment="1">
      <alignment horizontal="right"/>
    </xf>
    <xf numFmtId="164" fontId="0" fillId="0" borderId="0" xfId="1" applyNumberFormat="1" applyFont="1" applyBorder="1" applyAlignment="1">
      <alignment wrapText="1"/>
    </xf>
    <xf numFmtId="164" fontId="0" fillId="0" borderId="7" xfId="1" applyNumberFormat="1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3" fontId="0" fillId="0" borderId="7" xfId="0" applyNumberFormat="1" applyFill="1" applyBorder="1"/>
    <xf numFmtId="3" fontId="0" fillId="0" borderId="7" xfId="0" applyNumberFormat="1" applyBorder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11" fillId="0" borderId="2" xfId="3" applyBorder="1" applyAlignment="1">
      <alignment wrapText="1"/>
    </xf>
    <xf numFmtId="0" fontId="11" fillId="0" borderId="0" xfId="3" applyBorder="1" applyAlignment="1">
      <alignment wrapText="1"/>
    </xf>
    <xf numFmtId="0" fontId="11" fillId="0" borderId="0" xfId="3" applyBorder="1"/>
    <xf numFmtId="0" fontId="11" fillId="0" borderId="7" xfId="3" applyBorder="1"/>
    <xf numFmtId="0" fontId="0" fillId="0" borderId="8" xfId="0" applyBorder="1"/>
    <xf numFmtId="0" fontId="11" fillId="0" borderId="3" xfId="3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0" xfId="1" applyNumberFormat="1" applyFont="1"/>
    <xf numFmtId="0" fontId="2" fillId="0" borderId="7" xfId="0" applyFont="1" applyBorder="1"/>
    <xf numFmtId="0" fontId="5" fillId="0" borderId="0" xfId="0" applyFont="1" applyFill="1" applyBorder="1" applyAlignment="1">
      <alignment wrapText="1"/>
    </xf>
    <xf numFmtId="164" fontId="5" fillId="0" borderId="0" xfId="1" applyNumberFormat="1" applyFont="1" applyFill="1" applyBorder="1"/>
    <xf numFmtId="0" fontId="12" fillId="0" borderId="0" xfId="0" applyFont="1" applyFill="1" applyBorder="1"/>
    <xf numFmtId="49" fontId="0" fillId="0" borderId="1" xfId="0" applyNumberForma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9" fontId="0" fillId="0" borderId="0" xfId="1" applyFont="1"/>
    <xf numFmtId="164" fontId="0" fillId="0" borderId="0" xfId="1" applyNumberFormat="1" applyFont="1" applyFill="1" applyBorder="1" applyAlignment="1">
      <alignment horizontal="right"/>
    </xf>
    <xf numFmtId="0" fontId="11" fillId="0" borderId="0" xfId="3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9" fontId="3" fillId="0" borderId="0" xfId="0" applyNumberFormat="1" applyFont="1" applyFill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wrapText="1"/>
    </xf>
    <xf numFmtId="10" fontId="0" fillId="0" borderId="0" xfId="1" applyNumberFormat="1" applyFont="1" applyBorder="1"/>
    <xf numFmtId="3" fontId="0" fillId="0" borderId="2" xfId="4" applyNumberFormat="1" applyFont="1" applyBorder="1"/>
    <xf numFmtId="3" fontId="0" fillId="0" borderId="0" xfId="4" applyNumberFormat="1" applyFont="1" applyBorder="1"/>
    <xf numFmtId="3" fontId="0" fillId="0" borderId="5" xfId="4" applyNumberFormat="1" applyFont="1" applyBorder="1"/>
    <xf numFmtId="49" fontId="2" fillId="0" borderId="0" xfId="0" applyNumberFormat="1" applyFont="1" applyFill="1" applyBorder="1" applyAlignment="1">
      <alignment horizontal="right"/>
    </xf>
    <xf numFmtId="165" fontId="0" fillId="0" borderId="0" xfId="4" applyNumberFormat="1" applyFont="1"/>
    <xf numFmtId="0" fontId="0" fillId="0" borderId="0" xfId="0" applyFill="1" applyBorder="1" applyAlignment="1">
      <alignment wrapText="1"/>
    </xf>
    <xf numFmtId="3" fontId="0" fillId="0" borderId="0" xfId="4" applyNumberFormat="1" applyFont="1"/>
    <xf numFmtId="164" fontId="0" fillId="0" borderId="0" xfId="4" applyNumberFormat="1" applyFont="1"/>
    <xf numFmtId="164" fontId="0" fillId="0" borderId="0" xfId="1" applyNumberFormat="1" applyFont="1" applyFill="1" applyAlignment="1"/>
    <xf numFmtId="0" fontId="0" fillId="0" borderId="0" xfId="0" applyFill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3" fontId="0" fillId="0" borderId="0" xfId="0" applyNumberFormat="1" applyFill="1"/>
    <xf numFmtId="164" fontId="0" fillId="0" borderId="8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2" fillId="0" borderId="0" xfId="4" applyNumberFormat="1" applyFont="1"/>
    <xf numFmtId="2" fontId="0" fillId="0" borderId="7" xfId="0" applyNumberFormat="1" applyBorder="1" applyAlignment="1">
      <alignment horizontal="center"/>
    </xf>
    <xf numFmtId="10" fontId="0" fillId="0" borderId="7" xfId="1" applyNumberFormat="1" applyFont="1" applyBorder="1"/>
    <xf numFmtId="0" fontId="0" fillId="0" borderId="0" xfId="0" applyNumberFormat="1"/>
    <xf numFmtId="10" fontId="0" fillId="0" borderId="7" xfId="1" applyNumberFormat="1" applyFont="1" applyBorder="1" applyAlignment="1"/>
    <xf numFmtId="0" fontId="0" fillId="0" borderId="0" xfId="0"/>
    <xf numFmtId="10" fontId="0" fillId="0" borderId="0" xfId="0" applyNumberFormat="1"/>
    <xf numFmtId="0" fontId="0" fillId="0" borderId="7" xfId="0" applyBorder="1" applyAlignment="1">
      <alignment horizontal="right"/>
    </xf>
    <xf numFmtId="3" fontId="0" fillId="0" borderId="0" xfId="0" applyNumberFormat="1" applyBorder="1" applyAlignment="1"/>
    <xf numFmtId="10" fontId="0" fillId="0" borderId="7" xfId="4" applyNumberFormat="1" applyFont="1" applyFill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164" fontId="0" fillId="0" borderId="0" xfId="1" applyNumberFormat="1" applyFont="1" applyFill="1"/>
    <xf numFmtId="164" fontId="5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165" fontId="0" fillId="0" borderId="0" xfId="4" applyNumberFormat="1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3" fontId="0" fillId="0" borderId="0" xfId="0" applyNumberFormat="1" applyFill="1" applyBorder="1" applyAlignment="1"/>
    <xf numFmtId="49" fontId="0" fillId="0" borderId="0" xfId="0" applyNumberFormat="1"/>
    <xf numFmtId="165" fontId="0" fillId="0" borderId="5" xfId="4" applyNumberFormat="1" applyFont="1" applyBorder="1" applyAlignment="1">
      <alignment horizontal="center" vertical="center"/>
    </xf>
    <xf numFmtId="166" fontId="0" fillId="0" borderId="5" xfId="0" applyNumberFormat="1" applyBorder="1"/>
    <xf numFmtId="165" fontId="0" fillId="0" borderId="7" xfId="4" applyNumberFormat="1" applyFont="1" applyBorder="1" applyAlignment="1">
      <alignment horizontal="center" vertical="center"/>
    </xf>
    <xf numFmtId="165" fontId="0" fillId="0" borderId="8" xfId="4" applyNumberFormat="1" applyFont="1" applyBorder="1" applyAlignment="1">
      <alignment horizontal="center" vertical="center"/>
    </xf>
    <xf numFmtId="3" fontId="0" fillId="0" borderId="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2" xfId="1" applyNumberFormat="1" applyFont="1" applyFill="1" applyBorder="1" applyAlignment="1"/>
    <xf numFmtId="10" fontId="0" fillId="0" borderId="0" xfId="0" applyNumberFormat="1" applyBorder="1" applyAlignment="1">
      <alignment horizontal="right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0" fillId="0" borderId="0" xfId="1" applyNumberFormat="1" applyFont="1" applyFill="1" applyBorder="1" applyAlignment="1"/>
    <xf numFmtId="10" fontId="0" fillId="0" borderId="2" xfId="0" applyNumberFormat="1" applyBorder="1"/>
    <xf numFmtId="164" fontId="0" fillId="0" borderId="0" xfId="1" applyNumberFormat="1" applyFont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right"/>
    </xf>
    <xf numFmtId="3" fontId="0" fillId="0" borderId="7" xfId="4" applyNumberFormat="1" applyFont="1" applyBorder="1" applyAlignment="1">
      <alignment horizontal="center" vertical="center"/>
    </xf>
    <xf numFmtId="3" fontId="0" fillId="0" borderId="8" xfId="4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left" vertical="center"/>
    </xf>
    <xf numFmtId="164" fontId="0" fillId="0" borderId="0" xfId="0" applyNumberFormat="1" applyFill="1"/>
    <xf numFmtId="169" fontId="0" fillId="0" borderId="2" xfId="0" applyNumberFormat="1" applyFill="1" applyBorder="1"/>
    <xf numFmtId="169" fontId="0" fillId="0" borderId="3" xfId="0" applyNumberFormat="1" applyFill="1" applyBorder="1"/>
    <xf numFmtId="164" fontId="0" fillId="0" borderId="0" xfId="1" applyNumberFormat="1" applyFont="1" applyBorder="1" applyProtection="1"/>
    <xf numFmtId="0" fontId="0" fillId="0" borderId="2" xfId="0" applyBorder="1" applyAlignment="1">
      <alignment horizontal="left" wrapText="1"/>
    </xf>
    <xf numFmtId="0" fontId="11" fillId="0" borderId="2" xfId="3" applyBorder="1"/>
    <xf numFmtId="0" fontId="11" fillId="0" borderId="7" xfId="3" applyBorder="1" applyAlignment="1">
      <alignment wrapText="1"/>
    </xf>
    <xf numFmtId="0" fontId="0" fillId="0" borderId="0" xfId="0" applyAlignment="1">
      <alignment horizontal="right"/>
    </xf>
    <xf numFmtId="3" fontId="0" fillId="0" borderId="2" xfId="4" applyNumberFormat="1" applyFont="1" applyFill="1" applyBorder="1"/>
    <xf numFmtId="3" fontId="0" fillId="0" borderId="0" xfId="4" applyNumberFormat="1" applyFont="1" applyAlignment="1">
      <alignment vertical="center"/>
    </xf>
    <xf numFmtId="49" fontId="0" fillId="0" borderId="5" xfId="0" applyNumberFormat="1" applyBorder="1"/>
    <xf numFmtId="165" fontId="0" fillId="0" borderId="2" xfId="4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wrapText="1"/>
    </xf>
    <xf numFmtId="165" fontId="0" fillId="0" borderId="0" xfId="4" applyNumberFormat="1" applyFont="1" applyAlignment="1">
      <alignment horizontal="right" vertical="center"/>
    </xf>
    <xf numFmtId="165" fontId="0" fillId="0" borderId="0" xfId="4" applyNumberFormat="1" applyFont="1" applyAlignment="1">
      <alignment horizontal="center"/>
    </xf>
    <xf numFmtId="3" fontId="0" fillId="0" borderId="0" xfId="4" applyNumberFormat="1" applyFont="1" applyAlignment="1">
      <alignment horizontal="center"/>
    </xf>
    <xf numFmtId="3" fontId="0" fillId="0" borderId="5" xfId="4" applyNumberFormat="1" applyFont="1" applyBorder="1" applyAlignment="1">
      <alignment horizontal="center"/>
    </xf>
    <xf numFmtId="165" fontId="0" fillId="0" borderId="5" xfId="4" applyNumberFormat="1" applyFont="1" applyBorder="1" applyAlignment="1">
      <alignment horizontal="center"/>
    </xf>
    <xf numFmtId="3" fontId="0" fillId="0" borderId="0" xfId="4" applyNumberFormat="1" applyFont="1" applyAlignment="1">
      <alignment horizontal="right"/>
    </xf>
    <xf numFmtId="49" fontId="0" fillId="0" borderId="0" xfId="0" applyNumberFormat="1" applyAlignment="1">
      <alignment horizontal="right" wrapText="1"/>
    </xf>
    <xf numFmtId="0" fontId="0" fillId="0" borderId="2" xfId="0" applyFill="1" applyBorder="1" applyAlignment="1">
      <alignment wrapText="1"/>
    </xf>
    <xf numFmtId="3" fontId="0" fillId="0" borderId="7" xfId="4" applyNumberFormat="1" applyFont="1" applyFill="1" applyBorder="1"/>
    <xf numFmtId="164" fontId="0" fillId="0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/>
    <xf numFmtId="164" fontId="5" fillId="0" borderId="0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0" fontId="0" fillId="0" borderId="7" xfId="0" applyNumberFormat="1" applyFill="1" applyBorder="1"/>
    <xf numFmtId="0" fontId="20" fillId="0" borderId="0" xfId="0" applyFont="1" applyBorder="1" applyAlignment="1">
      <alignment wrapText="1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5" xfId="0" applyBorder="1" applyAlignment="1">
      <alignment horizontal="right"/>
    </xf>
    <xf numFmtId="165" fontId="0" fillId="0" borderId="0" xfId="4" applyNumberFormat="1" applyFont="1" applyBorder="1" applyAlignment="1">
      <alignment horizontal="center" vertical="center"/>
    </xf>
    <xf numFmtId="164" fontId="0" fillId="0" borderId="8" xfId="1" applyNumberFormat="1" applyFont="1" applyBorder="1"/>
    <xf numFmtId="164" fontId="0" fillId="0" borderId="5" xfId="0" applyNumberFormat="1" applyBorder="1"/>
    <xf numFmtId="49" fontId="0" fillId="0" borderId="0" xfId="0" applyNumberFormat="1" applyFont="1" applyFill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Alignment="1"/>
    <xf numFmtId="0" fontId="0" fillId="0" borderId="8" xfId="0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0" xfId="0" applyBorder="1" applyAlignment="1">
      <alignment wrapText="1"/>
    </xf>
    <xf numFmtId="2" fontId="0" fillId="0" borderId="2" xfId="0" applyNumberFormat="1" applyBorder="1"/>
    <xf numFmtId="2" fontId="0" fillId="0" borderId="0" xfId="0" applyNumberFormat="1" applyBorder="1"/>
    <xf numFmtId="164" fontId="0" fillId="0" borderId="0" xfId="4" applyNumberFormat="1" applyFont="1" applyBorder="1"/>
    <xf numFmtId="165" fontId="0" fillId="0" borderId="0" xfId="4" applyNumberFormat="1" applyFont="1" applyFill="1" applyBorder="1" applyAlignment="1">
      <alignment horizontal="center"/>
    </xf>
    <xf numFmtId="165" fontId="0" fillId="0" borderId="0" xfId="4" applyNumberFormat="1" applyFont="1" applyFill="1" applyBorder="1"/>
    <xf numFmtId="3" fontId="0" fillId="0" borderId="2" xfId="0" applyNumberFormat="1" applyFill="1" applyBorder="1" applyAlignment="1"/>
    <xf numFmtId="3" fontId="0" fillId="0" borderId="0" xfId="0" applyNumberFormat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164" fontId="0" fillId="0" borderId="2" xfId="1" applyNumberFormat="1" applyFont="1" applyBorder="1" applyAlignment="1">
      <alignment wrapText="1"/>
    </xf>
    <xf numFmtId="9" fontId="0" fillId="0" borderId="0" xfId="1" applyNumberFormat="1" applyFont="1" applyBorder="1" applyAlignment="1">
      <alignment wrapText="1"/>
    </xf>
    <xf numFmtId="3" fontId="0" fillId="0" borderId="2" xfId="0" applyNumberFormat="1" applyBorder="1" applyAlignment="1">
      <alignment wrapText="1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 wrapText="1"/>
    </xf>
    <xf numFmtId="164" fontId="5" fillId="0" borderId="2" xfId="1" applyNumberFormat="1" applyFont="1" applyFill="1" applyBorder="1" applyAlignment="1">
      <alignment wrapText="1"/>
    </xf>
    <xf numFmtId="49" fontId="0" fillId="0" borderId="7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0" fontId="0" fillId="0" borderId="6" xfId="0" applyFill="1" applyBorder="1"/>
    <xf numFmtId="164" fontId="0" fillId="0" borderId="0" xfId="0" applyNumberFormat="1" applyFill="1" applyBorder="1" applyAlignment="1"/>
    <xf numFmtId="164" fontId="0" fillId="0" borderId="7" xfId="0" applyNumberFormat="1" applyFill="1" applyBorder="1" applyAlignment="1"/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9" fontId="0" fillId="0" borderId="6" xfId="0" applyNumberFormat="1" applyFill="1" applyBorder="1" applyAlignment="1">
      <alignment horizontal="right"/>
    </xf>
    <xf numFmtId="0" fontId="0" fillId="4" borderId="0" xfId="0" applyFill="1" applyBorder="1"/>
    <xf numFmtId="164" fontId="1" fillId="0" borderId="0" xfId="1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9" fontId="1" fillId="0" borderId="0" xfId="1" applyFont="1" applyBorder="1" applyAlignment="1">
      <alignment wrapText="1"/>
    </xf>
    <xf numFmtId="164" fontId="1" fillId="0" borderId="7" xfId="1" applyNumberFormat="1" applyFont="1" applyBorder="1" applyAlignment="1">
      <alignment wrapText="1"/>
    </xf>
    <xf numFmtId="49" fontId="0" fillId="4" borderId="1" xfId="0" applyNumberForma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49" fontId="0" fillId="4" borderId="4" xfId="0" applyNumberForma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49" fontId="0" fillId="4" borderId="6" xfId="0" applyNumberFormat="1" applyFill="1" applyBorder="1" applyAlignment="1">
      <alignment horizontal="right"/>
    </xf>
    <xf numFmtId="49" fontId="5" fillId="4" borderId="1" xfId="0" applyNumberFormat="1" applyFont="1" applyFill="1" applyBorder="1" applyAlignment="1">
      <alignment horizontal="right"/>
    </xf>
    <xf numFmtId="49" fontId="5" fillId="4" borderId="4" xfId="0" applyNumberFormat="1" applyFont="1" applyFill="1" applyBorder="1" applyAlignment="1">
      <alignment horizontal="right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10" fontId="0" fillId="0" borderId="0" xfId="4" applyNumberFormat="1" applyFont="1" applyBorder="1"/>
    <xf numFmtId="3" fontId="0" fillId="0" borderId="0" xfId="4" applyNumberFormat="1" applyFont="1" applyFill="1" applyBorder="1"/>
    <xf numFmtId="10" fontId="0" fillId="0" borderId="0" xfId="0" applyNumberFormat="1" applyBorder="1"/>
    <xf numFmtId="10" fontId="0" fillId="0" borderId="0" xfId="4" applyNumberFormat="1" applyFont="1" applyFill="1" applyBorder="1"/>
    <xf numFmtId="10" fontId="0" fillId="0" borderId="0" xfId="0" applyNumberFormat="1" applyBorder="1" applyAlignment="1">
      <alignment horizontal="center"/>
    </xf>
    <xf numFmtId="164" fontId="5" fillId="0" borderId="7" xfId="1" applyNumberFormat="1" applyFont="1" applyFill="1" applyBorder="1" applyAlignment="1">
      <alignment horizontal="right" wrapText="1"/>
    </xf>
    <xf numFmtId="2" fontId="0" fillId="0" borderId="2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10" fontId="0" fillId="0" borderId="5" xfId="0" applyNumberFormat="1" applyFill="1" applyBorder="1"/>
    <xf numFmtId="10" fontId="0" fillId="0" borderId="8" xfId="0" applyNumberFormat="1" applyFill="1" applyBorder="1"/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165" fontId="0" fillId="0" borderId="0" xfId="4" applyNumberFormat="1" applyFont="1" applyAlignment="1">
      <alignment horizontal="right" vertical="center"/>
    </xf>
    <xf numFmtId="164" fontId="0" fillId="0" borderId="0" xfId="1" applyNumberFormat="1" applyFont="1" applyFill="1" applyAlignment="1">
      <alignment horizontal="right" vertical="center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65" fontId="0" fillId="0" borderId="0" xfId="4" applyNumberFormat="1" applyFont="1" applyFill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2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vertical="top" wrapText="1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164" fontId="0" fillId="0" borderId="0" xfId="4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49" fontId="0" fillId="0" borderId="0" xfId="0" applyNumberFormat="1" applyFill="1" applyBorder="1" applyAlignment="1">
      <alignment wrapText="1"/>
    </xf>
    <xf numFmtId="49" fontId="0" fillId="0" borderId="7" xfId="0" applyNumberFormat="1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0" fontId="0" fillId="0" borderId="0" xfId="1" applyNumberFormat="1" applyFont="1" applyFill="1" applyBorder="1" applyAlignment="1">
      <alignment wrapText="1"/>
    </xf>
    <xf numFmtId="0" fontId="0" fillId="0" borderId="6" xfId="0" applyFill="1" applyBorder="1" applyAlignment="1">
      <alignment horizontal="right"/>
    </xf>
    <xf numFmtId="10" fontId="0" fillId="0" borderId="7" xfId="1" applyNumberFormat="1" applyFont="1" applyFill="1" applyBorder="1" applyAlignment="1">
      <alignment wrapText="1"/>
    </xf>
    <xf numFmtId="0" fontId="7" fillId="0" borderId="0" xfId="0" applyFont="1" applyFill="1" applyBorder="1" applyAlignment="1"/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2" fillId="0" borderId="0" xfId="0" applyFont="1" applyFill="1" applyBorder="1"/>
    <xf numFmtId="164" fontId="5" fillId="0" borderId="7" xfId="0" applyNumberFormat="1" applyFon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</cellXfs>
  <cellStyles count="15">
    <cellStyle name="bin" xfId="5"/>
    <cellStyle name="cell" xfId="6"/>
    <cellStyle name="column" xfId="7"/>
    <cellStyle name="Čárka" xfId="4" builtinId="3"/>
    <cellStyle name="Číslo" xfId="8"/>
    <cellStyle name="formula" xfId="9"/>
    <cellStyle name="gap" xfId="10"/>
    <cellStyle name="Hypertextový odkaz" xfId="3" builtinId="8"/>
    <cellStyle name="Normal_ENRL1_1" xfId="11"/>
    <cellStyle name="Normální" xfId="0" builtinId="0"/>
    <cellStyle name="Normální 2" xfId="2"/>
    <cellStyle name="ods9" xfId="12"/>
    <cellStyle name="procent 2" xfId="13"/>
    <cellStyle name="Procenta" xfId="1" builtinId="5"/>
    <cellStyle name="row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dsia.uiv.cz/vystupy/vu_vs_f2.html" TargetMode="External"/><Relationship Id="rId18" Type="http://schemas.openxmlformats.org/officeDocument/2006/relationships/hyperlink" Target="http://dsia.uiv.cz/vystupy/vu_vs_f4.html" TargetMode="External"/><Relationship Id="rId26" Type="http://schemas.openxmlformats.org/officeDocument/2006/relationships/hyperlink" Target="http://dsia.uiv.cz/vystupy/vu_vs_f2.html%20(F21%20ciz)" TargetMode="External"/><Relationship Id="rId39" Type="http://schemas.openxmlformats.org/officeDocument/2006/relationships/hyperlink" Target="http://dsia.uiv.cz/vystupy/vu_vs_f2.html" TargetMode="External"/><Relationship Id="rId21" Type="http://schemas.openxmlformats.org/officeDocument/2006/relationships/hyperlink" Target="http://dsia.uiv.cz/vystupy/vu_vs_f2.html" TargetMode="External"/><Relationship Id="rId34" Type="http://schemas.openxmlformats.org/officeDocument/2006/relationships/hyperlink" Target="http://www.mfcr.cz/cs/legislativa/legislativni-dokumenty/2015" TargetMode="External"/><Relationship Id="rId42" Type="http://schemas.openxmlformats.org/officeDocument/2006/relationships/hyperlink" Target="http://dsia.uiv.cz/vystupy/vu_vs_f4.html" TargetMode="External"/><Relationship Id="rId47" Type="http://schemas.openxmlformats.org/officeDocument/2006/relationships/hyperlink" Target="http://www.strediskovzdelavacipolitiky.info/app/navs2010/" TargetMode="External"/><Relationship Id="rId50" Type="http://schemas.openxmlformats.org/officeDocument/2006/relationships/hyperlink" Target="http://torah.net.uiv.cz/uchazecVS.aspx" TargetMode="External"/><Relationship Id="rId55" Type="http://schemas.openxmlformats.org/officeDocument/2006/relationships/hyperlink" Target="http://www.msmt.cz/vzdelavani/vysoke-skolstvi/vyrocni-zpravy-3" TargetMode="External"/><Relationship Id="rId63" Type="http://schemas.openxmlformats.org/officeDocument/2006/relationships/hyperlink" Target="http://dsia.uiv.cz/vystupy/vu_vs_f2.html" TargetMode="External"/><Relationship Id="rId68" Type="http://schemas.openxmlformats.org/officeDocument/2006/relationships/hyperlink" Target="http://dsia.uiv.cz/vystupy/vu_vs_f2.html" TargetMode="External"/><Relationship Id="rId7" Type="http://schemas.openxmlformats.org/officeDocument/2006/relationships/hyperlink" Target="http://dsia.uiv.cz/vystupy/vu_vs_f4.html" TargetMode="External"/><Relationship Id="rId71" Type="http://schemas.openxmlformats.org/officeDocument/2006/relationships/printerSettings" Target="../printerSettings/printerSettings8.bin"/><Relationship Id="rId2" Type="http://schemas.openxmlformats.org/officeDocument/2006/relationships/hyperlink" Target="http://dsia.uiv.cz/vystupy/vu_vs_f3.html" TargetMode="External"/><Relationship Id="rId16" Type="http://schemas.openxmlformats.org/officeDocument/2006/relationships/hyperlink" Target="http://dsia.uiv.cz/vystupy/vu_vs_f2.html" TargetMode="External"/><Relationship Id="rId29" Type="http://schemas.openxmlformats.org/officeDocument/2006/relationships/hyperlink" Target="http://www.msmt.cz/vzdelavani/skolstvi-v-cr/statistika-skolstvi/statisticka-rocenka-skolstvi-soubor-ekonomickych-ukazatelu-6" TargetMode="External"/><Relationship Id="rId11" Type="http://schemas.openxmlformats.org/officeDocument/2006/relationships/hyperlink" Target="http://dsia.uiv.cz/vystupy/vu_vs_f2.html" TargetMode="External"/><Relationship Id="rId24" Type="http://schemas.openxmlformats.org/officeDocument/2006/relationships/hyperlink" Target="http://dsia.uiv.cz/vystupy/vu_vs_f2.html%20(F21%20ciz)" TargetMode="External"/><Relationship Id="rId32" Type="http://schemas.openxmlformats.org/officeDocument/2006/relationships/hyperlink" Target="http://torah.net.uiv.cz/uchazecVS.aspx" TargetMode="External"/><Relationship Id="rId37" Type="http://schemas.openxmlformats.org/officeDocument/2006/relationships/hyperlink" Target="http://www.msmt.cz/vzdelavani/vysoke-skolstvi/vyrocni-zpravy-1" TargetMode="External"/><Relationship Id="rId40" Type="http://schemas.openxmlformats.org/officeDocument/2006/relationships/hyperlink" Target="http://dsia.uiv.cz/vystupy/vu_vs_f2.html" TargetMode="External"/><Relationship Id="rId45" Type="http://schemas.openxmlformats.org/officeDocument/2006/relationships/hyperlink" Target="http://www.msmt.cz/vzdelavani/vysoke-skolstvi/vyrocni-zpravy-o-cinnosti-vysokych-skol" TargetMode="External"/><Relationship Id="rId53" Type="http://schemas.openxmlformats.org/officeDocument/2006/relationships/hyperlink" Target="http://www.msmt.cz/vzdelavani/vysoke-skolstvi/vyrocni-zpravy-1" TargetMode="External"/><Relationship Id="rId58" Type="http://schemas.openxmlformats.org/officeDocument/2006/relationships/hyperlink" Target="http://www.msmt.cz/vzdelavani/vysoke-skolstvi/vyrocni-zpravy-1" TargetMode="External"/><Relationship Id="rId66" Type="http://schemas.openxmlformats.org/officeDocument/2006/relationships/hyperlink" Target="http://dsia.uiv.cz/vystupy/vu_vs_f2.html" TargetMode="External"/><Relationship Id="rId5" Type="http://schemas.openxmlformats.org/officeDocument/2006/relationships/hyperlink" Target="http://ec.europa.eu/eurostat/tgm/table.do?tab=table&amp;init=1&amp;language=en&amp;pcode=tsdsc480&amp;plugin=1" TargetMode="External"/><Relationship Id="rId15" Type="http://schemas.openxmlformats.org/officeDocument/2006/relationships/hyperlink" Target="http://dsia.uiv.cz/vystupy/vu_vs_f2.html" TargetMode="External"/><Relationship Id="rId23" Type="http://schemas.openxmlformats.org/officeDocument/2006/relationships/hyperlink" Target="http://dsia.uiv.cz/vystupy/vu_vs_f2.html" TargetMode="External"/><Relationship Id="rId28" Type="http://schemas.openxmlformats.org/officeDocument/2006/relationships/hyperlink" Target="http://www.msmt.cz/vzdelavani/skolstvi-v-cr/statistika-skolstvi/statisticka-rocenka-skolstvi-soubor-ekonomickych-ukazatelu-6" TargetMode="External"/><Relationship Id="rId36" Type="http://schemas.openxmlformats.org/officeDocument/2006/relationships/hyperlink" Target="http://www.msmt.cz/vzdelavani/vysoke-skolstvi/vyrocni-zpravy-1" TargetMode="External"/><Relationship Id="rId49" Type="http://schemas.openxmlformats.org/officeDocument/2006/relationships/hyperlink" Target="http://torah.net.uiv.cz/uchazecVS.aspx" TargetMode="External"/><Relationship Id="rId57" Type="http://schemas.openxmlformats.org/officeDocument/2006/relationships/hyperlink" Target="http://www.msmt.cz/vzdelavani/vysoke-skolstvi/vyrocni-zpravy-1" TargetMode="External"/><Relationship Id="rId61" Type="http://schemas.openxmlformats.org/officeDocument/2006/relationships/hyperlink" Target="https://portal.mpsv.cz/sz/stat/nz/qrt" TargetMode="External"/><Relationship Id="rId10" Type="http://schemas.openxmlformats.org/officeDocument/2006/relationships/hyperlink" Target="http://dsia.uiv.cz/vystupy/vu_vs_f2.html" TargetMode="External"/><Relationship Id="rId19" Type="http://schemas.openxmlformats.org/officeDocument/2006/relationships/hyperlink" Target="http://dsia.uiv.cz/vystupy/vu_vs_f2.html" TargetMode="External"/><Relationship Id="rId31" Type="http://schemas.openxmlformats.org/officeDocument/2006/relationships/hyperlink" Target="https://portal.mpsv.cz/sz/stat/nz/qrt" TargetMode="External"/><Relationship Id="rId44" Type="http://schemas.openxmlformats.org/officeDocument/2006/relationships/hyperlink" Target="http://dsia.uiv.cz/vystupy/vu_vs_f4.html" TargetMode="External"/><Relationship Id="rId52" Type="http://schemas.openxmlformats.org/officeDocument/2006/relationships/hyperlink" Target="http://www.msmt.cz/vzdelavani/vysoke-skolstvi/vyrocni-zpravy-1" TargetMode="External"/><Relationship Id="rId60" Type="http://schemas.openxmlformats.org/officeDocument/2006/relationships/hyperlink" Target="http://dsia.uiv.cz/vystupy/vu_vs_f2.html" TargetMode="External"/><Relationship Id="rId65" Type="http://schemas.openxmlformats.org/officeDocument/2006/relationships/hyperlink" Target="http://dsia.uiv.cz/vystupy/vu_vs_f2.html" TargetMode="External"/><Relationship Id="rId73" Type="http://schemas.openxmlformats.org/officeDocument/2006/relationships/comments" Target="../comments2.xml"/><Relationship Id="rId4" Type="http://schemas.openxmlformats.org/officeDocument/2006/relationships/hyperlink" Target="http://torah.net.uiv.cz/vykonyVS.aspx%20;" TargetMode="External"/><Relationship Id="rId9" Type="http://schemas.openxmlformats.org/officeDocument/2006/relationships/hyperlink" Target="http://dsia.uiv.cz/vystupy/vu_vs_f4.html" TargetMode="External"/><Relationship Id="rId14" Type="http://schemas.openxmlformats.org/officeDocument/2006/relationships/hyperlink" Target="http://dsia.uiv.cz/vystupy/vu_vs_f2.html" TargetMode="External"/><Relationship Id="rId22" Type="http://schemas.openxmlformats.org/officeDocument/2006/relationships/hyperlink" Target="http://www.strediskovzdelavacipolitiky.info/app/navs2010/" TargetMode="External"/><Relationship Id="rId27" Type="http://schemas.openxmlformats.org/officeDocument/2006/relationships/hyperlink" Target="http://dsia.uiv.cz/vystupy/vu_vs_f2.html" TargetMode="External"/><Relationship Id="rId30" Type="http://schemas.openxmlformats.org/officeDocument/2006/relationships/hyperlink" Target="http://www.msmt.cz/vzdelavani/vysoke-skolstvi/vyrocni-zpravy-1" TargetMode="External"/><Relationship Id="rId35" Type="http://schemas.openxmlformats.org/officeDocument/2006/relationships/hyperlink" Target="http://www.msmt.cz/vzdelavani/vysoke-skolstvi/vyrocni-zpravy-1" TargetMode="External"/><Relationship Id="rId43" Type="http://schemas.openxmlformats.org/officeDocument/2006/relationships/hyperlink" Target="http://dsia.uiv.cz/vystupy/vu_vs_f4.html" TargetMode="External"/><Relationship Id="rId48" Type="http://schemas.openxmlformats.org/officeDocument/2006/relationships/hyperlink" Target="http://www.strediskovzdelavacipolitiky.info/app/navs2010/" TargetMode="External"/><Relationship Id="rId56" Type="http://schemas.openxmlformats.org/officeDocument/2006/relationships/hyperlink" Target="http://www.msmt.cz/vzdelavani/vysoke-skolstvi/vyrocni-zpravy-1" TargetMode="External"/><Relationship Id="rId64" Type="http://schemas.openxmlformats.org/officeDocument/2006/relationships/hyperlink" Target="http://dsia.uiv.cz/vystupy/vu_vs_f2.html" TargetMode="External"/><Relationship Id="rId69" Type="http://schemas.openxmlformats.org/officeDocument/2006/relationships/hyperlink" Target="http://www.msmt.cz/vzdelavani/vysoke-skolstvi/vyrocni-zpravy-o-cinnosti-vysokych-skol" TargetMode="External"/><Relationship Id="rId8" Type="http://schemas.openxmlformats.org/officeDocument/2006/relationships/hyperlink" Target="http://dsia.uiv.cz/vystupy/vu_vs_f4.html" TargetMode="External"/><Relationship Id="rId51" Type="http://schemas.openxmlformats.org/officeDocument/2006/relationships/hyperlink" Target="http://www.msmt.cz/vzdelavani/vysoke-skolstvi/vyrocni-zpravy-o-cinnosti-vysokych-skol" TargetMode="External"/><Relationship Id="rId72" Type="http://schemas.openxmlformats.org/officeDocument/2006/relationships/vmlDrawing" Target="../drawings/vmlDrawing2.vml"/><Relationship Id="rId3" Type="http://schemas.openxmlformats.org/officeDocument/2006/relationships/hyperlink" Target="http://dsia.uiv.cz/vystupy/vu_vs_f3.html" TargetMode="External"/><Relationship Id="rId12" Type="http://schemas.openxmlformats.org/officeDocument/2006/relationships/hyperlink" Target="http://dsia.uiv.cz/vystupy/vu_vs_f2.html" TargetMode="External"/><Relationship Id="rId17" Type="http://schemas.openxmlformats.org/officeDocument/2006/relationships/hyperlink" Target="http://dsia.uiv.cz/vystupy/vu_vs_f2.html" TargetMode="External"/><Relationship Id="rId25" Type="http://schemas.openxmlformats.org/officeDocument/2006/relationships/hyperlink" Target="http://dsia.uiv.cz/vystupy/vu_vs_f2.html%20(F21%20ciz)" TargetMode="External"/><Relationship Id="rId33" Type="http://schemas.openxmlformats.org/officeDocument/2006/relationships/hyperlink" Target="http://www.msmt.cz/vzdelavani/skolstvi-v-cr/statistika-skolstvi/statisticka-rocenka-skolstvi-soubor-ekonomickych-ukazatelu-6" TargetMode="External"/><Relationship Id="rId38" Type="http://schemas.openxmlformats.org/officeDocument/2006/relationships/hyperlink" Target="http://dsia.uiv.cz/vystupy/vu_vs_f2.html" TargetMode="External"/><Relationship Id="rId46" Type="http://schemas.openxmlformats.org/officeDocument/2006/relationships/hyperlink" Target="http://www.strediskovzdelavacipolitiky.info/app/navs2010/" TargetMode="External"/><Relationship Id="rId59" Type="http://schemas.openxmlformats.org/officeDocument/2006/relationships/hyperlink" Target="http://www.msmt.cz/vzdelavani/vysoke-skolstvi/vyrocni-zpravy-2" TargetMode="External"/><Relationship Id="rId67" Type="http://schemas.openxmlformats.org/officeDocument/2006/relationships/hyperlink" Target="http://dsia.uiv.cz/vystupy/vu_vs_f2.html" TargetMode="External"/><Relationship Id="rId20" Type="http://schemas.openxmlformats.org/officeDocument/2006/relationships/hyperlink" Target="http://dsia.uiv.cz/vystupy/vu_vs_f2.html" TargetMode="External"/><Relationship Id="rId41" Type="http://schemas.openxmlformats.org/officeDocument/2006/relationships/hyperlink" Target="http://dsia.uiv.cz/vystupy/vu_vs_f4.html" TargetMode="External"/><Relationship Id="rId54" Type="http://schemas.openxmlformats.org/officeDocument/2006/relationships/hyperlink" Target="http://www.msmt.cz/vzdelavani/vysoke-skolstvi/vyrocni-zpravy-2" TargetMode="External"/><Relationship Id="rId62" Type="http://schemas.openxmlformats.org/officeDocument/2006/relationships/hyperlink" Target="http://dsia.uiv.cz/vystupy/vu_vs_f2.html" TargetMode="External"/><Relationship Id="rId70" Type="http://schemas.openxmlformats.org/officeDocument/2006/relationships/hyperlink" Target="http://www.msmt.cz/vzdelavani/skolstvi-v-cr/statistika-skolstvi/statisticka-rocenka-skolstvi-soubor-ekonomickych-ukazatelu-6" TargetMode="External"/><Relationship Id="rId1" Type="http://schemas.openxmlformats.org/officeDocument/2006/relationships/hyperlink" Target="http://dsia.uiv.cz/vystupy/vu_vs_f3.html%20(tab.%20F31a)" TargetMode="External"/><Relationship Id="rId6" Type="http://schemas.openxmlformats.org/officeDocument/2006/relationships/hyperlink" Target="http://dsia.uiv.cz/vystupy/vu_vs_f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O25"/>
  <sheetViews>
    <sheetView tabSelected="1" zoomScale="110" zoomScaleNormal="110" workbookViewId="0"/>
  </sheetViews>
  <sheetFormatPr defaultRowHeight="15" x14ac:dyDescent="0.25"/>
  <cols>
    <col min="1" max="1" width="10.28515625" customWidth="1"/>
    <col min="2" max="2" width="36.85546875" style="5" customWidth="1"/>
    <col min="3" max="65" width="10.140625" customWidth="1"/>
  </cols>
  <sheetData>
    <row r="1" spans="1:67" ht="18.75" x14ac:dyDescent="0.3">
      <c r="A1" s="9">
        <v>1</v>
      </c>
      <c r="B1" s="9" t="s">
        <v>0</v>
      </c>
      <c r="C1" s="9"/>
    </row>
    <row r="2" spans="1:67" x14ac:dyDescent="0.25">
      <c r="C2" s="14"/>
    </row>
    <row r="3" spans="1:67" ht="15.75" x14ac:dyDescent="0.25">
      <c r="A3" s="10" t="s">
        <v>228</v>
      </c>
      <c r="B3" s="8" t="s">
        <v>229</v>
      </c>
      <c r="C3" s="8"/>
    </row>
    <row r="4" spans="1:67" ht="15.75" thickBot="1" x14ac:dyDescent="0.3">
      <c r="B4" s="7" t="s">
        <v>1</v>
      </c>
      <c r="C4" s="7">
        <v>2016</v>
      </c>
      <c r="D4" s="6">
        <v>2015</v>
      </c>
      <c r="E4" s="6">
        <v>2014</v>
      </c>
      <c r="F4" s="6">
        <v>2013</v>
      </c>
      <c r="G4" s="6">
        <v>2012</v>
      </c>
      <c r="H4" s="6">
        <v>2011</v>
      </c>
      <c r="I4" s="6">
        <v>2010</v>
      </c>
      <c r="J4" s="6">
        <v>2009</v>
      </c>
      <c r="K4" s="6">
        <v>2008</v>
      </c>
      <c r="L4" s="6">
        <v>2007</v>
      </c>
      <c r="M4" s="6">
        <v>2006</v>
      </c>
      <c r="N4" s="6">
        <v>2005</v>
      </c>
      <c r="O4" s="6">
        <v>2004</v>
      </c>
      <c r="P4" s="6">
        <v>2003</v>
      </c>
      <c r="Q4" s="6">
        <v>2002</v>
      </c>
      <c r="R4" s="6">
        <v>2001</v>
      </c>
      <c r="S4" s="6">
        <v>2000</v>
      </c>
      <c r="T4" s="6">
        <v>1999</v>
      </c>
      <c r="U4" s="6">
        <v>1998</v>
      </c>
      <c r="V4" s="6">
        <v>1997</v>
      </c>
      <c r="W4" s="6">
        <v>1996</v>
      </c>
      <c r="X4" s="6">
        <v>1995</v>
      </c>
      <c r="Y4" s="6">
        <v>1994</v>
      </c>
      <c r="Z4" s="6">
        <v>1993</v>
      </c>
      <c r="AA4" s="6">
        <v>1992</v>
      </c>
      <c r="AB4" s="6">
        <v>1991</v>
      </c>
      <c r="AC4" s="6">
        <v>1990</v>
      </c>
      <c r="AD4" s="6">
        <v>1989</v>
      </c>
      <c r="AE4" s="6">
        <v>1988</v>
      </c>
      <c r="AF4" s="6">
        <v>1987</v>
      </c>
      <c r="AG4" s="6">
        <v>1986</v>
      </c>
      <c r="AH4" s="6">
        <v>1985</v>
      </c>
      <c r="AI4" s="6">
        <v>1984</v>
      </c>
      <c r="AJ4" s="6">
        <v>1983</v>
      </c>
      <c r="AK4" s="6">
        <v>1982</v>
      </c>
      <c r="AL4" s="6">
        <v>1981</v>
      </c>
      <c r="AM4" s="6">
        <v>1980</v>
      </c>
      <c r="AN4" s="6">
        <v>1979</v>
      </c>
      <c r="AO4" s="6">
        <v>1978</v>
      </c>
      <c r="AP4" s="6">
        <v>1977</v>
      </c>
      <c r="AQ4" s="6">
        <v>1976</v>
      </c>
      <c r="AR4" s="6">
        <v>1975</v>
      </c>
      <c r="AS4" s="6">
        <v>1974</v>
      </c>
      <c r="AT4" s="6">
        <v>1973</v>
      </c>
      <c r="AU4" s="6">
        <v>1972</v>
      </c>
      <c r="AV4" s="6">
        <v>1971</v>
      </c>
      <c r="AW4" s="6">
        <v>1970</v>
      </c>
      <c r="AX4" s="6">
        <v>1969</v>
      </c>
      <c r="AY4" s="6">
        <v>1968</v>
      </c>
      <c r="AZ4" s="6">
        <v>1967</v>
      </c>
      <c r="BA4" s="6">
        <v>1966</v>
      </c>
      <c r="BB4" s="6">
        <v>1965</v>
      </c>
      <c r="BC4" s="6">
        <v>1964</v>
      </c>
      <c r="BD4" s="6">
        <v>1963</v>
      </c>
      <c r="BE4" s="6">
        <v>1962</v>
      </c>
      <c r="BF4" s="6">
        <v>1961</v>
      </c>
      <c r="BG4" s="6">
        <v>1960</v>
      </c>
      <c r="BH4" s="6">
        <v>1959</v>
      </c>
      <c r="BI4" s="6">
        <v>1958</v>
      </c>
      <c r="BJ4" s="6">
        <v>1957</v>
      </c>
      <c r="BK4" s="6">
        <v>1956</v>
      </c>
      <c r="BL4" s="6">
        <v>1955</v>
      </c>
      <c r="BM4" s="6">
        <v>1954</v>
      </c>
      <c r="BN4" s="6">
        <v>1953</v>
      </c>
    </row>
    <row r="5" spans="1:67" x14ac:dyDescent="0.25">
      <c r="A5" s="123" t="s">
        <v>235</v>
      </c>
      <c r="B5" s="138" t="s">
        <v>2</v>
      </c>
      <c r="C5" s="279">
        <v>26</v>
      </c>
      <c r="D5" s="68">
        <v>26</v>
      </c>
      <c r="E5" s="68">
        <v>26</v>
      </c>
      <c r="F5" s="68">
        <v>26</v>
      </c>
      <c r="G5" s="68">
        <v>26</v>
      </c>
      <c r="H5" s="68">
        <v>26</v>
      </c>
      <c r="I5" s="68">
        <v>26</v>
      </c>
      <c r="J5" s="68">
        <v>26</v>
      </c>
      <c r="K5" s="68">
        <v>26</v>
      </c>
      <c r="L5" s="68">
        <v>26</v>
      </c>
      <c r="M5" s="68">
        <v>26</v>
      </c>
      <c r="N5" s="68">
        <v>25</v>
      </c>
      <c r="O5" s="68">
        <v>25</v>
      </c>
      <c r="P5" s="68">
        <v>24</v>
      </c>
      <c r="Q5" s="68">
        <v>24</v>
      </c>
      <c r="R5" s="91">
        <v>24</v>
      </c>
      <c r="S5" s="91">
        <v>23</v>
      </c>
      <c r="T5" s="68">
        <v>23</v>
      </c>
      <c r="U5" s="68">
        <v>23</v>
      </c>
      <c r="V5" s="68">
        <v>23</v>
      </c>
      <c r="W5" s="91">
        <v>23</v>
      </c>
      <c r="X5" s="91">
        <v>23</v>
      </c>
      <c r="Y5" s="91">
        <v>23</v>
      </c>
      <c r="Z5" s="91">
        <v>23</v>
      </c>
      <c r="AA5" s="91">
        <v>23</v>
      </c>
      <c r="AB5" s="91">
        <v>23</v>
      </c>
      <c r="AC5" s="91">
        <v>24</v>
      </c>
      <c r="AD5" s="91">
        <v>23</v>
      </c>
      <c r="AE5" s="68">
        <v>23</v>
      </c>
      <c r="AF5" s="68">
        <v>23</v>
      </c>
      <c r="AG5" s="68">
        <v>23</v>
      </c>
      <c r="AH5" s="68">
        <v>23</v>
      </c>
      <c r="AI5" s="68">
        <v>23</v>
      </c>
      <c r="AJ5" s="68">
        <v>23</v>
      </c>
      <c r="AK5" s="68">
        <v>23</v>
      </c>
      <c r="AL5" s="68">
        <v>23</v>
      </c>
      <c r="AM5" s="68">
        <v>23</v>
      </c>
      <c r="AN5" s="68">
        <v>23</v>
      </c>
      <c r="AO5" s="68">
        <v>23</v>
      </c>
      <c r="AP5" s="68">
        <v>23</v>
      </c>
      <c r="AQ5" s="68">
        <v>23</v>
      </c>
      <c r="AR5" s="68">
        <v>23</v>
      </c>
      <c r="AS5" s="68">
        <v>23</v>
      </c>
      <c r="AT5" s="68">
        <v>24</v>
      </c>
      <c r="AU5" s="68">
        <v>24</v>
      </c>
      <c r="AV5" s="68">
        <v>24</v>
      </c>
      <c r="AW5" s="68">
        <v>24</v>
      </c>
      <c r="AX5" s="68">
        <v>24</v>
      </c>
      <c r="AY5" s="68">
        <v>23</v>
      </c>
      <c r="AZ5" s="68">
        <v>23</v>
      </c>
      <c r="BA5" s="68">
        <v>23</v>
      </c>
      <c r="BB5" s="68">
        <v>26</v>
      </c>
      <c r="BC5" s="68">
        <v>28</v>
      </c>
      <c r="BD5" s="68">
        <v>32</v>
      </c>
      <c r="BE5" s="68">
        <v>32</v>
      </c>
      <c r="BF5" s="68">
        <v>34</v>
      </c>
      <c r="BG5" s="68">
        <v>34</v>
      </c>
      <c r="BH5" s="68">
        <v>34</v>
      </c>
      <c r="BI5" s="68">
        <v>26</v>
      </c>
      <c r="BJ5" s="68">
        <v>28</v>
      </c>
      <c r="BK5" s="68">
        <v>28</v>
      </c>
      <c r="BL5" s="68">
        <v>28</v>
      </c>
      <c r="BM5" s="68">
        <v>28</v>
      </c>
      <c r="BN5" s="77">
        <v>27</v>
      </c>
      <c r="BO5" s="53"/>
    </row>
    <row r="6" spans="1:67" x14ac:dyDescent="0.25">
      <c r="A6" s="221" t="s">
        <v>236</v>
      </c>
      <c r="B6" s="136" t="s">
        <v>3</v>
      </c>
      <c r="C6" s="277">
        <v>2</v>
      </c>
      <c r="D6" s="19">
        <v>2</v>
      </c>
      <c r="E6" s="19">
        <v>2</v>
      </c>
      <c r="F6" s="19">
        <v>2</v>
      </c>
      <c r="G6" s="19">
        <v>2</v>
      </c>
      <c r="H6" s="19">
        <v>2</v>
      </c>
      <c r="I6" s="19">
        <v>2</v>
      </c>
      <c r="J6" s="19">
        <v>2</v>
      </c>
      <c r="K6" s="19">
        <v>2</v>
      </c>
      <c r="L6" s="19">
        <v>2</v>
      </c>
      <c r="M6" s="19">
        <v>2</v>
      </c>
      <c r="N6" s="19">
        <v>2</v>
      </c>
      <c r="O6" s="19">
        <v>2</v>
      </c>
      <c r="P6" s="19">
        <v>4</v>
      </c>
      <c r="Q6" s="19">
        <v>4</v>
      </c>
      <c r="R6" s="53">
        <v>4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3</v>
      </c>
      <c r="AB6">
        <v>3</v>
      </c>
      <c r="AC6">
        <v>3</v>
      </c>
      <c r="AD6">
        <v>3</v>
      </c>
      <c r="AE6" s="152">
        <v>3</v>
      </c>
      <c r="AF6" s="216" t="s">
        <v>318</v>
      </c>
      <c r="AG6" s="216" t="s">
        <v>318</v>
      </c>
      <c r="AH6" s="216" t="s">
        <v>318</v>
      </c>
      <c r="AI6" s="216" t="s">
        <v>318</v>
      </c>
      <c r="AJ6" s="216" t="s">
        <v>318</v>
      </c>
      <c r="AK6" s="216" t="s">
        <v>318</v>
      </c>
      <c r="AL6" s="216" t="s">
        <v>318</v>
      </c>
      <c r="AM6" s="216" t="s">
        <v>318</v>
      </c>
      <c r="AN6" s="216" t="s">
        <v>318</v>
      </c>
      <c r="AO6" s="216" t="s">
        <v>318</v>
      </c>
      <c r="AP6" s="216" t="s">
        <v>318</v>
      </c>
      <c r="AQ6" s="216" t="s">
        <v>318</v>
      </c>
      <c r="AR6" s="216" t="s">
        <v>318</v>
      </c>
      <c r="AS6" s="216" t="s">
        <v>318</v>
      </c>
      <c r="AT6" s="216" t="s">
        <v>318</v>
      </c>
      <c r="AU6" s="216" t="s">
        <v>318</v>
      </c>
      <c r="AV6" s="216" t="s">
        <v>318</v>
      </c>
      <c r="AW6" s="216" t="s">
        <v>318</v>
      </c>
      <c r="AX6" s="216" t="s">
        <v>318</v>
      </c>
      <c r="AY6" s="216" t="s">
        <v>318</v>
      </c>
      <c r="AZ6" s="216" t="s">
        <v>318</v>
      </c>
      <c r="BA6" s="216" t="s">
        <v>318</v>
      </c>
      <c r="BB6" s="216" t="s">
        <v>318</v>
      </c>
      <c r="BC6" s="216" t="s">
        <v>318</v>
      </c>
      <c r="BD6" s="216" t="s">
        <v>318</v>
      </c>
      <c r="BE6" s="216" t="s">
        <v>318</v>
      </c>
      <c r="BF6" s="216" t="s">
        <v>318</v>
      </c>
      <c r="BG6" s="216" t="s">
        <v>318</v>
      </c>
      <c r="BH6" s="216" t="s">
        <v>318</v>
      </c>
      <c r="BI6" s="216" t="s">
        <v>318</v>
      </c>
      <c r="BJ6" s="216" t="s">
        <v>318</v>
      </c>
      <c r="BK6" s="216" t="s">
        <v>318</v>
      </c>
      <c r="BL6" s="216" t="s">
        <v>318</v>
      </c>
      <c r="BM6" s="216" t="s">
        <v>318</v>
      </c>
      <c r="BN6" s="262" t="s">
        <v>318</v>
      </c>
    </row>
    <row r="7" spans="1:67" ht="15.75" thickBot="1" x14ac:dyDescent="0.3">
      <c r="A7" s="308" t="s">
        <v>237</v>
      </c>
      <c r="B7" s="137" t="s">
        <v>4</v>
      </c>
      <c r="C7" s="278">
        <v>40</v>
      </c>
      <c r="D7" s="78">
        <v>43</v>
      </c>
      <c r="E7" s="78">
        <v>44</v>
      </c>
      <c r="F7" s="78">
        <v>44</v>
      </c>
      <c r="G7" s="78">
        <v>43</v>
      </c>
      <c r="H7" s="78">
        <v>45</v>
      </c>
      <c r="I7" s="78">
        <v>45</v>
      </c>
      <c r="J7" s="78">
        <v>44</v>
      </c>
      <c r="K7" s="78">
        <v>46</v>
      </c>
      <c r="L7" s="78">
        <v>46</v>
      </c>
      <c r="M7" s="78">
        <v>43</v>
      </c>
      <c r="N7" s="78">
        <v>39</v>
      </c>
      <c r="O7" s="78">
        <v>36</v>
      </c>
      <c r="P7" s="78">
        <v>34</v>
      </c>
      <c r="Q7" s="78">
        <v>27</v>
      </c>
      <c r="R7" s="59">
        <v>13</v>
      </c>
      <c r="S7" s="59">
        <v>8</v>
      </c>
      <c r="T7" s="59">
        <v>4</v>
      </c>
      <c r="U7" s="168">
        <v>0</v>
      </c>
      <c r="V7" s="168">
        <v>0</v>
      </c>
      <c r="W7" s="168">
        <v>0</v>
      </c>
      <c r="X7" s="168">
        <v>0</v>
      </c>
      <c r="Y7" s="168">
        <v>0</v>
      </c>
      <c r="Z7" s="168">
        <v>0</v>
      </c>
      <c r="AA7" s="168">
        <v>0</v>
      </c>
      <c r="AB7" s="168">
        <v>0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  <c r="AX7" s="168">
        <v>0</v>
      </c>
      <c r="AY7" s="168">
        <v>0</v>
      </c>
      <c r="AZ7" s="168">
        <v>0</v>
      </c>
      <c r="BA7" s="168">
        <v>0</v>
      </c>
      <c r="BB7" s="168">
        <v>0</v>
      </c>
      <c r="BC7" s="168">
        <v>0</v>
      </c>
      <c r="BD7" s="168">
        <v>0</v>
      </c>
      <c r="BE7" s="168">
        <v>0</v>
      </c>
      <c r="BF7" s="168">
        <v>0</v>
      </c>
      <c r="BG7" s="168">
        <v>0</v>
      </c>
      <c r="BH7" s="168">
        <v>0</v>
      </c>
      <c r="BI7" s="168">
        <v>0</v>
      </c>
      <c r="BJ7" s="168">
        <v>0</v>
      </c>
      <c r="BK7" s="168">
        <v>0</v>
      </c>
      <c r="BL7" s="168">
        <v>0</v>
      </c>
      <c r="BM7" s="168">
        <v>0</v>
      </c>
      <c r="BN7" s="251">
        <v>0</v>
      </c>
    </row>
    <row r="8" spans="1:67" x14ac:dyDescent="0.25">
      <c r="A8" s="93"/>
      <c r="B8" s="248"/>
      <c r="C8" s="166"/>
      <c r="D8" s="166"/>
      <c r="E8" s="166"/>
      <c r="F8" s="166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</row>
    <row r="9" spans="1:67" x14ac:dyDescent="0.25">
      <c r="C9" s="166"/>
      <c r="D9" s="166"/>
      <c r="E9" s="166"/>
      <c r="F9" s="166"/>
    </row>
    <row r="10" spans="1:67" ht="15.75" x14ac:dyDescent="0.25">
      <c r="A10" s="139" t="s">
        <v>230</v>
      </c>
      <c r="B10" s="8" t="s">
        <v>231</v>
      </c>
      <c r="C10" s="166"/>
      <c r="D10" s="166"/>
      <c r="E10" s="166"/>
      <c r="F10" s="166"/>
    </row>
    <row r="11" spans="1:67" ht="15.75" thickBot="1" x14ac:dyDescent="0.3">
      <c r="B11" s="7" t="s">
        <v>1</v>
      </c>
      <c r="C11" s="7">
        <v>2016</v>
      </c>
      <c r="D11" s="6">
        <v>2015</v>
      </c>
      <c r="E11" s="6">
        <v>2014</v>
      </c>
      <c r="F11" s="6">
        <v>2013</v>
      </c>
      <c r="G11" s="6">
        <v>2012</v>
      </c>
      <c r="H11" s="6">
        <v>2011</v>
      </c>
      <c r="I11" s="6">
        <v>2010</v>
      </c>
      <c r="J11" s="6">
        <v>2009</v>
      </c>
      <c r="K11" s="6">
        <v>2008</v>
      </c>
      <c r="L11" s="6">
        <v>2007</v>
      </c>
      <c r="M11" s="6">
        <v>2006</v>
      </c>
      <c r="N11" s="6">
        <v>2005</v>
      </c>
      <c r="O11" s="6">
        <v>2004</v>
      </c>
      <c r="P11" s="6">
        <v>2003</v>
      </c>
      <c r="Q11" s="6">
        <v>2002</v>
      </c>
      <c r="R11" s="6">
        <v>2001</v>
      </c>
      <c r="S11" s="6">
        <v>2000</v>
      </c>
      <c r="T11" s="6">
        <v>1999</v>
      </c>
      <c r="U11" s="6">
        <v>1998</v>
      </c>
      <c r="V11" s="6">
        <v>1997</v>
      </c>
      <c r="W11" s="6">
        <v>1996</v>
      </c>
      <c r="X11" s="6">
        <v>1995</v>
      </c>
      <c r="Y11" s="6">
        <v>1994</v>
      </c>
      <c r="Z11" s="6">
        <v>1993</v>
      </c>
      <c r="AA11" s="6">
        <v>1992</v>
      </c>
      <c r="AB11" s="6">
        <v>1991</v>
      </c>
      <c r="AC11" s="6">
        <v>1990</v>
      </c>
      <c r="AD11" s="6">
        <v>1989</v>
      </c>
      <c r="AE11" s="6">
        <v>1988</v>
      </c>
      <c r="AF11" s="6">
        <v>1987</v>
      </c>
      <c r="AG11" s="6">
        <v>1986</v>
      </c>
      <c r="AH11" s="6">
        <v>1985</v>
      </c>
      <c r="AI11" s="6">
        <v>1984</v>
      </c>
      <c r="AJ11" s="6">
        <v>1983</v>
      </c>
      <c r="AK11" s="6">
        <v>1982</v>
      </c>
      <c r="AL11" s="6">
        <v>1981</v>
      </c>
      <c r="AM11" s="6">
        <v>1980</v>
      </c>
      <c r="AN11" s="6">
        <v>1979</v>
      </c>
      <c r="AO11" s="6">
        <v>1978</v>
      </c>
      <c r="AP11" s="6">
        <v>1977</v>
      </c>
      <c r="AQ11" s="6">
        <v>1976</v>
      </c>
      <c r="AR11" s="6">
        <v>1975</v>
      </c>
      <c r="AS11" s="6">
        <v>1974</v>
      </c>
      <c r="AT11" s="6">
        <v>1973</v>
      </c>
      <c r="AU11" s="6">
        <v>1972</v>
      </c>
      <c r="AV11" s="6">
        <v>1971</v>
      </c>
      <c r="AW11" s="6">
        <v>1970</v>
      </c>
      <c r="AX11" s="6">
        <v>1969</v>
      </c>
      <c r="AY11" s="6">
        <v>1968</v>
      </c>
      <c r="AZ11" s="6">
        <v>1967</v>
      </c>
      <c r="BA11" s="6">
        <v>1966</v>
      </c>
      <c r="BB11" s="6">
        <v>1965</v>
      </c>
      <c r="BC11" s="6">
        <v>1964</v>
      </c>
      <c r="BD11" s="6">
        <v>1963</v>
      </c>
      <c r="BE11" s="6">
        <v>1962</v>
      </c>
      <c r="BF11" s="6">
        <v>1961</v>
      </c>
      <c r="BG11" s="6">
        <v>1960</v>
      </c>
      <c r="BH11" s="6">
        <v>1959</v>
      </c>
      <c r="BI11" s="6">
        <v>1958</v>
      </c>
      <c r="BJ11" s="6">
        <v>1957</v>
      </c>
      <c r="BK11" s="6">
        <v>1956</v>
      </c>
      <c r="BL11" s="6">
        <v>1955</v>
      </c>
      <c r="BM11" s="6">
        <v>1954</v>
      </c>
    </row>
    <row r="12" spans="1:67" ht="30" x14ac:dyDescent="0.25">
      <c r="A12" s="76" t="s">
        <v>325</v>
      </c>
      <c r="B12" s="307" t="s">
        <v>232</v>
      </c>
      <c r="C12" s="143">
        <v>20177.076980000002</v>
      </c>
      <c r="D12" s="143">
        <v>21491.733844999999</v>
      </c>
      <c r="E12" s="143">
        <v>21770.802</v>
      </c>
      <c r="F12" s="143">
        <v>21803.802</v>
      </c>
      <c r="G12" s="143">
        <v>21221.802</v>
      </c>
      <c r="H12" s="143">
        <v>22423.937999999998</v>
      </c>
      <c r="I12" s="143">
        <v>23449.13</v>
      </c>
      <c r="J12" s="143">
        <v>24640.25</v>
      </c>
      <c r="K12" s="143">
        <v>24101.935000000001</v>
      </c>
      <c r="L12" s="143">
        <v>25769.338</v>
      </c>
      <c r="M12" s="143">
        <v>22212.669000000002</v>
      </c>
      <c r="N12" s="143">
        <v>16721.725999999999</v>
      </c>
      <c r="O12" s="143">
        <v>14857.669</v>
      </c>
      <c r="P12" s="143">
        <v>12488.79</v>
      </c>
      <c r="Q12" s="143">
        <v>11283.055</v>
      </c>
      <c r="R12" s="143">
        <v>9832.5210000000006</v>
      </c>
      <c r="S12" s="143">
        <v>9035.4930000000004</v>
      </c>
      <c r="T12" s="143">
        <v>9437.26</v>
      </c>
      <c r="U12" s="143">
        <v>9720</v>
      </c>
      <c r="V12" s="220" t="s">
        <v>142</v>
      </c>
      <c r="W12" s="220" t="s">
        <v>142</v>
      </c>
      <c r="X12" s="220" t="s">
        <v>142</v>
      </c>
      <c r="Y12" s="220" t="s">
        <v>142</v>
      </c>
      <c r="Z12" s="220" t="s">
        <v>142</v>
      </c>
      <c r="AA12" s="220" t="s">
        <v>142</v>
      </c>
      <c r="AB12" s="220" t="s">
        <v>142</v>
      </c>
      <c r="AC12" s="220" t="s">
        <v>142</v>
      </c>
      <c r="AD12" s="220" t="s">
        <v>142</v>
      </c>
      <c r="AE12" s="99" t="s">
        <v>142</v>
      </c>
      <c r="AF12" s="99" t="s">
        <v>142</v>
      </c>
      <c r="AG12" s="99" t="s">
        <v>142</v>
      </c>
      <c r="AH12" s="99" t="s">
        <v>142</v>
      </c>
      <c r="AI12" s="99" t="s">
        <v>142</v>
      </c>
      <c r="AJ12" s="99" t="s">
        <v>142</v>
      </c>
      <c r="AK12" s="99" t="s">
        <v>142</v>
      </c>
      <c r="AL12" s="99" t="s">
        <v>142</v>
      </c>
      <c r="AM12" s="99" t="s">
        <v>142</v>
      </c>
      <c r="AN12" s="99" t="s">
        <v>142</v>
      </c>
      <c r="AO12" s="99" t="s">
        <v>142</v>
      </c>
      <c r="AP12" s="99" t="s">
        <v>142</v>
      </c>
      <c r="AQ12" s="99" t="s">
        <v>142</v>
      </c>
      <c r="AR12" s="99" t="s">
        <v>142</v>
      </c>
      <c r="AS12" s="99" t="s">
        <v>142</v>
      </c>
      <c r="AT12" s="99" t="s">
        <v>142</v>
      </c>
      <c r="AU12" s="99" t="s">
        <v>142</v>
      </c>
      <c r="AV12" s="99" t="s">
        <v>142</v>
      </c>
      <c r="AW12" s="99" t="s">
        <v>142</v>
      </c>
      <c r="AX12" s="99" t="s">
        <v>142</v>
      </c>
      <c r="AY12" s="99" t="s">
        <v>142</v>
      </c>
      <c r="AZ12" s="99" t="s">
        <v>142</v>
      </c>
      <c r="BA12" s="99" t="s">
        <v>142</v>
      </c>
      <c r="BB12" s="99" t="s">
        <v>142</v>
      </c>
      <c r="BC12" s="99" t="s">
        <v>142</v>
      </c>
      <c r="BD12" s="99" t="s">
        <v>142</v>
      </c>
      <c r="BE12" s="99" t="s">
        <v>142</v>
      </c>
      <c r="BF12" s="99" t="s">
        <v>142</v>
      </c>
      <c r="BG12" s="99" t="s">
        <v>142</v>
      </c>
      <c r="BH12" s="99" t="s">
        <v>142</v>
      </c>
      <c r="BI12" s="99" t="s">
        <v>142</v>
      </c>
      <c r="BJ12" s="99" t="s">
        <v>142</v>
      </c>
      <c r="BK12" s="99" t="s">
        <v>142</v>
      </c>
      <c r="BL12" s="99" t="s">
        <v>142</v>
      </c>
      <c r="BM12" s="70" t="s">
        <v>142</v>
      </c>
    </row>
    <row r="13" spans="1:67" ht="45" x14ac:dyDescent="0.25">
      <c r="A13" s="34" t="s">
        <v>239</v>
      </c>
      <c r="B13" s="305" t="s">
        <v>354</v>
      </c>
      <c r="C13" s="142">
        <v>4.2812444524602689E-3</v>
      </c>
      <c r="D13" s="142">
        <v>4.8054957210166343E-3</v>
      </c>
      <c r="E13" s="142">
        <v>5.1031604440640848E-3</v>
      </c>
      <c r="F13" s="142">
        <v>5.3358822003494637E-3</v>
      </c>
      <c r="G13" s="142">
        <v>5.2429609590690955E-3</v>
      </c>
      <c r="H13" s="142">
        <v>5.5747519521878669E-3</v>
      </c>
      <c r="I13" s="142">
        <v>5.9310065557126824E-3</v>
      </c>
      <c r="J13" s="142">
        <v>6.2828498044406348E-3</v>
      </c>
      <c r="K13" s="142">
        <v>6.002455330125972E-3</v>
      </c>
      <c r="L13" s="142">
        <v>6.7250927040134198E-3</v>
      </c>
      <c r="M13" s="142">
        <v>6.3335726552558209E-3</v>
      </c>
      <c r="N13" s="142">
        <v>5.1325566947782236E-3</v>
      </c>
      <c r="O13" s="142">
        <v>4.8591632163157445E-3</v>
      </c>
      <c r="P13" s="142">
        <v>4.4584303019852825E-3</v>
      </c>
      <c r="Q13" s="142">
        <v>4.2185416771042322E-3</v>
      </c>
      <c r="R13" s="327">
        <f>R12/2151828</f>
        <v>4.5693805452852185E-3</v>
      </c>
      <c r="S13" s="327">
        <f>S12/1910600</f>
        <v>4.729139013922328E-3</v>
      </c>
      <c r="T13" s="327">
        <f>T12/1836300</f>
        <v>5.1392800740619722E-3</v>
      </c>
      <c r="U13" s="327">
        <f>9720/1820700</f>
        <v>5.3386060306475532E-3</v>
      </c>
      <c r="V13" s="263" t="s">
        <v>142</v>
      </c>
      <c r="W13" s="263" t="s">
        <v>142</v>
      </c>
      <c r="X13" s="263" t="s">
        <v>142</v>
      </c>
      <c r="Y13" s="263" t="s">
        <v>142</v>
      </c>
      <c r="Z13" s="263" t="s">
        <v>142</v>
      </c>
      <c r="AA13" s="263" t="s">
        <v>142</v>
      </c>
      <c r="AB13" s="263" t="s">
        <v>142</v>
      </c>
      <c r="AC13" s="263" t="s">
        <v>142</v>
      </c>
      <c r="AD13" s="263" t="s">
        <v>142</v>
      </c>
      <c r="AE13" s="25" t="s">
        <v>142</v>
      </c>
      <c r="AF13" s="25" t="s">
        <v>142</v>
      </c>
      <c r="AG13" s="25" t="s">
        <v>142</v>
      </c>
      <c r="AH13" s="25" t="s">
        <v>142</v>
      </c>
      <c r="AI13" s="25" t="s">
        <v>142</v>
      </c>
      <c r="AJ13" s="25" t="s">
        <v>142</v>
      </c>
      <c r="AK13" s="25" t="s">
        <v>142</v>
      </c>
      <c r="AL13" s="25" t="s">
        <v>142</v>
      </c>
      <c r="AM13" s="25" t="s">
        <v>142</v>
      </c>
      <c r="AN13" s="25" t="s">
        <v>142</v>
      </c>
      <c r="AO13" s="25" t="s">
        <v>142</v>
      </c>
      <c r="AP13" s="25" t="s">
        <v>142</v>
      </c>
      <c r="AQ13" s="25" t="s">
        <v>142</v>
      </c>
      <c r="AR13" s="25" t="s">
        <v>142</v>
      </c>
      <c r="AS13" s="25" t="s">
        <v>142</v>
      </c>
      <c r="AT13" s="25" t="s">
        <v>142</v>
      </c>
      <c r="AU13" s="25" t="s">
        <v>142</v>
      </c>
      <c r="AV13" s="25" t="s">
        <v>142</v>
      </c>
      <c r="AW13" s="25" t="s">
        <v>142</v>
      </c>
      <c r="AX13" s="25" t="s">
        <v>142</v>
      </c>
      <c r="AY13" s="25" t="s">
        <v>142</v>
      </c>
      <c r="AZ13" s="25" t="s">
        <v>142</v>
      </c>
      <c r="BA13" s="25" t="s">
        <v>142</v>
      </c>
      <c r="BB13" s="25" t="s">
        <v>142</v>
      </c>
      <c r="BC13" s="25" t="s">
        <v>142</v>
      </c>
      <c r="BD13" s="25" t="s">
        <v>142</v>
      </c>
      <c r="BE13" s="25" t="s">
        <v>142</v>
      </c>
      <c r="BF13" s="25" t="s">
        <v>142</v>
      </c>
      <c r="BG13" s="25" t="s">
        <v>142</v>
      </c>
      <c r="BH13" s="25" t="s">
        <v>142</v>
      </c>
      <c r="BI13" s="25" t="s">
        <v>142</v>
      </c>
      <c r="BJ13" s="25" t="s">
        <v>142</v>
      </c>
      <c r="BK13" s="25" t="s">
        <v>142</v>
      </c>
      <c r="BL13" s="25" t="s">
        <v>142</v>
      </c>
      <c r="BM13" s="31" t="s">
        <v>142</v>
      </c>
    </row>
    <row r="14" spans="1:67" ht="60" x14ac:dyDescent="0.25">
      <c r="A14" s="34" t="s">
        <v>322</v>
      </c>
      <c r="B14" s="305" t="s">
        <v>352</v>
      </c>
      <c r="C14" s="381"/>
      <c r="D14" s="16">
        <v>33650.832391229997</v>
      </c>
      <c r="E14" s="144">
        <v>32761.44114752</v>
      </c>
      <c r="F14" s="144">
        <v>34229.370450390001</v>
      </c>
      <c r="G14" s="144">
        <v>34258.63993609001</v>
      </c>
      <c r="H14" s="144">
        <v>34224.959127390008</v>
      </c>
      <c r="I14" s="144">
        <v>32308.880269999998</v>
      </c>
      <c r="J14" s="144">
        <v>33710.308080000003</v>
      </c>
      <c r="K14" s="144">
        <v>31244.213240000001</v>
      </c>
      <c r="L14" s="144">
        <v>34603.898000000001</v>
      </c>
      <c r="M14" s="144">
        <v>29009.170819999999</v>
      </c>
      <c r="N14" s="144">
        <v>26442.456139999998</v>
      </c>
      <c r="O14" s="144">
        <v>22845.451669999999</v>
      </c>
      <c r="P14" s="144">
        <v>20506.297730000002</v>
      </c>
      <c r="Q14" s="144">
        <v>18579.528980000003</v>
      </c>
      <c r="R14" s="144">
        <v>16456.218989999998</v>
      </c>
      <c r="S14" s="144">
        <v>14077.33639</v>
      </c>
      <c r="T14" s="328">
        <v>12666.819</v>
      </c>
      <c r="U14" s="328">
        <v>12830.058956000001</v>
      </c>
      <c r="V14" s="328">
        <v>11830</v>
      </c>
      <c r="W14" s="328">
        <v>11000</v>
      </c>
      <c r="X14" s="328">
        <v>9500</v>
      </c>
      <c r="Y14" s="328">
        <v>8300</v>
      </c>
      <c r="Z14" s="328">
        <v>6500</v>
      </c>
      <c r="AA14" s="328">
        <f>38300*0.115</f>
        <v>4404.5</v>
      </c>
      <c r="AB14" s="328">
        <f>31100*0.136</f>
        <v>4229.6000000000004</v>
      </c>
      <c r="AC14" s="328">
        <f>23500*0.157</f>
        <v>3689.5</v>
      </c>
      <c r="AD14" s="328">
        <f>21100*0.158</f>
        <v>3333.8</v>
      </c>
      <c r="AE14" s="144">
        <v>2266.5360000000001</v>
      </c>
      <c r="AF14" s="144">
        <v>2165.9299999999998</v>
      </c>
      <c r="AG14" s="144">
        <v>2001.4970000000001</v>
      </c>
      <c r="AH14" s="144">
        <v>1904.14</v>
      </c>
      <c r="AI14" s="144">
        <v>1855.32</v>
      </c>
      <c r="AJ14" s="144">
        <v>1852.0039999999999</v>
      </c>
      <c r="AK14" s="144">
        <v>1819.48</v>
      </c>
      <c r="AL14" s="144">
        <v>1828.527</v>
      </c>
      <c r="AM14" s="144">
        <v>1581.566</v>
      </c>
      <c r="AN14" s="144">
        <v>1504.769</v>
      </c>
      <c r="AO14" s="144">
        <v>1440.954</v>
      </c>
      <c r="AP14" s="144">
        <v>1396.941</v>
      </c>
      <c r="AQ14" s="144">
        <v>1354.7449999999999</v>
      </c>
      <c r="AR14" s="144">
        <v>1383.346</v>
      </c>
      <c r="AS14" s="144">
        <v>1256.1780000000001</v>
      </c>
      <c r="AT14" s="144">
        <v>1230.6790000000001</v>
      </c>
      <c r="AU14" s="144">
        <v>1161.9079999999999</v>
      </c>
      <c r="AV14" s="144">
        <v>1081.979</v>
      </c>
      <c r="AW14" s="144">
        <v>1013.198</v>
      </c>
      <c r="AX14" s="144">
        <v>1015.819</v>
      </c>
      <c r="AY14" s="144">
        <v>1601.393</v>
      </c>
      <c r="AZ14" s="144">
        <v>1433.021</v>
      </c>
      <c r="BA14" s="144">
        <v>1221.5409999999999</v>
      </c>
      <c r="BB14" s="144">
        <v>1074.2090000000001</v>
      </c>
      <c r="BC14" s="144">
        <v>1074.08</v>
      </c>
      <c r="BD14" s="144">
        <v>979.34400000000005</v>
      </c>
      <c r="BE14" s="144">
        <v>843.67700000000002</v>
      </c>
      <c r="BF14" s="144">
        <v>798.20699999999999</v>
      </c>
      <c r="BG14" s="144">
        <v>696.33600000000001</v>
      </c>
      <c r="BH14" s="144">
        <v>431.78899999999999</v>
      </c>
      <c r="BI14" s="144">
        <v>423.70600000000002</v>
      </c>
      <c r="BJ14" s="144">
        <v>424.221</v>
      </c>
      <c r="BK14" s="144">
        <v>411.56700000000001</v>
      </c>
      <c r="BL14" s="144">
        <v>410.08499999999998</v>
      </c>
      <c r="BM14" s="145">
        <v>342.74200000000002</v>
      </c>
      <c r="BN14" s="149"/>
    </row>
    <row r="15" spans="1:67" ht="30" x14ac:dyDescent="0.25">
      <c r="A15" s="34" t="s">
        <v>241</v>
      </c>
      <c r="B15" s="305" t="s">
        <v>353</v>
      </c>
      <c r="C15" s="381"/>
      <c r="D15" s="142">
        <v>7.5242384923878492E-3</v>
      </c>
      <c r="E15" s="142">
        <v>7.6794088961241562E-3</v>
      </c>
      <c r="F15" s="142">
        <v>8.3766990965797577E-3</v>
      </c>
      <c r="G15" s="142">
        <v>8.4637822789848521E-3</v>
      </c>
      <c r="H15" s="142">
        <v>8.5085705155342212E-3</v>
      </c>
      <c r="I15" s="142">
        <v>8.1719100320185051E-3</v>
      </c>
      <c r="J15" s="142">
        <v>8.5955622417817016E-3</v>
      </c>
      <c r="K15" s="142">
        <v>7.7812007333863632E-3</v>
      </c>
      <c r="L15" s="142">
        <v>9.0306713339017314E-3</v>
      </c>
      <c r="M15" s="142">
        <v>8.2714819663137762E-3</v>
      </c>
      <c r="N15" s="142">
        <v>8.1162318583462342E-3</v>
      </c>
      <c r="O15" s="142">
        <v>7.4715474153437588E-3</v>
      </c>
      <c r="P15" s="142">
        <v>7.3206370818120906E-3</v>
      </c>
      <c r="Q15" s="142">
        <v>6.9465687566971791E-3</v>
      </c>
      <c r="R15" s="327">
        <v>6.4214905534403996E-3</v>
      </c>
      <c r="S15" s="329">
        <f>14077.33639/1910600</f>
        <v>7.3680186276562339E-3</v>
      </c>
      <c r="T15" s="330">
        <f>12667/1836300</f>
        <v>6.8981103305560095E-3</v>
      </c>
      <c r="U15" s="330">
        <f>12830/1820700</f>
        <v>7.0467402647333447E-3</v>
      </c>
      <c r="V15" s="330">
        <f>11830/1680000</f>
        <v>7.0416666666666666E-3</v>
      </c>
      <c r="W15" s="330">
        <f>11000/1572300</f>
        <v>6.9961203332697319E-3</v>
      </c>
      <c r="X15" s="330">
        <f>9500/1381100</f>
        <v>6.8785750488740858E-3</v>
      </c>
      <c r="Y15" s="330">
        <f>8300/1182700</f>
        <v>7.0178405343705079E-3</v>
      </c>
      <c r="Z15" s="330">
        <f>6500/1020300</f>
        <v>6.370675291580908E-3</v>
      </c>
      <c r="AA15" s="327">
        <v>4.2879322153991503E-3</v>
      </c>
      <c r="AB15" s="327">
        <v>4.3710685699039483E-3</v>
      </c>
      <c r="AC15" s="327">
        <v>4.8103935784567587E-3</v>
      </c>
      <c r="AD15" s="331">
        <v>4.5872831267874167E-3</v>
      </c>
      <c r="AE15" s="25" t="s">
        <v>142</v>
      </c>
      <c r="AF15" s="25" t="s">
        <v>142</v>
      </c>
      <c r="AG15" s="25" t="s">
        <v>142</v>
      </c>
      <c r="AH15" s="25" t="s">
        <v>142</v>
      </c>
      <c r="AI15" s="25" t="s">
        <v>142</v>
      </c>
      <c r="AJ15" s="25" t="s">
        <v>142</v>
      </c>
      <c r="AK15" s="25" t="s">
        <v>142</v>
      </c>
      <c r="AL15" s="25" t="s">
        <v>142</v>
      </c>
      <c r="AM15" s="25" t="s">
        <v>142</v>
      </c>
      <c r="AN15" s="25" t="s">
        <v>142</v>
      </c>
      <c r="AO15" s="25" t="s">
        <v>142</v>
      </c>
      <c r="AP15" s="25" t="s">
        <v>142</v>
      </c>
      <c r="AQ15" s="25" t="s">
        <v>142</v>
      </c>
      <c r="AR15" s="25" t="s">
        <v>142</v>
      </c>
      <c r="AS15" s="25" t="s">
        <v>142</v>
      </c>
      <c r="AT15" s="25" t="s">
        <v>142</v>
      </c>
      <c r="AU15" s="25" t="s">
        <v>142</v>
      </c>
      <c r="AV15" s="25" t="s">
        <v>142</v>
      </c>
      <c r="AW15" s="25" t="s">
        <v>142</v>
      </c>
      <c r="AX15" s="25" t="s">
        <v>142</v>
      </c>
      <c r="AY15" s="25" t="s">
        <v>142</v>
      </c>
      <c r="AZ15" s="25" t="s">
        <v>142</v>
      </c>
      <c r="BA15" s="25" t="s">
        <v>142</v>
      </c>
      <c r="BB15" s="25" t="s">
        <v>142</v>
      </c>
      <c r="BC15" s="25" t="s">
        <v>142</v>
      </c>
      <c r="BD15" s="25" t="s">
        <v>142</v>
      </c>
      <c r="BE15" s="25" t="s">
        <v>142</v>
      </c>
      <c r="BF15" s="25" t="s">
        <v>142</v>
      </c>
      <c r="BG15" s="25" t="s">
        <v>142</v>
      </c>
      <c r="BH15" s="25" t="s">
        <v>142</v>
      </c>
      <c r="BI15" s="25" t="s">
        <v>142</v>
      </c>
      <c r="BJ15" s="25" t="s">
        <v>142</v>
      </c>
      <c r="BK15" s="25" t="s">
        <v>142</v>
      </c>
      <c r="BL15" s="25" t="s">
        <v>142</v>
      </c>
      <c r="BM15" s="31" t="s">
        <v>142</v>
      </c>
    </row>
    <row r="16" spans="1:67" ht="60" x14ac:dyDescent="0.25">
      <c r="A16" s="34" t="s">
        <v>242</v>
      </c>
      <c r="B16" s="305" t="s">
        <v>355</v>
      </c>
      <c r="C16" s="381"/>
      <c r="D16" s="169">
        <v>27225.5925495388</v>
      </c>
      <c r="E16" s="169">
        <v>26592.078853506493</v>
      </c>
      <c r="F16" s="169">
        <v>27783.579911030844</v>
      </c>
      <c r="G16" s="169">
        <v>30560.784956369323</v>
      </c>
      <c r="H16" s="169">
        <v>30530.739631926859</v>
      </c>
      <c r="I16" s="169">
        <v>28821.481061552186</v>
      </c>
      <c r="J16" s="169">
        <v>30071.639678858166</v>
      </c>
      <c r="K16" s="169">
        <v>27871.733487957183</v>
      </c>
      <c r="L16" s="169">
        <v>32831.022770398486</v>
      </c>
      <c r="M16" s="169">
        <v>28301.630068292681</v>
      </c>
      <c r="N16" s="169">
        <v>26442.456140000002</v>
      </c>
      <c r="O16" s="169">
        <v>23287.922191641184</v>
      </c>
      <c r="P16" s="169">
        <v>21472.563068062831</v>
      </c>
      <c r="Q16" s="169">
        <v>19475.397253668765</v>
      </c>
      <c r="R16" s="169">
        <v>17581.430544871793</v>
      </c>
      <c r="S16" s="169">
        <v>15743.932889946356</v>
      </c>
      <c r="T16" s="181">
        <v>14716.567289497021</v>
      </c>
      <c r="U16" s="181">
        <v>15219.253512689582</v>
      </c>
      <c r="V16" s="181">
        <v>15543.29260281178</v>
      </c>
      <c r="W16" s="181">
        <v>15674.874601003256</v>
      </c>
      <c r="X16" s="181">
        <v>14728.682170542636</v>
      </c>
      <c r="Y16" s="181">
        <v>14039.271317829458</v>
      </c>
      <c r="Z16" s="181">
        <v>12094.031007751937</v>
      </c>
      <c r="AA16" s="181">
        <v>6828.6821705426364</v>
      </c>
      <c r="AB16" s="181">
        <v>6557.5193798449618</v>
      </c>
      <c r="AC16" s="181">
        <v>5720.1550387596899</v>
      </c>
      <c r="AD16" s="181">
        <v>5168.6821705426364</v>
      </c>
      <c r="AE16" s="25" t="s">
        <v>142</v>
      </c>
      <c r="AF16" s="25" t="s">
        <v>142</v>
      </c>
      <c r="AG16" s="25" t="s">
        <v>142</v>
      </c>
      <c r="AH16" s="25" t="s">
        <v>142</v>
      </c>
      <c r="AI16" s="25" t="s">
        <v>142</v>
      </c>
      <c r="AJ16" s="25" t="s">
        <v>142</v>
      </c>
      <c r="AK16" s="25" t="s">
        <v>142</v>
      </c>
      <c r="AL16" s="25" t="s">
        <v>142</v>
      </c>
      <c r="AM16" s="25" t="s">
        <v>142</v>
      </c>
      <c r="AN16" s="25" t="s">
        <v>142</v>
      </c>
      <c r="AO16" s="25" t="s">
        <v>142</v>
      </c>
      <c r="AP16" s="25" t="s">
        <v>142</v>
      </c>
      <c r="AQ16" s="25" t="s">
        <v>142</v>
      </c>
      <c r="AR16" s="25" t="s">
        <v>142</v>
      </c>
      <c r="AS16" s="25" t="s">
        <v>142</v>
      </c>
      <c r="AT16" s="25" t="s">
        <v>142</v>
      </c>
      <c r="AU16" s="25" t="s">
        <v>142</v>
      </c>
      <c r="AV16" s="25" t="s">
        <v>142</v>
      </c>
      <c r="AW16" s="25" t="s">
        <v>142</v>
      </c>
      <c r="AX16" s="25" t="s">
        <v>142</v>
      </c>
      <c r="AY16" s="25" t="s">
        <v>142</v>
      </c>
      <c r="AZ16" s="25" t="s">
        <v>142</v>
      </c>
      <c r="BA16" s="25" t="s">
        <v>142</v>
      </c>
      <c r="BB16" s="25" t="s">
        <v>142</v>
      </c>
      <c r="BC16" s="25" t="s">
        <v>142</v>
      </c>
      <c r="BD16" s="25" t="s">
        <v>142</v>
      </c>
      <c r="BE16" s="25" t="s">
        <v>142</v>
      </c>
      <c r="BF16" s="25" t="s">
        <v>142</v>
      </c>
      <c r="BG16" s="25" t="s">
        <v>142</v>
      </c>
      <c r="BH16" s="25" t="s">
        <v>142</v>
      </c>
      <c r="BI16" s="25" t="s">
        <v>142</v>
      </c>
      <c r="BJ16" s="25" t="s">
        <v>142</v>
      </c>
      <c r="BK16" s="25" t="s">
        <v>142</v>
      </c>
      <c r="BL16" s="25" t="s">
        <v>142</v>
      </c>
      <c r="BM16" s="31" t="s">
        <v>142</v>
      </c>
    </row>
    <row r="17" spans="1:66" ht="48" customHeight="1" thickBot="1" x14ac:dyDescent="0.3">
      <c r="A17" s="48" t="s">
        <v>323</v>
      </c>
      <c r="B17" s="306" t="s">
        <v>356</v>
      </c>
      <c r="C17" s="382"/>
      <c r="D17" s="170">
        <f>33650.83239123/182848.14549345</f>
        <v>0.18403704505953242</v>
      </c>
      <c r="E17" s="170">
        <f>32761/178712.7</f>
        <v>0.18331657459150916</v>
      </c>
      <c r="F17" s="170">
        <f>34229.4/172805.2</f>
        <v>0.19808084478939292</v>
      </c>
      <c r="G17" s="170">
        <f>34258.6/171369.86975439</f>
        <v>0.19991028790008397</v>
      </c>
      <c r="H17" s="170">
        <f>30530.7396319269/173721.96890426</f>
        <v>0.17574484001360077</v>
      </c>
      <c r="I17" s="170">
        <f>28821.4810615521/162965.05886</f>
        <v>0.17685681374381029</v>
      </c>
      <c r="J17" s="170">
        <f>30071.6396788582/163943.01018</f>
        <v>0.18342739739767658</v>
      </c>
      <c r="K17" s="170">
        <f>27871.7334879572/151003.00029</f>
        <v>0.184577349022402</v>
      </c>
      <c r="L17" s="170">
        <f>32831.0227703985/152987.76882</f>
        <v>0.21459900372183557</v>
      </c>
      <c r="M17" s="170">
        <f>28301.6300682927/142830.94372</f>
        <v>0.19814774957850917</v>
      </c>
      <c r="N17" s="170">
        <f>26442.45614/130316.16269</f>
        <v>0.20291002738395625</v>
      </c>
      <c r="O17" s="170">
        <f>23287.9221916412/123038.46745</f>
        <v>0.18927350668688128</v>
      </c>
      <c r="P17" s="170">
        <f>21472.5630680628/115848.64518</f>
        <v>0.18535014401506181</v>
      </c>
      <c r="Q17" s="170">
        <f>19475.3972536688/108531.29954</f>
        <v>0.1794449834859943</v>
      </c>
      <c r="R17" s="170">
        <f>17581.4305448718/97935.53135</f>
        <v>0.17952044883526125</v>
      </c>
      <c r="S17" s="170">
        <f>14077.33639/87380.8</f>
        <v>0.16110331319923826</v>
      </c>
      <c r="T17" s="170">
        <f>12666/86821</f>
        <v>0.14588636389813525</v>
      </c>
      <c r="U17" s="170">
        <f>12830/80300</f>
        <v>0.1597758405977584</v>
      </c>
      <c r="V17" s="170">
        <f>11830/78900</f>
        <v>0.14993662864385299</v>
      </c>
      <c r="W17" s="170">
        <f>11000/81700</f>
        <v>0.1346389228886169</v>
      </c>
      <c r="X17" s="170">
        <f>9500/71900</f>
        <v>0.13212795549374132</v>
      </c>
      <c r="Y17" s="170">
        <f>8300/63200</f>
        <v>0.13132911392405064</v>
      </c>
      <c r="Z17" s="170">
        <f>6500/53600</f>
        <v>0.12126865671641791</v>
      </c>
      <c r="AA17" s="247">
        <f>3631.021/39238.662</f>
        <v>9.2536819935399445E-2</v>
      </c>
      <c r="AB17" s="247">
        <f>3276.553/31935.83</f>
        <v>0.10259802234668708</v>
      </c>
      <c r="AC17" s="247">
        <f>2786.661/24165.531</f>
        <v>0.11531552937942892</v>
      </c>
      <c r="AD17" s="247">
        <f>2406.03/21720.337</f>
        <v>0.11077314316071617</v>
      </c>
      <c r="AE17" s="171">
        <v>0.10868040303126479</v>
      </c>
      <c r="AF17" s="171">
        <v>0.10720260992842087</v>
      </c>
      <c r="AG17" s="171">
        <v>0.10195542287265733</v>
      </c>
      <c r="AH17" s="171">
        <v>0.10117534363878637</v>
      </c>
      <c r="AI17" s="171">
        <v>0.10161203374076838</v>
      </c>
      <c r="AJ17" s="171">
        <v>0.1053010911034416</v>
      </c>
      <c r="AK17" s="171">
        <v>0.1052860484701905</v>
      </c>
      <c r="AL17" s="171">
        <v>0.11125967149279677</v>
      </c>
      <c r="AM17" s="171">
        <v>0.100913762627173</v>
      </c>
      <c r="AN17" s="171">
        <v>0.10222464096659438</v>
      </c>
      <c r="AO17" s="171">
        <v>0.1008311664320162</v>
      </c>
      <c r="AP17" s="171">
        <v>0.10344409328903835</v>
      </c>
      <c r="AQ17" s="171">
        <v>0.10563304780011494</v>
      </c>
      <c r="AR17" s="171">
        <v>0.11099775179455644</v>
      </c>
      <c r="AS17" s="171">
        <v>0.1053924953389726</v>
      </c>
      <c r="AT17" s="171">
        <v>0.1045817478749114</v>
      </c>
      <c r="AU17" s="171">
        <v>0.10636221839357082</v>
      </c>
      <c r="AV17" s="171">
        <v>0.10743092911089153</v>
      </c>
      <c r="AW17" s="171">
        <v>0.10898387289348881</v>
      </c>
      <c r="AX17" s="171">
        <v>0.11185682154182461</v>
      </c>
      <c r="AY17" s="171">
        <v>0.19474544953512135</v>
      </c>
      <c r="AZ17" s="171">
        <v>0.19189569276142024</v>
      </c>
      <c r="BA17" s="171">
        <v>0.15291984477435408</v>
      </c>
      <c r="BB17" s="171">
        <v>0.14087693122202438</v>
      </c>
      <c r="BC17" s="171">
        <v>0.15108286981494851</v>
      </c>
      <c r="BD17" s="171">
        <v>0.13433781073910736</v>
      </c>
      <c r="BE17" s="171">
        <v>0.12242863117373035</v>
      </c>
      <c r="BF17" s="171">
        <v>0.12710187184606764</v>
      </c>
      <c r="BG17" s="171">
        <v>0.11811255614212057</v>
      </c>
      <c r="BH17" s="171">
        <v>8.634509000275159E-2</v>
      </c>
      <c r="BI17" s="171">
        <v>8.8634673008164244E-2</v>
      </c>
      <c r="BJ17" s="171">
        <v>0.1088596096182789</v>
      </c>
      <c r="BK17" s="171">
        <v>8.7307456349135643E-2</v>
      </c>
      <c r="BL17" s="171">
        <v>0.10928305720208617</v>
      </c>
      <c r="BM17" s="172">
        <v>9.8159372154851141E-2</v>
      </c>
      <c r="BN17" s="166"/>
    </row>
    <row r="18" spans="1:66" x14ac:dyDescent="0.25">
      <c r="C18" s="14"/>
    </row>
    <row r="19" spans="1:66" x14ac:dyDescent="0.25">
      <c r="A19" s="226" t="s">
        <v>324</v>
      </c>
      <c r="C19" s="14"/>
    </row>
    <row r="20" spans="1:66" ht="30" customHeight="1" x14ac:dyDescent="0.25">
      <c r="A20" s="207" t="s">
        <v>238</v>
      </c>
      <c r="C20" s="14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64"/>
    </row>
    <row r="21" spans="1:66" s="166" customFormat="1" ht="30" customHeight="1" x14ac:dyDescent="0.25">
      <c r="A21" s="207"/>
      <c r="B21" s="5" t="s">
        <v>286</v>
      </c>
      <c r="C21" s="14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64"/>
    </row>
    <row r="22" spans="1:66" ht="30" customHeight="1" x14ac:dyDescent="0.25">
      <c r="A22" s="216" t="s">
        <v>240</v>
      </c>
      <c r="B22" s="14" t="s">
        <v>357</v>
      </c>
      <c r="C22" s="14"/>
    </row>
    <row r="23" spans="1:66" ht="45" customHeight="1" x14ac:dyDescent="0.25">
      <c r="A23" s="216" t="s">
        <v>248</v>
      </c>
      <c r="B23" s="5" t="s">
        <v>386</v>
      </c>
      <c r="C23" s="14"/>
      <c r="E23" s="141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</row>
    <row r="24" spans="1:66" ht="30" customHeight="1" x14ac:dyDescent="0.25"/>
    <row r="25" spans="1:66" ht="30" customHeight="1" x14ac:dyDescent="0.25"/>
  </sheetData>
  <sortState columnSort="1" ref="D20:P21">
    <sortCondition descending="1" ref="D20:P20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O78"/>
  <sheetViews>
    <sheetView topLeftCell="A25" zoomScale="120" zoomScaleNormal="120" workbookViewId="0">
      <selection activeCell="E5" sqref="E5"/>
    </sheetView>
  </sheetViews>
  <sheetFormatPr defaultRowHeight="15" x14ac:dyDescent="0.25"/>
  <cols>
    <col min="1" max="1" width="15.7109375" customWidth="1"/>
    <col min="2" max="2" width="19.28515625" style="5" customWidth="1"/>
    <col min="3" max="3" width="36.5703125" customWidth="1"/>
    <col min="4" max="5" width="10" customWidth="1"/>
    <col min="6" max="6" width="10" bestFit="1" customWidth="1"/>
    <col min="7" max="11" width="10.140625" bestFit="1" customWidth="1"/>
    <col min="12" max="12" width="9.140625" customWidth="1"/>
    <col min="13" max="15" width="10.140625" bestFit="1" customWidth="1"/>
    <col min="16" max="17" width="10" bestFit="1" customWidth="1"/>
    <col min="18" max="18" width="12.28515625" customWidth="1"/>
    <col min="19" max="19" width="13.42578125" customWidth="1"/>
    <col min="20" max="27" width="11.28515625" bestFit="1" customWidth="1"/>
    <col min="28" max="28" width="14" bestFit="1" customWidth="1"/>
    <col min="29" max="29" width="14.5703125" customWidth="1"/>
    <col min="30" max="30" width="11.7109375" customWidth="1"/>
    <col min="31" max="44" width="9.5703125" bestFit="1" customWidth="1"/>
    <col min="45" max="53" width="9.28515625" bestFit="1" customWidth="1"/>
    <col min="54" max="56" width="9.5703125" bestFit="1" customWidth="1"/>
    <col min="57" max="66" width="9.28515625" bestFit="1" customWidth="1"/>
  </cols>
  <sheetData>
    <row r="1" spans="1:67" ht="18.75" x14ac:dyDescent="0.3">
      <c r="A1" s="9">
        <v>2</v>
      </c>
      <c r="B1" s="9" t="s">
        <v>5</v>
      </c>
      <c r="D1" s="166"/>
      <c r="F1" s="133"/>
    </row>
    <row r="2" spans="1:67" x14ac:dyDescent="0.25">
      <c r="D2" s="166"/>
    </row>
    <row r="3" spans="1:67" ht="15.75" x14ac:dyDescent="0.25">
      <c r="A3" s="10" t="s">
        <v>390</v>
      </c>
      <c r="B3" s="8" t="s">
        <v>7</v>
      </c>
      <c r="D3" s="166"/>
    </row>
    <row r="4" spans="1:67" ht="15.75" thickBot="1" x14ac:dyDescent="0.3">
      <c r="B4" s="7" t="s">
        <v>1</v>
      </c>
      <c r="D4" s="6">
        <v>2016</v>
      </c>
      <c r="E4" s="6">
        <v>2015</v>
      </c>
      <c r="F4" s="6">
        <v>2014</v>
      </c>
      <c r="G4" s="6">
        <v>2013</v>
      </c>
      <c r="H4" s="6">
        <v>2012</v>
      </c>
      <c r="I4" s="6">
        <v>2011</v>
      </c>
      <c r="J4" s="6">
        <v>2010</v>
      </c>
      <c r="K4" s="6">
        <v>2009</v>
      </c>
      <c r="L4" s="6">
        <v>2008</v>
      </c>
      <c r="M4" s="6">
        <v>2007</v>
      </c>
      <c r="N4" s="6">
        <v>2006</v>
      </c>
      <c r="O4" s="6">
        <v>2005</v>
      </c>
      <c r="P4" s="6">
        <v>2004</v>
      </c>
      <c r="Q4" s="6">
        <v>2003</v>
      </c>
      <c r="R4" s="6">
        <v>2002</v>
      </c>
      <c r="S4" s="6">
        <v>2001</v>
      </c>
      <c r="T4" s="6">
        <v>2000</v>
      </c>
      <c r="U4" s="6">
        <v>1999</v>
      </c>
      <c r="V4" s="6">
        <v>1998</v>
      </c>
      <c r="W4" s="6">
        <v>1997</v>
      </c>
      <c r="X4" s="6">
        <v>1996</v>
      </c>
      <c r="Y4" s="6">
        <v>1995</v>
      </c>
      <c r="Z4" s="6">
        <v>1994</v>
      </c>
      <c r="AA4" s="6">
        <v>1993</v>
      </c>
      <c r="AB4" s="6">
        <v>1992</v>
      </c>
      <c r="AC4" s="6">
        <v>1991</v>
      </c>
      <c r="AD4" s="6">
        <v>1990</v>
      </c>
      <c r="AE4" s="6">
        <v>1989</v>
      </c>
      <c r="AF4" s="6">
        <v>1988</v>
      </c>
      <c r="AG4" s="6">
        <v>1987</v>
      </c>
      <c r="AH4" s="6">
        <v>1986</v>
      </c>
      <c r="AI4" s="6">
        <v>1985</v>
      </c>
      <c r="AJ4" s="6">
        <v>1984</v>
      </c>
      <c r="AK4" s="6">
        <v>1983</v>
      </c>
      <c r="AL4" s="6">
        <v>1982</v>
      </c>
      <c r="AM4" s="6">
        <v>1981</v>
      </c>
      <c r="AN4" s="6">
        <v>1980</v>
      </c>
      <c r="AO4" s="6">
        <v>1979</v>
      </c>
      <c r="AP4" s="6">
        <v>1978</v>
      </c>
      <c r="AQ4" s="6">
        <v>1977</v>
      </c>
      <c r="AR4" s="6">
        <v>1976</v>
      </c>
      <c r="AS4" s="6">
        <v>1975</v>
      </c>
      <c r="AT4" s="6">
        <v>1974</v>
      </c>
      <c r="AU4" s="6">
        <v>1973</v>
      </c>
      <c r="AV4" s="6">
        <v>1972</v>
      </c>
      <c r="AW4" s="6">
        <v>1971</v>
      </c>
      <c r="AX4" s="6">
        <v>1970</v>
      </c>
      <c r="AY4" s="6">
        <v>1969</v>
      </c>
      <c r="AZ4" s="6">
        <v>1968</v>
      </c>
      <c r="BA4" s="6">
        <v>1967</v>
      </c>
      <c r="BB4" s="6">
        <v>1966</v>
      </c>
      <c r="BC4" s="6">
        <v>1965</v>
      </c>
      <c r="BD4" s="6">
        <v>1964</v>
      </c>
      <c r="BE4" s="6">
        <v>1963</v>
      </c>
      <c r="BF4" s="6">
        <v>1962</v>
      </c>
      <c r="BG4" s="6">
        <v>1961</v>
      </c>
      <c r="BH4" s="6">
        <v>1960</v>
      </c>
      <c r="BI4" s="6">
        <v>1959</v>
      </c>
      <c r="BJ4" s="6">
        <v>1958</v>
      </c>
      <c r="BK4" s="6">
        <v>1957</v>
      </c>
      <c r="BL4" s="6">
        <v>1956</v>
      </c>
      <c r="BM4" s="6">
        <v>1955</v>
      </c>
      <c r="BN4" s="6">
        <v>1954</v>
      </c>
      <c r="BO4" s="6">
        <v>1953</v>
      </c>
    </row>
    <row r="5" spans="1:67" x14ac:dyDescent="0.25">
      <c r="A5" s="123" t="s">
        <v>326</v>
      </c>
      <c r="B5" s="352" t="s">
        <v>167</v>
      </c>
      <c r="C5" s="208" t="s">
        <v>166</v>
      </c>
      <c r="D5" s="289">
        <v>311367</v>
      </c>
      <c r="E5" s="80">
        <v>326909</v>
      </c>
      <c r="F5" s="80">
        <v>347096</v>
      </c>
      <c r="G5" s="80">
        <v>367898</v>
      </c>
      <c r="H5" s="80">
        <v>381021</v>
      </c>
      <c r="I5" s="80">
        <v>392100</v>
      </c>
      <c r="J5" s="80">
        <v>395979</v>
      </c>
      <c r="K5" s="80">
        <v>388992</v>
      </c>
      <c r="L5" s="80">
        <v>368051</v>
      </c>
      <c r="M5" s="80">
        <v>343938</v>
      </c>
      <c r="N5" s="80">
        <v>316176</v>
      </c>
      <c r="O5" s="80">
        <v>289464</v>
      </c>
      <c r="P5" s="80">
        <v>264775</v>
      </c>
      <c r="Q5" s="80">
        <v>243718</v>
      </c>
      <c r="R5" s="80">
        <v>220176</v>
      </c>
      <c r="S5" s="217">
        <v>203453</v>
      </c>
      <c r="T5" s="217">
        <v>190207</v>
      </c>
      <c r="U5" s="217">
        <v>198961</v>
      </c>
      <c r="V5" s="217">
        <v>187148</v>
      </c>
      <c r="W5" s="217">
        <v>177723</v>
      </c>
      <c r="X5" s="217">
        <v>166123</v>
      </c>
      <c r="Y5" s="217">
        <v>148433</v>
      </c>
      <c r="Z5" s="217">
        <v>136566</v>
      </c>
      <c r="AA5" s="217">
        <v>127137</v>
      </c>
      <c r="AB5" s="217">
        <v>117637</v>
      </c>
      <c r="AC5" s="217">
        <v>113654</v>
      </c>
      <c r="AD5" s="217">
        <v>118194</v>
      </c>
      <c r="AE5" s="217">
        <v>113417</v>
      </c>
      <c r="AF5" s="217">
        <v>124989</v>
      </c>
      <c r="AG5" s="217">
        <v>123738</v>
      </c>
      <c r="AH5" s="217">
        <v>122495</v>
      </c>
      <c r="AI5" s="217">
        <v>121324</v>
      </c>
      <c r="AJ5" s="26">
        <v>122612</v>
      </c>
      <c r="AK5" s="26">
        <v>124485</v>
      </c>
      <c r="AL5" s="26">
        <v>128204</v>
      </c>
      <c r="AM5" s="26">
        <v>129088</v>
      </c>
      <c r="AN5" s="26">
        <v>128112</v>
      </c>
      <c r="AO5" s="26">
        <v>126657</v>
      </c>
      <c r="AP5" s="26">
        <v>123457</v>
      </c>
      <c r="AQ5" s="26">
        <v>121765</v>
      </c>
      <c r="AR5" s="26">
        <v>114698</v>
      </c>
      <c r="AS5" s="26">
        <v>104885</v>
      </c>
      <c r="AT5" s="26">
        <v>98146</v>
      </c>
      <c r="AU5" s="26">
        <v>92798</v>
      </c>
      <c r="AV5" s="26">
        <v>86999</v>
      </c>
      <c r="AW5" s="26">
        <v>85787</v>
      </c>
      <c r="AX5" s="26">
        <v>90730</v>
      </c>
      <c r="AY5" s="26">
        <v>93947</v>
      </c>
      <c r="AZ5" s="26">
        <v>96903</v>
      </c>
      <c r="BA5" s="26">
        <v>94582</v>
      </c>
      <c r="BB5" s="26">
        <v>99220</v>
      </c>
      <c r="BC5" s="26">
        <v>102949</v>
      </c>
      <c r="BD5" s="26">
        <v>102911</v>
      </c>
      <c r="BE5" s="26">
        <v>100568</v>
      </c>
      <c r="BF5" s="26">
        <v>92713</v>
      </c>
      <c r="BG5" s="26">
        <v>82680</v>
      </c>
      <c r="BH5" s="26">
        <v>69644</v>
      </c>
      <c r="BI5" s="26">
        <v>55713</v>
      </c>
      <c r="BJ5" s="26">
        <v>51973</v>
      </c>
      <c r="BK5" s="26">
        <v>54856</v>
      </c>
      <c r="BL5" s="26">
        <v>55065</v>
      </c>
      <c r="BM5" s="26">
        <v>50628</v>
      </c>
      <c r="BN5" s="26">
        <v>51230</v>
      </c>
      <c r="BO5" s="187">
        <v>50576</v>
      </c>
    </row>
    <row r="6" spans="1:67" x14ac:dyDescent="0.25">
      <c r="A6" s="221" t="s">
        <v>327</v>
      </c>
      <c r="B6" s="353"/>
      <c r="C6" s="72" t="s">
        <v>432</v>
      </c>
      <c r="D6" s="290">
        <v>180893</v>
      </c>
      <c r="E6" s="23">
        <v>193737</v>
      </c>
      <c r="F6" s="16">
        <v>208799</v>
      </c>
      <c r="G6" s="16">
        <v>224957</v>
      </c>
      <c r="H6" s="16">
        <v>235483</v>
      </c>
      <c r="I6" s="16">
        <v>243999</v>
      </c>
      <c r="J6" s="16">
        <v>249842</v>
      </c>
      <c r="K6" s="16">
        <v>245256</v>
      </c>
      <c r="L6" s="16">
        <v>230594</v>
      </c>
      <c r="M6" s="16">
        <v>209272</v>
      </c>
      <c r="N6" s="16">
        <v>182905</v>
      </c>
      <c r="O6" s="16">
        <v>154764</v>
      </c>
      <c r="P6" s="16">
        <v>123724</v>
      </c>
      <c r="Q6" s="16">
        <v>90448</v>
      </c>
      <c r="R6" s="16">
        <v>60995</v>
      </c>
      <c r="S6" s="149">
        <v>43119</v>
      </c>
      <c r="T6" s="218">
        <v>34794</v>
      </c>
      <c r="U6" s="232">
        <v>33872</v>
      </c>
      <c r="V6" s="232">
        <v>41433</v>
      </c>
      <c r="W6" s="232">
        <v>39956</v>
      </c>
      <c r="X6" s="232">
        <v>36668</v>
      </c>
      <c r="Y6" s="232">
        <v>34821</v>
      </c>
      <c r="Z6" s="232">
        <v>28147</v>
      </c>
      <c r="AA6" s="232">
        <v>15886</v>
      </c>
      <c r="AB6" s="232">
        <v>12195</v>
      </c>
      <c r="AC6" s="355">
        <v>109219</v>
      </c>
      <c r="AD6" s="355">
        <v>115072</v>
      </c>
      <c r="AE6" s="355">
        <v>110021</v>
      </c>
      <c r="AF6" s="156" t="s">
        <v>142</v>
      </c>
      <c r="AG6" s="156" t="s">
        <v>142</v>
      </c>
      <c r="AH6" s="156" t="s">
        <v>142</v>
      </c>
      <c r="AI6" s="156" t="s">
        <v>142</v>
      </c>
      <c r="AJ6" s="156" t="s">
        <v>142</v>
      </c>
      <c r="AK6" s="156" t="s">
        <v>142</v>
      </c>
      <c r="AL6" s="156" t="s">
        <v>142</v>
      </c>
      <c r="AM6" s="156" t="s">
        <v>142</v>
      </c>
      <c r="AN6" s="156" t="s">
        <v>142</v>
      </c>
      <c r="AO6" s="156" t="s">
        <v>142</v>
      </c>
      <c r="AP6" s="156" t="s">
        <v>142</v>
      </c>
      <c r="AQ6" s="156" t="s">
        <v>142</v>
      </c>
      <c r="AR6" s="156" t="s">
        <v>142</v>
      </c>
      <c r="AS6" s="156" t="s">
        <v>142</v>
      </c>
      <c r="AT6" s="156" t="s">
        <v>142</v>
      </c>
      <c r="AU6" s="156" t="s">
        <v>142</v>
      </c>
      <c r="AV6" s="156" t="s">
        <v>142</v>
      </c>
      <c r="AW6" s="156" t="s">
        <v>142</v>
      </c>
      <c r="AX6" s="156" t="s">
        <v>142</v>
      </c>
      <c r="AY6" s="156" t="s">
        <v>142</v>
      </c>
      <c r="AZ6" s="156" t="s">
        <v>142</v>
      </c>
      <c r="BA6" s="156" t="s">
        <v>142</v>
      </c>
      <c r="BB6" s="156" t="s">
        <v>142</v>
      </c>
      <c r="BC6" s="156" t="s">
        <v>142</v>
      </c>
      <c r="BD6" s="156" t="s">
        <v>142</v>
      </c>
      <c r="BE6" s="156" t="s">
        <v>142</v>
      </c>
      <c r="BF6" s="156" t="s">
        <v>142</v>
      </c>
      <c r="BG6" s="156" t="s">
        <v>142</v>
      </c>
      <c r="BH6" s="156" t="s">
        <v>142</v>
      </c>
      <c r="BI6" s="156" t="s">
        <v>142</v>
      </c>
      <c r="BJ6" s="156" t="s">
        <v>142</v>
      </c>
      <c r="BK6" s="156" t="s">
        <v>142</v>
      </c>
      <c r="BL6" s="156" t="s">
        <v>142</v>
      </c>
      <c r="BM6" s="156" t="s">
        <v>142</v>
      </c>
      <c r="BN6" s="156" t="s">
        <v>142</v>
      </c>
      <c r="BO6" s="31" t="s">
        <v>142</v>
      </c>
    </row>
    <row r="7" spans="1:67" x14ac:dyDescent="0.25">
      <c r="A7" s="221" t="s">
        <v>328</v>
      </c>
      <c r="B7" s="353"/>
      <c r="C7" s="72" t="s">
        <v>433</v>
      </c>
      <c r="D7" s="290">
        <v>31228</v>
      </c>
      <c r="E7" s="23">
        <v>31803</v>
      </c>
      <c r="F7" s="16">
        <v>32589</v>
      </c>
      <c r="G7" s="16">
        <v>33218</v>
      </c>
      <c r="H7" s="16">
        <v>34497</v>
      </c>
      <c r="I7" s="16">
        <v>37487</v>
      </c>
      <c r="J7" s="16">
        <v>40750</v>
      </c>
      <c r="K7" s="16">
        <v>46093</v>
      </c>
      <c r="L7" s="16">
        <v>53387</v>
      </c>
      <c r="M7" s="16">
        <v>65221</v>
      </c>
      <c r="N7" s="16">
        <v>79531</v>
      </c>
      <c r="O7" s="16">
        <v>93538</v>
      </c>
      <c r="P7" s="16">
        <v>107441</v>
      </c>
      <c r="Q7" s="16">
        <v>124102</v>
      </c>
      <c r="R7" s="16">
        <v>132660</v>
      </c>
      <c r="S7" s="149">
        <v>135425</v>
      </c>
      <c r="T7" s="218">
        <v>132003</v>
      </c>
      <c r="U7" s="340">
        <v>150082</v>
      </c>
      <c r="V7" s="340">
        <v>132796</v>
      </c>
      <c r="W7" s="340">
        <v>125798</v>
      </c>
      <c r="X7" s="340">
        <v>119200</v>
      </c>
      <c r="Y7" s="340">
        <v>104953</v>
      </c>
      <c r="Z7" s="340">
        <v>101306</v>
      </c>
      <c r="AA7" s="340">
        <v>106373</v>
      </c>
      <c r="AB7" s="340">
        <v>99485</v>
      </c>
      <c r="AC7" s="355"/>
      <c r="AD7" s="355"/>
      <c r="AE7" s="355"/>
      <c r="AF7" s="156" t="s">
        <v>142</v>
      </c>
      <c r="AG7" s="156" t="s">
        <v>142</v>
      </c>
      <c r="AH7" s="156" t="s">
        <v>142</v>
      </c>
      <c r="AI7" s="156" t="s">
        <v>142</v>
      </c>
      <c r="AJ7" s="156" t="s">
        <v>142</v>
      </c>
      <c r="AK7" s="156" t="s">
        <v>142</v>
      </c>
      <c r="AL7" s="156" t="s">
        <v>142</v>
      </c>
      <c r="AM7" s="156" t="s">
        <v>142</v>
      </c>
      <c r="AN7" s="156" t="s">
        <v>142</v>
      </c>
      <c r="AO7" s="156" t="s">
        <v>142</v>
      </c>
      <c r="AP7" s="156" t="s">
        <v>142</v>
      </c>
      <c r="AQ7" s="156" t="s">
        <v>142</v>
      </c>
      <c r="AR7" s="156" t="s">
        <v>142</v>
      </c>
      <c r="AS7" s="156" t="s">
        <v>142</v>
      </c>
      <c r="AT7" s="156" t="s">
        <v>142</v>
      </c>
      <c r="AU7" s="156" t="s">
        <v>142</v>
      </c>
      <c r="AV7" s="156" t="s">
        <v>142</v>
      </c>
      <c r="AW7" s="156" t="s">
        <v>142</v>
      </c>
      <c r="AX7" s="156" t="s">
        <v>142</v>
      </c>
      <c r="AY7" s="156" t="s">
        <v>142</v>
      </c>
      <c r="AZ7" s="156" t="s">
        <v>142</v>
      </c>
      <c r="BA7" s="156" t="s">
        <v>142</v>
      </c>
      <c r="BB7" s="156" t="s">
        <v>142</v>
      </c>
      <c r="BC7" s="156" t="s">
        <v>142</v>
      </c>
      <c r="BD7" s="156" t="s">
        <v>142</v>
      </c>
      <c r="BE7" s="156" t="s">
        <v>142</v>
      </c>
      <c r="BF7" s="156" t="s">
        <v>142</v>
      </c>
      <c r="BG7" s="156" t="s">
        <v>142</v>
      </c>
      <c r="BH7" s="156" t="s">
        <v>142</v>
      </c>
      <c r="BI7" s="156" t="s">
        <v>142</v>
      </c>
      <c r="BJ7" s="156" t="s">
        <v>142</v>
      </c>
      <c r="BK7" s="156" t="s">
        <v>142</v>
      </c>
      <c r="BL7" s="156" t="s">
        <v>142</v>
      </c>
      <c r="BM7" s="156" t="s">
        <v>142</v>
      </c>
      <c r="BN7" s="156" t="s">
        <v>142</v>
      </c>
      <c r="BO7" s="31" t="s">
        <v>142</v>
      </c>
    </row>
    <row r="8" spans="1:67" x14ac:dyDescent="0.25">
      <c r="A8" s="221" t="s">
        <v>329</v>
      </c>
      <c r="B8" s="353"/>
      <c r="C8" s="72" t="s">
        <v>434</v>
      </c>
      <c r="D8" s="290">
        <v>80142</v>
      </c>
      <c r="E8" s="23">
        <v>81921</v>
      </c>
      <c r="F8" s="16">
        <v>86622</v>
      </c>
      <c r="G8" s="16">
        <v>89040</v>
      </c>
      <c r="H8" s="16">
        <v>90314</v>
      </c>
      <c r="I8" s="16">
        <v>89630</v>
      </c>
      <c r="J8" s="16">
        <v>86854</v>
      </c>
      <c r="K8" s="16">
        <v>79815</v>
      </c>
      <c r="L8" s="16">
        <v>66674</v>
      </c>
      <c r="M8" s="16">
        <v>51733</v>
      </c>
      <c r="N8" s="16">
        <v>36098</v>
      </c>
      <c r="O8" s="16">
        <v>24092</v>
      </c>
      <c r="P8" s="16">
        <v>17282</v>
      </c>
      <c r="Q8" s="16">
        <v>14260</v>
      </c>
      <c r="R8" s="16">
        <v>12889</v>
      </c>
      <c r="S8" s="149">
        <v>12068</v>
      </c>
      <c r="T8" s="218">
        <v>11388</v>
      </c>
      <c r="U8" s="340"/>
      <c r="V8" s="340"/>
      <c r="W8" s="340"/>
      <c r="X8" s="340"/>
      <c r="Y8" s="340"/>
      <c r="Z8" s="340"/>
      <c r="AA8" s="340"/>
      <c r="AB8" s="340"/>
      <c r="AC8" s="355"/>
      <c r="AD8" s="355"/>
      <c r="AE8" s="355"/>
      <c r="AF8" s="156" t="s">
        <v>142</v>
      </c>
      <c r="AG8" s="156" t="s">
        <v>142</v>
      </c>
      <c r="AH8" s="156" t="s">
        <v>142</v>
      </c>
      <c r="AI8" s="156" t="s">
        <v>142</v>
      </c>
      <c r="AJ8" s="156" t="s">
        <v>142</v>
      </c>
      <c r="AK8" s="156" t="s">
        <v>142</v>
      </c>
      <c r="AL8" s="156" t="s">
        <v>142</v>
      </c>
      <c r="AM8" s="156" t="s">
        <v>142</v>
      </c>
      <c r="AN8" s="156" t="s">
        <v>142</v>
      </c>
      <c r="AO8" s="156" t="s">
        <v>142</v>
      </c>
      <c r="AP8" s="156" t="s">
        <v>142</v>
      </c>
      <c r="AQ8" s="156" t="s">
        <v>142</v>
      </c>
      <c r="AR8" s="156" t="s">
        <v>142</v>
      </c>
      <c r="AS8" s="156" t="s">
        <v>142</v>
      </c>
      <c r="AT8" s="156" t="s">
        <v>142</v>
      </c>
      <c r="AU8" s="156" t="s">
        <v>142</v>
      </c>
      <c r="AV8" s="156" t="s">
        <v>142</v>
      </c>
      <c r="AW8" s="156" t="s">
        <v>142</v>
      </c>
      <c r="AX8" s="156" t="s">
        <v>142</v>
      </c>
      <c r="AY8" s="156" t="s">
        <v>142</v>
      </c>
      <c r="AZ8" s="156" t="s">
        <v>142</v>
      </c>
      <c r="BA8" s="156" t="s">
        <v>142</v>
      </c>
      <c r="BB8" s="156" t="s">
        <v>142</v>
      </c>
      <c r="BC8" s="156" t="s">
        <v>142</v>
      </c>
      <c r="BD8" s="156" t="s">
        <v>142</v>
      </c>
      <c r="BE8" s="156" t="s">
        <v>142</v>
      </c>
      <c r="BF8" s="156" t="s">
        <v>142</v>
      </c>
      <c r="BG8" s="156" t="s">
        <v>142</v>
      </c>
      <c r="BH8" s="156" t="s">
        <v>142</v>
      </c>
      <c r="BI8" s="156" t="s">
        <v>142</v>
      </c>
      <c r="BJ8" s="156" t="s">
        <v>142</v>
      </c>
      <c r="BK8" s="156" t="s">
        <v>142</v>
      </c>
      <c r="BL8" s="156" t="s">
        <v>142</v>
      </c>
      <c r="BM8" s="156" t="s">
        <v>142</v>
      </c>
      <c r="BN8" s="156" t="s">
        <v>142</v>
      </c>
      <c r="BO8" s="31" t="s">
        <v>142</v>
      </c>
    </row>
    <row r="9" spans="1:67" ht="15" customHeight="1" x14ac:dyDescent="0.25">
      <c r="A9" s="221" t="s">
        <v>12</v>
      </c>
      <c r="B9" s="353"/>
      <c r="C9" s="73" t="s">
        <v>435</v>
      </c>
      <c r="D9" s="291">
        <v>23265</v>
      </c>
      <c r="E9" s="23">
        <v>23928</v>
      </c>
      <c r="F9" s="23">
        <v>24309</v>
      </c>
      <c r="G9" s="23">
        <v>24755</v>
      </c>
      <c r="H9" s="23">
        <v>24803</v>
      </c>
      <c r="I9" s="23">
        <v>25650</v>
      </c>
      <c r="J9" s="23">
        <v>25959</v>
      </c>
      <c r="K9" s="23">
        <v>25542</v>
      </c>
      <c r="L9" s="23">
        <v>24552</v>
      </c>
      <c r="M9" s="23">
        <v>24025</v>
      </c>
      <c r="N9" s="23">
        <v>23360</v>
      </c>
      <c r="O9" s="23">
        <v>22382</v>
      </c>
      <c r="P9" s="23">
        <v>21493</v>
      </c>
      <c r="Q9" s="23">
        <v>20120</v>
      </c>
      <c r="R9" s="23">
        <v>18146</v>
      </c>
      <c r="S9" s="149">
        <v>16522</v>
      </c>
      <c r="T9" s="149">
        <v>15362</v>
      </c>
      <c r="U9" s="237">
        <v>15007</v>
      </c>
      <c r="V9" s="237">
        <v>12719</v>
      </c>
      <c r="W9" s="237">
        <v>11969</v>
      </c>
      <c r="X9" s="237">
        <v>10255</v>
      </c>
      <c r="Y9" s="237">
        <v>8659</v>
      </c>
      <c r="Z9" s="237">
        <v>7113</v>
      </c>
      <c r="AA9" s="237">
        <v>4878</v>
      </c>
      <c r="AB9" s="237">
        <v>3452</v>
      </c>
      <c r="AC9" s="237">
        <v>1664</v>
      </c>
      <c r="AD9" s="237" t="s">
        <v>142</v>
      </c>
      <c r="AE9" s="237" t="s">
        <v>142</v>
      </c>
      <c r="AF9" s="234" t="s">
        <v>142</v>
      </c>
      <c r="AG9" s="234" t="s">
        <v>142</v>
      </c>
      <c r="AH9" s="234" t="s">
        <v>142</v>
      </c>
      <c r="AI9" s="234" t="s">
        <v>142</v>
      </c>
      <c r="AJ9" s="234" t="s">
        <v>142</v>
      </c>
      <c r="AK9" s="234" t="s">
        <v>142</v>
      </c>
      <c r="AL9" s="234" t="s">
        <v>142</v>
      </c>
      <c r="AM9" s="234" t="s">
        <v>142</v>
      </c>
      <c r="AN9" s="234" t="s">
        <v>142</v>
      </c>
      <c r="AO9" s="234" t="s">
        <v>142</v>
      </c>
      <c r="AP9" s="234" t="s">
        <v>142</v>
      </c>
      <c r="AQ9" s="234" t="s">
        <v>142</v>
      </c>
      <c r="AR9" s="234" t="s">
        <v>142</v>
      </c>
      <c r="AS9" s="234" t="s">
        <v>142</v>
      </c>
      <c r="AT9" s="234" t="s">
        <v>142</v>
      </c>
      <c r="AU9" s="234" t="s">
        <v>142</v>
      </c>
      <c r="AV9" s="234" t="s">
        <v>142</v>
      </c>
      <c r="AW9" s="234" t="s">
        <v>142</v>
      </c>
      <c r="AX9" s="234" t="s">
        <v>142</v>
      </c>
      <c r="AY9" s="234" t="s">
        <v>142</v>
      </c>
      <c r="AZ9" s="234" t="s">
        <v>142</v>
      </c>
      <c r="BA9" s="234" t="s">
        <v>142</v>
      </c>
      <c r="BB9" s="234" t="s">
        <v>142</v>
      </c>
      <c r="BC9" s="234" t="s">
        <v>142</v>
      </c>
      <c r="BD9" s="234" t="s">
        <v>142</v>
      </c>
      <c r="BE9" s="234" t="s">
        <v>142</v>
      </c>
      <c r="BF9" s="234" t="s">
        <v>142</v>
      </c>
      <c r="BG9" s="234" t="s">
        <v>142</v>
      </c>
      <c r="BH9" s="234" t="s">
        <v>142</v>
      </c>
      <c r="BI9" s="234" t="s">
        <v>142</v>
      </c>
      <c r="BJ9" s="234" t="s">
        <v>142</v>
      </c>
      <c r="BK9" s="234" t="s">
        <v>142</v>
      </c>
      <c r="BL9" s="234" t="s">
        <v>142</v>
      </c>
      <c r="BM9" s="234" t="s">
        <v>142</v>
      </c>
      <c r="BN9" s="234" t="s">
        <v>142</v>
      </c>
      <c r="BO9" s="235" t="s">
        <v>142</v>
      </c>
    </row>
    <row r="10" spans="1:67" x14ac:dyDescent="0.25">
      <c r="A10" s="221" t="s">
        <v>13</v>
      </c>
      <c r="B10" s="354" t="s">
        <v>168</v>
      </c>
      <c r="C10" s="19" t="s">
        <v>166</v>
      </c>
      <c r="D10" s="291">
        <v>77328</v>
      </c>
      <c r="E10" s="23">
        <v>82004</v>
      </c>
      <c r="F10" s="16">
        <v>88146</v>
      </c>
      <c r="G10" s="16">
        <v>91679</v>
      </c>
      <c r="H10" s="16">
        <v>93943</v>
      </c>
      <c r="I10" s="16">
        <v>92975</v>
      </c>
      <c r="J10" s="16">
        <v>88065</v>
      </c>
      <c r="K10" s="16">
        <v>81739</v>
      </c>
      <c r="L10" s="16">
        <v>73235</v>
      </c>
      <c r="M10" s="16">
        <v>63773</v>
      </c>
      <c r="N10" s="16">
        <v>53477</v>
      </c>
      <c r="O10" s="16">
        <v>44343</v>
      </c>
      <c r="P10" s="16">
        <v>33381</v>
      </c>
      <c r="Q10" s="16">
        <v>32967</v>
      </c>
      <c r="R10" s="16">
        <v>31234</v>
      </c>
      <c r="S10" s="149">
        <v>30102</v>
      </c>
      <c r="T10" s="149">
        <v>29651</v>
      </c>
      <c r="U10" s="237">
        <v>27446</v>
      </c>
      <c r="V10" s="237">
        <v>26633</v>
      </c>
      <c r="W10" s="237">
        <v>23389</v>
      </c>
      <c r="X10" s="237">
        <v>20512</v>
      </c>
      <c r="Y10" s="237">
        <v>19017</v>
      </c>
      <c r="Z10" s="237">
        <v>19238</v>
      </c>
      <c r="AA10" s="237">
        <v>17587</v>
      </c>
      <c r="AB10" s="237">
        <v>17726</v>
      </c>
      <c r="AC10" s="237">
        <v>18043</v>
      </c>
      <c r="AD10" s="237">
        <v>15318</v>
      </c>
      <c r="AE10" s="237">
        <v>18580</v>
      </c>
      <c r="AF10" s="153">
        <v>18889</v>
      </c>
      <c r="AG10" s="153">
        <v>20650</v>
      </c>
      <c r="AH10" s="153">
        <v>20831</v>
      </c>
      <c r="AI10" s="153">
        <v>21870</v>
      </c>
      <c r="AJ10" s="153">
        <v>21397</v>
      </c>
      <c r="AK10" s="153">
        <v>23081</v>
      </c>
      <c r="AL10" s="153">
        <v>21778</v>
      </c>
      <c r="AM10" s="153">
        <v>19309</v>
      </c>
      <c r="AN10" s="153">
        <v>18750</v>
      </c>
      <c r="AO10" s="153">
        <v>17940</v>
      </c>
      <c r="AP10" s="153">
        <v>18120</v>
      </c>
      <c r="AQ10" s="153">
        <v>13553</v>
      </c>
      <c r="AR10" s="153">
        <v>12422</v>
      </c>
      <c r="AS10" s="153">
        <v>13237</v>
      </c>
      <c r="AT10" s="153">
        <v>12898</v>
      </c>
      <c r="AU10" s="153">
        <v>12884</v>
      </c>
      <c r="AV10" s="153">
        <v>12796</v>
      </c>
      <c r="AW10" s="153">
        <v>12965</v>
      </c>
      <c r="AX10" s="153">
        <v>12472</v>
      </c>
      <c r="AY10" s="153">
        <v>12724</v>
      </c>
      <c r="AZ10" s="153">
        <v>13441</v>
      </c>
      <c r="BA10" s="153">
        <v>13926</v>
      </c>
      <c r="BB10" s="153">
        <v>12786</v>
      </c>
      <c r="BC10" s="153">
        <v>12031</v>
      </c>
      <c r="BD10" s="153">
        <v>11260</v>
      </c>
      <c r="BE10" s="153">
        <v>10900</v>
      </c>
      <c r="BF10" s="153">
        <v>9304</v>
      </c>
      <c r="BG10" s="153">
        <v>7379</v>
      </c>
      <c r="BH10" s="153">
        <v>8389</v>
      </c>
      <c r="BI10" s="153">
        <v>8951</v>
      </c>
      <c r="BJ10" s="153">
        <v>9706</v>
      </c>
      <c r="BK10" s="153">
        <v>8526</v>
      </c>
      <c r="BL10" s="153">
        <v>6554</v>
      </c>
      <c r="BM10" s="153">
        <v>5112</v>
      </c>
      <c r="BN10" s="153">
        <v>4373</v>
      </c>
      <c r="BO10" s="184">
        <v>5686</v>
      </c>
    </row>
    <row r="11" spans="1:67" x14ac:dyDescent="0.25">
      <c r="A11" s="221" t="s">
        <v>330</v>
      </c>
      <c r="B11" s="353"/>
      <c r="C11" s="72" t="s">
        <v>432</v>
      </c>
      <c r="D11" s="290">
        <v>41091</v>
      </c>
      <c r="E11" s="23">
        <v>43572</v>
      </c>
      <c r="F11" s="16">
        <v>48288</v>
      </c>
      <c r="G11" s="16">
        <v>50881</v>
      </c>
      <c r="H11" s="16">
        <v>52388</v>
      </c>
      <c r="I11" s="16">
        <v>51906</v>
      </c>
      <c r="J11" s="16">
        <v>49260</v>
      </c>
      <c r="K11" s="16">
        <v>45325</v>
      </c>
      <c r="L11" s="16">
        <v>39129</v>
      </c>
      <c r="M11" s="16">
        <v>32980</v>
      </c>
      <c r="N11" s="16">
        <v>25088</v>
      </c>
      <c r="O11" s="16">
        <v>18269</v>
      </c>
      <c r="P11" s="16">
        <v>11967</v>
      </c>
      <c r="Q11" s="16">
        <v>8575</v>
      </c>
      <c r="R11" s="16">
        <v>8012</v>
      </c>
      <c r="S11" s="149">
        <v>7830</v>
      </c>
      <c r="T11" s="149">
        <v>8251</v>
      </c>
      <c r="U11" s="237">
        <v>7653</v>
      </c>
      <c r="V11" s="237">
        <v>8076</v>
      </c>
      <c r="W11" s="237">
        <v>7152</v>
      </c>
      <c r="X11" s="237">
        <v>5023</v>
      </c>
      <c r="Y11" s="237">
        <v>3764</v>
      </c>
      <c r="Z11" s="237">
        <v>2095</v>
      </c>
      <c r="AA11" s="237">
        <v>1491</v>
      </c>
      <c r="AB11" s="343">
        <v>17726</v>
      </c>
      <c r="AC11" s="355">
        <v>18043</v>
      </c>
      <c r="AD11" s="355">
        <v>15318</v>
      </c>
      <c r="AE11" s="355">
        <v>18580</v>
      </c>
      <c r="AF11" s="156" t="s">
        <v>142</v>
      </c>
      <c r="AG11" s="156" t="s">
        <v>142</v>
      </c>
      <c r="AH11" s="156" t="s">
        <v>142</v>
      </c>
      <c r="AI11" s="156" t="s">
        <v>142</v>
      </c>
      <c r="AJ11" s="156" t="s">
        <v>142</v>
      </c>
      <c r="AK11" s="156" t="s">
        <v>142</v>
      </c>
      <c r="AL11" s="156" t="s">
        <v>142</v>
      </c>
      <c r="AM11" s="156" t="s">
        <v>142</v>
      </c>
      <c r="AN11" s="156" t="s">
        <v>142</v>
      </c>
      <c r="AO11" s="156" t="s">
        <v>142</v>
      </c>
      <c r="AP11" s="156" t="s">
        <v>142</v>
      </c>
      <c r="AQ11" s="156" t="s">
        <v>142</v>
      </c>
      <c r="AR11" s="156" t="s">
        <v>142</v>
      </c>
      <c r="AS11" s="156" t="s">
        <v>142</v>
      </c>
      <c r="AT11" s="156" t="s">
        <v>142</v>
      </c>
      <c r="AU11" s="156" t="s">
        <v>142</v>
      </c>
      <c r="AV11" s="156" t="s">
        <v>142</v>
      </c>
      <c r="AW11" s="156" t="s">
        <v>142</v>
      </c>
      <c r="AX11" s="156" t="s">
        <v>142</v>
      </c>
      <c r="AY11" s="156" t="s">
        <v>142</v>
      </c>
      <c r="AZ11" s="156" t="s">
        <v>142</v>
      </c>
      <c r="BA11" s="156" t="s">
        <v>142</v>
      </c>
      <c r="BB11" s="156" t="s">
        <v>142</v>
      </c>
      <c r="BC11" s="156" t="s">
        <v>142</v>
      </c>
      <c r="BD11" s="156" t="s">
        <v>142</v>
      </c>
      <c r="BE11" s="156" t="s">
        <v>142</v>
      </c>
      <c r="BF11" s="156" t="s">
        <v>142</v>
      </c>
      <c r="BG11" s="156" t="s">
        <v>142</v>
      </c>
      <c r="BH11" s="156" t="s">
        <v>142</v>
      </c>
      <c r="BI11" s="156" t="s">
        <v>142</v>
      </c>
      <c r="BJ11" s="156" t="s">
        <v>142</v>
      </c>
      <c r="BK11" s="156" t="s">
        <v>142</v>
      </c>
      <c r="BL11" s="156" t="s">
        <v>142</v>
      </c>
      <c r="BM11" s="156" t="s">
        <v>142</v>
      </c>
      <c r="BN11" s="156" t="s">
        <v>142</v>
      </c>
      <c r="BO11" s="31" t="s">
        <v>142</v>
      </c>
    </row>
    <row r="12" spans="1:67" x14ac:dyDescent="0.25">
      <c r="A12" s="221" t="s">
        <v>331</v>
      </c>
      <c r="B12" s="353"/>
      <c r="C12" s="72" t="s">
        <v>433</v>
      </c>
      <c r="D12" s="283">
        <v>4897</v>
      </c>
      <c r="E12" s="23">
        <v>4998</v>
      </c>
      <c r="F12" s="16">
        <v>5369</v>
      </c>
      <c r="G12" s="16">
        <v>5740</v>
      </c>
      <c r="H12" s="16">
        <v>7166</v>
      </c>
      <c r="I12" s="16">
        <v>8113</v>
      </c>
      <c r="J12" s="16">
        <v>9673</v>
      </c>
      <c r="K12" s="16">
        <v>11713</v>
      </c>
      <c r="L12" s="16">
        <v>15766</v>
      </c>
      <c r="M12" s="16">
        <v>17903</v>
      </c>
      <c r="N12" s="16">
        <v>19402</v>
      </c>
      <c r="O12" s="16">
        <v>19061</v>
      </c>
      <c r="P12" s="16">
        <v>19971</v>
      </c>
      <c r="Q12" s="16">
        <v>18716</v>
      </c>
      <c r="R12" s="149">
        <v>17996</v>
      </c>
      <c r="S12" s="149">
        <v>17418</v>
      </c>
      <c r="T12" s="149">
        <v>17053</v>
      </c>
      <c r="U12" s="343">
        <v>19034</v>
      </c>
      <c r="V12" s="343">
        <v>17884</v>
      </c>
      <c r="W12" s="343">
        <v>15782</v>
      </c>
      <c r="X12" s="343">
        <v>15156</v>
      </c>
      <c r="Y12" s="343">
        <v>15037</v>
      </c>
      <c r="Z12" s="343">
        <v>17034</v>
      </c>
      <c r="AA12" s="343">
        <v>16022</v>
      </c>
      <c r="AB12" s="343"/>
      <c r="AC12" s="355"/>
      <c r="AD12" s="355"/>
      <c r="AE12" s="355"/>
      <c r="AF12" s="156" t="s">
        <v>142</v>
      </c>
      <c r="AG12" s="156" t="s">
        <v>142</v>
      </c>
      <c r="AH12" s="156" t="s">
        <v>142</v>
      </c>
      <c r="AI12" s="156" t="s">
        <v>142</v>
      </c>
      <c r="AJ12" s="156" t="s">
        <v>142</v>
      </c>
      <c r="AK12" s="156" t="s">
        <v>142</v>
      </c>
      <c r="AL12" s="156" t="s">
        <v>142</v>
      </c>
      <c r="AM12" s="156" t="s">
        <v>142</v>
      </c>
      <c r="AN12" s="156" t="s">
        <v>142</v>
      </c>
      <c r="AO12" s="156" t="s">
        <v>142</v>
      </c>
      <c r="AP12" s="156" t="s">
        <v>142</v>
      </c>
      <c r="AQ12" s="156" t="s">
        <v>142</v>
      </c>
      <c r="AR12" s="156" t="s">
        <v>142</v>
      </c>
      <c r="AS12" s="156" t="s">
        <v>142</v>
      </c>
      <c r="AT12" s="156" t="s">
        <v>142</v>
      </c>
      <c r="AU12" s="156" t="s">
        <v>142</v>
      </c>
      <c r="AV12" s="156" t="s">
        <v>142</v>
      </c>
      <c r="AW12" s="156" t="s">
        <v>142</v>
      </c>
      <c r="AX12" s="156" t="s">
        <v>142</v>
      </c>
      <c r="AY12" s="156" t="s">
        <v>142</v>
      </c>
      <c r="AZ12" s="156" t="s">
        <v>142</v>
      </c>
      <c r="BA12" s="156" t="s">
        <v>142</v>
      </c>
      <c r="BB12" s="156" t="s">
        <v>142</v>
      </c>
      <c r="BC12" s="156" t="s">
        <v>142</v>
      </c>
      <c r="BD12" s="156" t="s">
        <v>142</v>
      </c>
      <c r="BE12" s="156" t="s">
        <v>142</v>
      </c>
      <c r="BF12" s="156" t="s">
        <v>142</v>
      </c>
      <c r="BG12" s="156" t="s">
        <v>142</v>
      </c>
      <c r="BH12" s="156" t="s">
        <v>142</v>
      </c>
      <c r="BI12" s="156" t="s">
        <v>142</v>
      </c>
      <c r="BJ12" s="156" t="s">
        <v>142</v>
      </c>
      <c r="BK12" s="156" t="s">
        <v>142</v>
      </c>
      <c r="BL12" s="156" t="s">
        <v>142</v>
      </c>
      <c r="BM12" s="156" t="s">
        <v>142</v>
      </c>
      <c r="BN12" s="156" t="s">
        <v>142</v>
      </c>
      <c r="BO12" s="31" t="s">
        <v>142</v>
      </c>
    </row>
    <row r="13" spans="1:67" x14ac:dyDescent="0.25">
      <c r="A13" s="221" t="s">
        <v>332</v>
      </c>
      <c r="B13" s="353"/>
      <c r="C13" s="72" t="s">
        <v>434</v>
      </c>
      <c r="D13" s="290">
        <v>29137</v>
      </c>
      <c r="E13" s="23">
        <v>31171</v>
      </c>
      <c r="F13" s="16">
        <v>32186</v>
      </c>
      <c r="G13" s="16">
        <v>32684</v>
      </c>
      <c r="H13" s="16">
        <v>31855</v>
      </c>
      <c r="I13" s="16">
        <v>30654</v>
      </c>
      <c r="J13" s="16">
        <v>27090</v>
      </c>
      <c r="K13" s="16">
        <v>22481</v>
      </c>
      <c r="L13" s="16">
        <v>16090</v>
      </c>
      <c r="M13" s="16">
        <v>10751</v>
      </c>
      <c r="N13" s="16">
        <v>7093</v>
      </c>
      <c r="O13" s="16">
        <v>5162</v>
      </c>
      <c r="P13" s="16">
        <v>4749</v>
      </c>
      <c r="Q13" s="16">
        <v>4207</v>
      </c>
      <c r="R13" s="16">
        <v>3918</v>
      </c>
      <c r="S13" s="149">
        <v>3804</v>
      </c>
      <c r="T13" s="149">
        <v>3474</v>
      </c>
      <c r="U13" s="343"/>
      <c r="V13" s="343"/>
      <c r="W13" s="343"/>
      <c r="X13" s="343"/>
      <c r="Y13" s="343"/>
      <c r="Z13" s="343"/>
      <c r="AA13" s="343"/>
      <c r="AB13" s="343"/>
      <c r="AC13" s="355"/>
      <c r="AD13" s="355"/>
      <c r="AE13" s="355"/>
      <c r="AF13" s="156" t="s">
        <v>142</v>
      </c>
      <c r="AG13" s="156" t="s">
        <v>142</v>
      </c>
      <c r="AH13" s="156" t="s">
        <v>142</v>
      </c>
      <c r="AI13" s="156" t="s">
        <v>142</v>
      </c>
      <c r="AJ13" s="156" t="s">
        <v>142</v>
      </c>
      <c r="AK13" s="156" t="s">
        <v>142</v>
      </c>
      <c r="AL13" s="156" t="s">
        <v>142</v>
      </c>
      <c r="AM13" s="156" t="s">
        <v>142</v>
      </c>
      <c r="AN13" s="156" t="s">
        <v>142</v>
      </c>
      <c r="AO13" s="156" t="s">
        <v>142</v>
      </c>
      <c r="AP13" s="156" t="s">
        <v>142</v>
      </c>
      <c r="AQ13" s="156" t="s">
        <v>142</v>
      </c>
      <c r="AR13" s="156" t="s">
        <v>142</v>
      </c>
      <c r="AS13" s="156" t="s">
        <v>142</v>
      </c>
      <c r="AT13" s="156" t="s">
        <v>142</v>
      </c>
      <c r="AU13" s="156" t="s">
        <v>142</v>
      </c>
      <c r="AV13" s="156" t="s">
        <v>142</v>
      </c>
      <c r="AW13" s="156" t="s">
        <v>142</v>
      </c>
      <c r="AX13" s="156" t="s">
        <v>142</v>
      </c>
      <c r="AY13" s="156" t="s">
        <v>142</v>
      </c>
      <c r="AZ13" s="156" t="s">
        <v>142</v>
      </c>
      <c r="BA13" s="156" t="s">
        <v>142</v>
      </c>
      <c r="BB13" s="156" t="s">
        <v>142</v>
      </c>
      <c r="BC13" s="156" t="s">
        <v>142</v>
      </c>
      <c r="BD13" s="156" t="s">
        <v>142</v>
      </c>
      <c r="BE13" s="156" t="s">
        <v>142</v>
      </c>
      <c r="BF13" s="156" t="s">
        <v>142</v>
      </c>
      <c r="BG13" s="156" t="s">
        <v>142</v>
      </c>
      <c r="BH13" s="156" t="s">
        <v>142</v>
      </c>
      <c r="BI13" s="156" t="s">
        <v>142</v>
      </c>
      <c r="BJ13" s="156" t="s">
        <v>142</v>
      </c>
      <c r="BK13" s="156" t="s">
        <v>142</v>
      </c>
      <c r="BL13" s="156" t="s">
        <v>142</v>
      </c>
      <c r="BM13" s="156" t="s">
        <v>142</v>
      </c>
      <c r="BN13" s="156" t="s">
        <v>142</v>
      </c>
      <c r="BO13" s="31" t="s">
        <v>142</v>
      </c>
    </row>
    <row r="14" spans="1:67" x14ac:dyDescent="0.25">
      <c r="A14" s="221" t="s">
        <v>17</v>
      </c>
      <c r="B14" s="353"/>
      <c r="C14" s="72" t="s">
        <v>435</v>
      </c>
      <c r="D14" s="283">
        <v>2335</v>
      </c>
      <c r="E14" s="23">
        <v>2405</v>
      </c>
      <c r="F14" s="16">
        <v>2449</v>
      </c>
      <c r="G14" s="16">
        <v>2392</v>
      </c>
      <c r="H14" s="16">
        <v>2663</v>
      </c>
      <c r="I14" s="16">
        <v>2439</v>
      </c>
      <c r="J14" s="16">
        <v>2222</v>
      </c>
      <c r="K14" s="16">
        <v>2375</v>
      </c>
      <c r="L14" s="16">
        <v>2248</v>
      </c>
      <c r="M14" s="16">
        <v>2267</v>
      </c>
      <c r="N14" s="16">
        <v>2079</v>
      </c>
      <c r="O14" s="16">
        <v>1962</v>
      </c>
      <c r="P14" s="16">
        <v>1773</v>
      </c>
      <c r="Q14" s="16">
        <v>1533</v>
      </c>
      <c r="R14" s="16">
        <v>1356</v>
      </c>
      <c r="S14" s="149">
        <v>1097</v>
      </c>
      <c r="T14" s="149">
        <v>873</v>
      </c>
      <c r="U14" s="149">
        <v>759</v>
      </c>
      <c r="V14" s="149">
        <v>673</v>
      </c>
      <c r="W14" s="149">
        <v>455</v>
      </c>
      <c r="X14" s="149">
        <v>333</v>
      </c>
      <c r="Y14" s="149">
        <v>216</v>
      </c>
      <c r="Z14" s="149">
        <v>109</v>
      </c>
      <c r="AA14" s="149">
        <v>74</v>
      </c>
      <c r="AB14" s="233" t="s">
        <v>142</v>
      </c>
      <c r="AC14" s="233" t="s">
        <v>142</v>
      </c>
      <c r="AD14" s="233" t="s">
        <v>142</v>
      </c>
      <c r="AE14" s="233" t="s">
        <v>142</v>
      </c>
      <c r="AF14" s="233" t="s">
        <v>142</v>
      </c>
      <c r="AG14" s="233" t="s">
        <v>142</v>
      </c>
      <c r="AH14" s="233" t="s">
        <v>142</v>
      </c>
      <c r="AI14" s="233" t="s">
        <v>142</v>
      </c>
      <c r="AJ14" s="233" t="s">
        <v>142</v>
      </c>
      <c r="AK14" s="233" t="s">
        <v>142</v>
      </c>
      <c r="AL14" s="233" t="s">
        <v>142</v>
      </c>
      <c r="AM14" s="233" t="s">
        <v>142</v>
      </c>
      <c r="AN14" s="233" t="s">
        <v>142</v>
      </c>
      <c r="AO14" s="233" t="s">
        <v>142</v>
      </c>
      <c r="AP14" s="233" t="s">
        <v>142</v>
      </c>
      <c r="AQ14" s="233" t="s">
        <v>142</v>
      </c>
      <c r="AR14" s="233" t="s">
        <v>142</v>
      </c>
      <c r="AS14" s="233" t="s">
        <v>142</v>
      </c>
      <c r="AT14" s="233" t="s">
        <v>142</v>
      </c>
      <c r="AU14" s="233" t="s">
        <v>142</v>
      </c>
      <c r="AV14" s="233" t="s">
        <v>142</v>
      </c>
      <c r="AW14" s="233" t="s">
        <v>142</v>
      </c>
      <c r="AX14" s="233" t="s">
        <v>142</v>
      </c>
      <c r="AY14" s="233" t="s">
        <v>142</v>
      </c>
      <c r="AZ14" s="233" t="s">
        <v>142</v>
      </c>
      <c r="BA14" s="233" t="s">
        <v>142</v>
      </c>
      <c r="BB14" s="233" t="s">
        <v>142</v>
      </c>
      <c r="BC14" s="233" t="s">
        <v>142</v>
      </c>
      <c r="BD14" s="233" t="s">
        <v>142</v>
      </c>
      <c r="BE14" s="233" t="s">
        <v>142</v>
      </c>
      <c r="BF14" s="233" t="s">
        <v>142</v>
      </c>
      <c r="BG14" s="233" t="s">
        <v>142</v>
      </c>
      <c r="BH14" s="233" t="s">
        <v>142</v>
      </c>
      <c r="BI14" s="233" t="s">
        <v>142</v>
      </c>
      <c r="BJ14" s="233" t="s">
        <v>142</v>
      </c>
      <c r="BK14" s="233" t="s">
        <v>142</v>
      </c>
      <c r="BL14" s="233" t="s">
        <v>142</v>
      </c>
      <c r="BM14" s="233" t="s">
        <v>142</v>
      </c>
      <c r="BN14" s="233" t="s">
        <v>142</v>
      </c>
      <c r="BO14" s="236" t="s">
        <v>142</v>
      </c>
    </row>
    <row r="15" spans="1:67" ht="33.75" customHeight="1" x14ac:dyDescent="0.25">
      <c r="A15" s="35" t="s">
        <v>18</v>
      </c>
      <c r="B15" s="347" t="s">
        <v>25</v>
      </c>
      <c r="C15" s="348"/>
      <c r="D15" s="303">
        <v>0.35274271844660099</v>
      </c>
      <c r="E15" s="176">
        <v>0.37265986176591753</v>
      </c>
      <c r="F15" s="74">
        <v>0.3896</v>
      </c>
      <c r="G15" s="21">
        <f>19285/51141</f>
        <v>0.37709469896951564</v>
      </c>
      <c r="H15" s="55">
        <f>19447/52524</f>
        <v>0.37024979057192903</v>
      </c>
      <c r="I15" s="55">
        <f>18053/52056</f>
        <v>0.34679960043030583</v>
      </c>
      <c r="J15" s="21">
        <f>15748/49343</f>
        <v>0.31915367934661454</v>
      </c>
      <c r="K15" s="21">
        <f>12330/45392</f>
        <v>0.27163376806485723</v>
      </c>
      <c r="L15" s="21">
        <f>10494/39186</f>
        <v>0.26779972439136424</v>
      </c>
      <c r="M15" s="55">
        <v>0.2732</v>
      </c>
      <c r="N15" s="55">
        <v>0.30680000000000002</v>
      </c>
      <c r="O15" s="55">
        <v>0.36830000000000002</v>
      </c>
      <c r="P15" s="55">
        <v>0.39350000000000002</v>
      </c>
      <c r="Q15" s="55">
        <v>0.4229</v>
      </c>
      <c r="R15" s="55">
        <v>0.38600000000000001</v>
      </c>
      <c r="S15" s="178" t="s">
        <v>142</v>
      </c>
      <c r="T15" s="178" t="s">
        <v>142</v>
      </c>
      <c r="U15" s="178" t="s">
        <v>142</v>
      </c>
      <c r="V15" s="178" t="s">
        <v>142</v>
      </c>
      <c r="W15" s="178" t="s">
        <v>142</v>
      </c>
      <c r="X15" s="178" t="s">
        <v>142</v>
      </c>
      <c r="Y15" s="178" t="s">
        <v>142</v>
      </c>
      <c r="Z15" s="178" t="s">
        <v>142</v>
      </c>
      <c r="AA15" s="178" t="s">
        <v>142</v>
      </c>
      <c r="AB15" s="178" t="s">
        <v>142</v>
      </c>
      <c r="AC15" s="178" t="s">
        <v>142</v>
      </c>
      <c r="AD15" s="178" t="s">
        <v>142</v>
      </c>
      <c r="AE15" s="178" t="s">
        <v>142</v>
      </c>
      <c r="AF15" s="178" t="s">
        <v>142</v>
      </c>
      <c r="AG15" s="178" t="s">
        <v>142</v>
      </c>
      <c r="AH15" s="178" t="s">
        <v>142</v>
      </c>
      <c r="AI15" s="178" t="s">
        <v>142</v>
      </c>
      <c r="AJ15" s="178" t="s">
        <v>142</v>
      </c>
      <c r="AK15" s="178" t="s">
        <v>142</v>
      </c>
      <c r="AL15" s="178" t="s">
        <v>142</v>
      </c>
      <c r="AM15" s="178" t="s">
        <v>142</v>
      </c>
      <c r="AN15" s="178" t="s">
        <v>142</v>
      </c>
      <c r="AO15" s="178" t="s">
        <v>142</v>
      </c>
      <c r="AP15" s="178" t="s">
        <v>142</v>
      </c>
      <c r="AQ15" s="178" t="s">
        <v>142</v>
      </c>
      <c r="AR15" s="178" t="s">
        <v>142</v>
      </c>
      <c r="AS15" s="178" t="s">
        <v>142</v>
      </c>
      <c r="AT15" s="178" t="s">
        <v>142</v>
      </c>
      <c r="AU15" s="178" t="s">
        <v>142</v>
      </c>
      <c r="AV15" s="178" t="s">
        <v>142</v>
      </c>
      <c r="AW15" s="178" t="s">
        <v>142</v>
      </c>
      <c r="AX15" s="178" t="s">
        <v>142</v>
      </c>
      <c r="AY15" s="178" t="s">
        <v>142</v>
      </c>
      <c r="AZ15" s="178" t="s">
        <v>142</v>
      </c>
      <c r="BA15" s="178" t="s">
        <v>142</v>
      </c>
      <c r="BB15" s="178" t="s">
        <v>142</v>
      </c>
      <c r="BC15" s="178" t="s">
        <v>142</v>
      </c>
      <c r="BD15" s="178" t="s">
        <v>142</v>
      </c>
      <c r="BE15" s="178" t="s">
        <v>142</v>
      </c>
      <c r="BF15" s="178" t="s">
        <v>142</v>
      </c>
      <c r="BG15" s="178" t="s">
        <v>142</v>
      </c>
      <c r="BH15" s="178" t="s">
        <v>142</v>
      </c>
      <c r="BI15" s="178" t="s">
        <v>142</v>
      </c>
      <c r="BJ15" s="178" t="s">
        <v>142</v>
      </c>
      <c r="BK15" s="178" t="s">
        <v>142</v>
      </c>
      <c r="BL15" s="178" t="s">
        <v>142</v>
      </c>
      <c r="BM15" s="178" t="s">
        <v>142</v>
      </c>
      <c r="BN15" s="178" t="s">
        <v>142</v>
      </c>
      <c r="BO15" s="183" t="s">
        <v>142</v>
      </c>
    </row>
    <row r="16" spans="1:67" ht="49.5" customHeight="1" x14ac:dyDescent="0.25">
      <c r="A16" s="35" t="s">
        <v>86</v>
      </c>
      <c r="B16" s="347" t="s">
        <v>88</v>
      </c>
      <c r="C16" s="348"/>
      <c r="D16" s="303">
        <v>0.26157867224255099</v>
      </c>
      <c r="E16" s="176">
        <v>0.2425997259636514</v>
      </c>
      <c r="F16" s="74">
        <v>0.23519999999999999</v>
      </c>
      <c r="G16" s="21">
        <f>9911/42360</f>
        <v>0.23397072710103872</v>
      </c>
      <c r="H16" s="55">
        <v>0.23949999999999999</v>
      </c>
      <c r="I16" s="55">
        <f>10623/44809</f>
        <v>0.23707290946015308</v>
      </c>
      <c r="J16" s="55">
        <v>0.23130000000000001</v>
      </c>
      <c r="K16" s="55">
        <v>0.22420000000000001</v>
      </c>
      <c r="L16" s="55">
        <v>0.21229999999999999</v>
      </c>
      <c r="M16" s="55">
        <v>0.21149999999999999</v>
      </c>
      <c r="N16" s="55">
        <v>0.22239999999999999</v>
      </c>
      <c r="O16" s="55">
        <v>0.2465</v>
      </c>
      <c r="P16" s="55">
        <v>0.31390000000000001</v>
      </c>
      <c r="Q16" s="55">
        <v>0.39979999999999999</v>
      </c>
      <c r="R16" s="55">
        <v>0.34949999999999998</v>
      </c>
      <c r="S16" s="178" t="s">
        <v>142</v>
      </c>
      <c r="T16" s="178" t="s">
        <v>142</v>
      </c>
      <c r="U16" s="178" t="s">
        <v>142</v>
      </c>
      <c r="V16" s="178" t="s">
        <v>142</v>
      </c>
      <c r="W16" s="178" t="s">
        <v>142</v>
      </c>
      <c r="X16" s="178" t="s">
        <v>142</v>
      </c>
      <c r="Y16" s="178" t="s">
        <v>142</v>
      </c>
      <c r="Z16" s="178" t="s">
        <v>142</v>
      </c>
      <c r="AA16" s="178" t="s">
        <v>142</v>
      </c>
      <c r="AB16" s="178" t="s">
        <v>142</v>
      </c>
      <c r="AC16" s="178" t="s">
        <v>142</v>
      </c>
      <c r="AD16" s="178" t="s">
        <v>142</v>
      </c>
      <c r="AE16" s="178" t="s">
        <v>142</v>
      </c>
      <c r="AF16" s="178" t="s">
        <v>142</v>
      </c>
      <c r="AG16" s="178" t="s">
        <v>142</v>
      </c>
      <c r="AH16" s="178" t="s">
        <v>142</v>
      </c>
      <c r="AI16" s="178" t="s">
        <v>142</v>
      </c>
      <c r="AJ16" s="178" t="s">
        <v>142</v>
      </c>
      <c r="AK16" s="178" t="s">
        <v>142</v>
      </c>
      <c r="AL16" s="178" t="s">
        <v>142</v>
      </c>
      <c r="AM16" s="178" t="s">
        <v>142</v>
      </c>
      <c r="AN16" s="178" t="s">
        <v>142</v>
      </c>
      <c r="AO16" s="178" t="s">
        <v>142</v>
      </c>
      <c r="AP16" s="178" t="s">
        <v>142</v>
      </c>
      <c r="AQ16" s="178" t="s">
        <v>142</v>
      </c>
      <c r="AR16" s="178" t="s">
        <v>142</v>
      </c>
      <c r="AS16" s="178" t="s">
        <v>142</v>
      </c>
      <c r="AT16" s="178" t="s">
        <v>142</v>
      </c>
      <c r="AU16" s="178" t="s">
        <v>142</v>
      </c>
      <c r="AV16" s="178" t="s">
        <v>142</v>
      </c>
      <c r="AW16" s="178" t="s">
        <v>142</v>
      </c>
      <c r="AX16" s="178" t="s">
        <v>142</v>
      </c>
      <c r="AY16" s="178" t="s">
        <v>142</v>
      </c>
      <c r="AZ16" s="178" t="s">
        <v>142</v>
      </c>
      <c r="BA16" s="178" t="s">
        <v>142</v>
      </c>
      <c r="BB16" s="178" t="s">
        <v>142</v>
      </c>
      <c r="BC16" s="178" t="s">
        <v>142</v>
      </c>
      <c r="BD16" s="178" t="s">
        <v>142</v>
      </c>
      <c r="BE16" s="178" t="s">
        <v>142</v>
      </c>
      <c r="BF16" s="178" t="s">
        <v>142</v>
      </c>
      <c r="BG16" s="178" t="s">
        <v>142</v>
      </c>
      <c r="BH16" s="178" t="s">
        <v>142</v>
      </c>
      <c r="BI16" s="178" t="s">
        <v>142</v>
      </c>
      <c r="BJ16" s="178" t="s">
        <v>142</v>
      </c>
      <c r="BK16" s="178" t="s">
        <v>142</v>
      </c>
      <c r="BL16" s="178" t="s">
        <v>142</v>
      </c>
      <c r="BM16" s="178" t="s">
        <v>142</v>
      </c>
      <c r="BN16" s="178" t="s">
        <v>142</v>
      </c>
      <c r="BO16" s="183" t="s">
        <v>142</v>
      </c>
    </row>
    <row r="17" spans="1:67" ht="48.75" customHeight="1" thickBot="1" x14ac:dyDescent="0.3">
      <c r="A17" s="39" t="s">
        <v>87</v>
      </c>
      <c r="B17" s="349" t="s">
        <v>89</v>
      </c>
      <c r="C17" s="350"/>
      <c r="D17" s="304">
        <v>0.28401191658391201</v>
      </c>
      <c r="E17" s="75">
        <v>0.28421454476045049</v>
      </c>
      <c r="F17" s="75">
        <v>0.27010000000000001</v>
      </c>
      <c r="G17" s="61">
        <f>1486/5552</f>
        <v>0.26765129682997119</v>
      </c>
      <c r="H17" s="60">
        <f>1387/5556</f>
        <v>0.24964002879769617</v>
      </c>
      <c r="I17" s="60">
        <f>1540/5626</f>
        <v>0.27372911482403128</v>
      </c>
      <c r="J17" s="60">
        <v>0.25269999999999998</v>
      </c>
      <c r="K17" s="60">
        <v>0.2797</v>
      </c>
      <c r="L17" s="60">
        <v>0.30840000000000001</v>
      </c>
      <c r="M17" s="60">
        <v>0.30790000000000001</v>
      </c>
      <c r="N17" s="60">
        <v>0.318</v>
      </c>
      <c r="O17" s="60">
        <v>0.31850000000000001</v>
      </c>
      <c r="P17" s="60">
        <v>0.31990000000000002</v>
      </c>
      <c r="Q17" s="60">
        <v>0.30009999999999998</v>
      </c>
      <c r="R17" s="60">
        <v>0.32819999999999999</v>
      </c>
      <c r="S17" s="185" t="s">
        <v>142</v>
      </c>
      <c r="T17" s="185" t="s">
        <v>142</v>
      </c>
      <c r="U17" s="185" t="s">
        <v>142</v>
      </c>
      <c r="V17" s="185" t="s">
        <v>142</v>
      </c>
      <c r="W17" s="185" t="s">
        <v>142</v>
      </c>
      <c r="X17" s="185" t="s">
        <v>142</v>
      </c>
      <c r="Y17" s="185" t="s">
        <v>142</v>
      </c>
      <c r="Z17" s="185" t="s">
        <v>142</v>
      </c>
      <c r="AA17" s="185" t="s">
        <v>142</v>
      </c>
      <c r="AB17" s="185" t="s">
        <v>142</v>
      </c>
      <c r="AC17" s="185" t="s">
        <v>142</v>
      </c>
      <c r="AD17" s="185" t="s">
        <v>142</v>
      </c>
      <c r="AE17" s="185" t="s">
        <v>142</v>
      </c>
      <c r="AF17" s="185" t="s">
        <v>142</v>
      </c>
      <c r="AG17" s="185" t="s">
        <v>142</v>
      </c>
      <c r="AH17" s="185" t="s">
        <v>142</v>
      </c>
      <c r="AI17" s="185" t="s">
        <v>142</v>
      </c>
      <c r="AJ17" s="185" t="s">
        <v>142</v>
      </c>
      <c r="AK17" s="185" t="s">
        <v>142</v>
      </c>
      <c r="AL17" s="185" t="s">
        <v>142</v>
      </c>
      <c r="AM17" s="185" t="s">
        <v>142</v>
      </c>
      <c r="AN17" s="185" t="s">
        <v>142</v>
      </c>
      <c r="AO17" s="185" t="s">
        <v>142</v>
      </c>
      <c r="AP17" s="185" t="s">
        <v>142</v>
      </c>
      <c r="AQ17" s="185" t="s">
        <v>142</v>
      </c>
      <c r="AR17" s="185" t="s">
        <v>142</v>
      </c>
      <c r="AS17" s="185" t="s">
        <v>142</v>
      </c>
      <c r="AT17" s="185" t="s">
        <v>142</v>
      </c>
      <c r="AU17" s="185" t="s">
        <v>142</v>
      </c>
      <c r="AV17" s="185" t="s">
        <v>142</v>
      </c>
      <c r="AW17" s="185" t="s">
        <v>142</v>
      </c>
      <c r="AX17" s="185" t="s">
        <v>142</v>
      </c>
      <c r="AY17" s="185" t="s">
        <v>142</v>
      </c>
      <c r="AZ17" s="185" t="s">
        <v>142</v>
      </c>
      <c r="BA17" s="185" t="s">
        <v>142</v>
      </c>
      <c r="BB17" s="185" t="s">
        <v>142</v>
      </c>
      <c r="BC17" s="185" t="s">
        <v>142</v>
      </c>
      <c r="BD17" s="185" t="s">
        <v>142</v>
      </c>
      <c r="BE17" s="185" t="s">
        <v>142</v>
      </c>
      <c r="BF17" s="185" t="s">
        <v>142</v>
      </c>
      <c r="BG17" s="185" t="s">
        <v>142</v>
      </c>
      <c r="BH17" s="185" t="s">
        <v>142</v>
      </c>
      <c r="BI17" s="185" t="s">
        <v>142</v>
      </c>
      <c r="BJ17" s="185" t="s">
        <v>142</v>
      </c>
      <c r="BK17" s="185" t="s">
        <v>142</v>
      </c>
      <c r="BL17" s="185" t="s">
        <v>142</v>
      </c>
      <c r="BM17" s="185" t="s">
        <v>142</v>
      </c>
      <c r="BN17" s="185" t="s">
        <v>142</v>
      </c>
      <c r="BO17" s="186" t="s">
        <v>142</v>
      </c>
    </row>
    <row r="18" spans="1:67" x14ac:dyDescent="0.25">
      <c r="A18" s="19"/>
      <c r="B18" s="40"/>
      <c r="C18" s="19"/>
      <c r="D18" s="19"/>
      <c r="E18" s="14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67" ht="15.75" x14ac:dyDescent="0.25">
      <c r="A19" s="94" t="s">
        <v>19</v>
      </c>
      <c r="B19" s="37" t="s">
        <v>101</v>
      </c>
      <c r="C19" s="19"/>
      <c r="D19" s="19"/>
      <c r="E19" s="14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67" ht="15.75" thickBot="1" x14ac:dyDescent="0.3">
      <c r="A20" s="19"/>
      <c r="B20" s="38" t="s">
        <v>1</v>
      </c>
      <c r="C20" s="19"/>
      <c r="D20" s="161">
        <v>2016</v>
      </c>
      <c r="E20" s="161">
        <v>2015</v>
      </c>
      <c r="F20" s="20">
        <v>2014</v>
      </c>
      <c r="G20" s="20">
        <v>2013</v>
      </c>
      <c r="H20" s="20">
        <v>2012</v>
      </c>
      <c r="I20" s="20">
        <v>2011</v>
      </c>
      <c r="J20" s="20">
        <v>2010</v>
      </c>
      <c r="K20" s="20">
        <v>2009</v>
      </c>
      <c r="L20" s="20">
        <v>2008</v>
      </c>
      <c r="M20" s="20">
        <v>2007</v>
      </c>
      <c r="N20" s="20">
        <v>2006</v>
      </c>
      <c r="O20" s="20">
        <v>2005</v>
      </c>
      <c r="P20" s="20">
        <v>2004</v>
      </c>
      <c r="Q20" s="20">
        <v>2003</v>
      </c>
      <c r="R20" s="20">
        <v>2002</v>
      </c>
      <c r="S20" s="6">
        <v>2001</v>
      </c>
      <c r="T20" s="6">
        <v>2000</v>
      </c>
      <c r="U20" s="6">
        <v>1999</v>
      </c>
      <c r="V20" s="6">
        <v>1998</v>
      </c>
      <c r="W20" s="6">
        <v>1997</v>
      </c>
      <c r="X20" s="6">
        <v>1996</v>
      </c>
      <c r="Y20" s="6">
        <v>1995</v>
      </c>
      <c r="Z20" s="6">
        <v>1994</v>
      </c>
      <c r="AA20" s="6">
        <v>1993</v>
      </c>
      <c r="AB20" s="6">
        <v>1992</v>
      </c>
      <c r="AC20" s="6">
        <v>1991</v>
      </c>
      <c r="AD20" s="6">
        <v>1990</v>
      </c>
      <c r="AE20" s="6">
        <v>1989</v>
      </c>
    </row>
    <row r="21" spans="1:67" ht="30" customHeight="1" x14ac:dyDescent="0.25">
      <c r="A21" s="123" t="s">
        <v>333</v>
      </c>
      <c r="B21" s="351" t="s">
        <v>97</v>
      </c>
      <c r="C21" s="351"/>
      <c r="D21" s="292">
        <f>138558/180893</f>
        <v>0.76596662115173053</v>
      </c>
      <c r="E21" s="46">
        <f>148339/193737</f>
        <v>0.76567201928387452</v>
      </c>
      <c r="F21" s="46">
        <f>159603/208799</f>
        <v>0.76438584475979288</v>
      </c>
      <c r="G21" s="46">
        <f>170970/224957</f>
        <v>0.76001191338789187</v>
      </c>
      <c r="H21" s="46">
        <f>175050/235483</f>
        <v>0.74336576313364444</v>
      </c>
      <c r="I21" s="46">
        <f>176453/243999</f>
        <v>0.7231709966024451</v>
      </c>
      <c r="J21" s="46">
        <f>176325/249842</f>
        <v>0.70574603149190285</v>
      </c>
      <c r="K21" s="46">
        <f>170892/245256</f>
        <v>0.69679029259223013</v>
      </c>
      <c r="L21" s="46">
        <f>161171/230594</f>
        <v>0.69893839388709156</v>
      </c>
      <c r="M21" s="46">
        <f>149151/209272</f>
        <v>0.71271359761458775</v>
      </c>
      <c r="N21" s="46">
        <f>132776/182905</f>
        <v>0.72592876083212599</v>
      </c>
      <c r="O21" s="46">
        <f>112822/154764</f>
        <v>0.72899382285285985</v>
      </c>
      <c r="P21" s="46">
        <f>89856/123724</f>
        <v>0.72626167922149298</v>
      </c>
      <c r="Q21" s="46">
        <f>64468/90448</f>
        <v>0.71276313461878649</v>
      </c>
      <c r="R21" s="46">
        <f>41824/60995</f>
        <v>0.68569554881547667</v>
      </c>
      <c r="S21" s="188">
        <f>29030/43119</f>
        <v>0.67325309028502511</v>
      </c>
      <c r="T21" s="46">
        <f>24244/34794</f>
        <v>0.69678680232223944</v>
      </c>
      <c r="U21" s="190">
        <f>25628/33872</f>
        <v>0.75661313179026923</v>
      </c>
      <c r="V21" s="190">
        <f>32716/41433</f>
        <v>0.78961214490864773</v>
      </c>
      <c r="W21" s="190">
        <f>31905/39956</f>
        <v>0.798503353689058</v>
      </c>
      <c r="X21" s="190">
        <f>28994/36668</f>
        <v>0.79071670121086501</v>
      </c>
      <c r="Y21" s="190">
        <f>28604/34821</f>
        <v>0.82145831538439451</v>
      </c>
      <c r="Z21" s="190">
        <f>23897/28147</f>
        <v>0.84900699896969478</v>
      </c>
      <c r="AA21" s="190">
        <f>13588/15624</f>
        <v>0.86968766001024067</v>
      </c>
      <c r="AB21" s="190">
        <f>11308/12195</f>
        <v>0.92726527265272651</v>
      </c>
      <c r="AC21" s="358">
        <f>94723/111990</f>
        <v>0.84581659076703275</v>
      </c>
      <c r="AD21" s="358">
        <f>96379/118194</f>
        <v>0.81543056331116637</v>
      </c>
      <c r="AE21" s="356">
        <f>89171/113417</f>
        <v>0.78622252396025283</v>
      </c>
    </row>
    <row r="22" spans="1:67" ht="30" customHeight="1" x14ac:dyDescent="0.25">
      <c r="A22" s="221" t="s">
        <v>334</v>
      </c>
      <c r="B22" s="347" t="s">
        <v>98</v>
      </c>
      <c r="C22" s="347"/>
      <c r="D22" s="97">
        <f>29526/31228</f>
        <v>0.9454976303317536</v>
      </c>
      <c r="E22" s="18">
        <f>30068/31803</f>
        <v>0.9454453982328711</v>
      </c>
      <c r="F22" s="18">
        <f>30666/32589</f>
        <v>0.94099235938506853</v>
      </c>
      <c r="G22" s="18">
        <f>31516/33218</f>
        <v>0.94876271900776687</v>
      </c>
      <c r="H22" s="18">
        <f>32460/34493</f>
        <v>0.94106050503000604</v>
      </c>
      <c r="I22" s="18">
        <f>35270/37487</f>
        <v>0.94085949795929258</v>
      </c>
      <c r="J22" s="18">
        <f>38095/40750</f>
        <v>0.93484662576687116</v>
      </c>
      <c r="K22" s="18">
        <f>42937/46093</f>
        <v>0.9315297333651531</v>
      </c>
      <c r="L22" s="18">
        <f>49292/53387</f>
        <v>0.92329593346694894</v>
      </c>
      <c r="M22" s="18">
        <f>60169/65221</f>
        <v>0.92254028610416894</v>
      </c>
      <c r="N22" s="18">
        <f>73490/79531</f>
        <v>0.92404219738215287</v>
      </c>
      <c r="O22" s="18">
        <f>86446/93538</f>
        <v>0.92418054694348817</v>
      </c>
      <c r="P22" s="18">
        <f>99085/107441</f>
        <v>0.92222708277100918</v>
      </c>
      <c r="Q22" s="18">
        <f>114589/124102</f>
        <v>0.92334531272662812</v>
      </c>
      <c r="R22" s="18">
        <f>122483/132660</f>
        <v>0.92328508970300016</v>
      </c>
      <c r="S22" s="118">
        <f>124611/135425</f>
        <v>0.92014768321949414</v>
      </c>
      <c r="T22" s="118">
        <f>121456/132003</f>
        <v>0.92010030075074056</v>
      </c>
      <c r="U22" s="344">
        <f>138370/150082</f>
        <v>0.9219626604123079</v>
      </c>
      <c r="V22" s="344">
        <f>122602/132796</f>
        <v>0.92323563962769961</v>
      </c>
      <c r="W22" s="344">
        <f>116479/125798</f>
        <v>0.9259209208413488</v>
      </c>
      <c r="X22" s="344">
        <f>110915/119200</f>
        <v>0.93049496644295304</v>
      </c>
      <c r="Y22" s="344">
        <f>97689/104953</f>
        <v>0.93078806703953199</v>
      </c>
      <c r="Z22" s="344">
        <f>94827/101306</f>
        <v>0.93604524904744046</v>
      </c>
      <c r="AA22" s="344">
        <f>94287/103218</f>
        <v>0.91347439400104635</v>
      </c>
      <c r="AB22" s="344">
        <f>89205/99485</f>
        <v>0.89666783937276973</v>
      </c>
      <c r="AC22" s="359"/>
      <c r="AD22" s="359"/>
      <c r="AE22" s="357"/>
    </row>
    <row r="23" spans="1:67" ht="30" customHeight="1" x14ac:dyDescent="0.25">
      <c r="A23" s="221" t="s">
        <v>335</v>
      </c>
      <c r="B23" s="347" t="s">
        <v>99</v>
      </c>
      <c r="C23" s="347"/>
      <c r="D23" s="293">
        <f>58054/80142</f>
        <v>0.72438920915375205</v>
      </c>
      <c r="E23" s="18">
        <f>60300/81921</f>
        <v>0.73607499908448382</v>
      </c>
      <c r="F23" s="18">
        <f>62756/86622</f>
        <v>0.72448107870979661</v>
      </c>
      <c r="G23" s="18">
        <f>64256/89040</f>
        <v>0.72165318957771785</v>
      </c>
      <c r="H23" s="18">
        <f>64025/90314</f>
        <v>0.70891556126403432</v>
      </c>
      <c r="I23" s="18">
        <f>62458/89630</f>
        <v>0.6968425750306817</v>
      </c>
      <c r="J23" s="18">
        <f>59441/79815</f>
        <v>0.74473469899141764</v>
      </c>
      <c r="K23" s="18">
        <f>54649/79815</f>
        <v>0.68469585917434062</v>
      </c>
      <c r="L23" s="18">
        <f>45942/66674</f>
        <v>0.68905420403755591</v>
      </c>
      <c r="M23" s="18">
        <f>35351/51733</f>
        <v>0.6833355885025032</v>
      </c>
      <c r="N23" s="18">
        <f>24629/36098</f>
        <v>0.68228156684580865</v>
      </c>
      <c r="O23" s="18">
        <f>16460/24092</f>
        <v>0.68321434501079192</v>
      </c>
      <c r="P23" s="18">
        <f>11800/17282</f>
        <v>0.68279134359449134</v>
      </c>
      <c r="Q23" s="18">
        <f>10583/14260</f>
        <v>0.74214586255259463</v>
      </c>
      <c r="R23" s="18">
        <f>10178/12889</f>
        <v>0.78966560633097993</v>
      </c>
      <c r="S23" s="118">
        <f>9955/12068</f>
        <v>0.82490884985084523</v>
      </c>
      <c r="T23" s="118">
        <f>9469/11388</f>
        <v>0.83148928696873903</v>
      </c>
      <c r="U23" s="344"/>
      <c r="V23" s="344"/>
      <c r="W23" s="344"/>
      <c r="X23" s="344"/>
      <c r="Y23" s="344"/>
      <c r="Z23" s="344"/>
      <c r="AA23" s="344"/>
      <c r="AB23" s="344"/>
      <c r="AC23" s="359"/>
      <c r="AD23" s="359"/>
      <c r="AE23" s="357"/>
    </row>
    <row r="24" spans="1:67" ht="30" customHeight="1" x14ac:dyDescent="0.25">
      <c r="A24" s="221" t="s">
        <v>23</v>
      </c>
      <c r="B24" s="347" t="s">
        <v>100</v>
      </c>
      <c r="C24" s="347"/>
      <c r="D24" s="293">
        <f>12361/23265</f>
        <v>0.53131313131313129</v>
      </c>
      <c r="E24" s="18">
        <f>12713/23928</f>
        <v>0.5313022400534938</v>
      </c>
      <c r="F24" s="18">
        <f>12916/24309</f>
        <v>0.53132584639433955</v>
      </c>
      <c r="G24" s="18">
        <f>12984/24755</f>
        <v>0.52450010098969901</v>
      </c>
      <c r="H24" s="18">
        <f>12686/24803</f>
        <v>0.51147038664677658</v>
      </c>
      <c r="I24" s="18">
        <f>12814/25650</f>
        <v>0.49957115009746589</v>
      </c>
      <c r="J24" s="18">
        <f>12498/25959</f>
        <v>0.48145151970414884</v>
      </c>
      <c r="K24" s="18">
        <f>11588/25542</f>
        <v>0.45368412810273273</v>
      </c>
      <c r="L24" s="18">
        <f>10503/24552</f>
        <v>0.4277859237536657</v>
      </c>
      <c r="M24" s="18">
        <f>9961/24025</f>
        <v>0.41460978147762745</v>
      </c>
      <c r="N24" s="18">
        <f>9973/23360</f>
        <v>0.42692636986301369</v>
      </c>
      <c r="O24" s="18">
        <f>10101/22382</f>
        <v>0.45130015190778305</v>
      </c>
      <c r="P24" s="18">
        <f>10017/21493</f>
        <v>0.46605871679151351</v>
      </c>
      <c r="Q24" s="18">
        <f>9101/20120</f>
        <v>0.45233598409542741</v>
      </c>
      <c r="R24" s="18">
        <f>7666/18146</f>
        <v>0.42246225063374848</v>
      </c>
      <c r="S24" s="18">
        <f>6723/16522</f>
        <v>0.40691199612637696</v>
      </c>
      <c r="T24" s="18">
        <f>6351/15362</f>
        <v>0.41342273141518032</v>
      </c>
      <c r="U24" s="18">
        <f>6209/15007</f>
        <v>0.41374025454787766</v>
      </c>
      <c r="V24" s="18">
        <f>5330/12919</f>
        <v>0.41257063240188868</v>
      </c>
      <c r="W24" s="18">
        <f>4705/11969</f>
        <v>0.39309883866655526</v>
      </c>
      <c r="X24" s="18">
        <f>4036/10255</f>
        <v>0.39356411506582156</v>
      </c>
      <c r="Y24" s="18">
        <f>3147/8659</f>
        <v>0.36343688647649847</v>
      </c>
      <c r="Z24" s="18">
        <f>2889/7113</f>
        <v>0.40615773935048505</v>
      </c>
      <c r="AA24" s="18">
        <f>1596/4681</f>
        <v>0.34095278786584066</v>
      </c>
      <c r="AB24" s="263" t="s">
        <v>142</v>
      </c>
      <c r="AC24" s="263" t="s">
        <v>142</v>
      </c>
      <c r="AD24" s="263" t="s">
        <v>142</v>
      </c>
      <c r="AE24" s="183" t="s">
        <v>142</v>
      </c>
    </row>
    <row r="25" spans="1:67" s="166" customFormat="1" ht="30" customHeight="1" thickBot="1" x14ac:dyDescent="0.3">
      <c r="A25" s="298" t="s">
        <v>387</v>
      </c>
      <c r="B25" s="349" t="s">
        <v>388</v>
      </c>
      <c r="C25" s="349"/>
      <c r="D25" s="98">
        <f>236994/311367</f>
        <v>0.76114039060015992</v>
      </c>
      <c r="E25" s="32">
        <f>249801/326909</f>
        <v>0.76413007901281393</v>
      </c>
      <c r="F25" s="32">
        <f>263901/347096</f>
        <v>0.76031126835227136</v>
      </c>
      <c r="G25" s="32">
        <f>277296/367096</f>
        <v>0.75537733998736023</v>
      </c>
      <c r="H25" s="32">
        <f>284847/381021</f>
        <v>0.74758871558260565</v>
      </c>
      <c r="I25" s="32">
        <f>284239/392100</f>
        <v>0.72491456261157872</v>
      </c>
      <c r="J25" s="32">
        <f>283512/395979</f>
        <v>0.71597736243588672</v>
      </c>
      <c r="K25" s="32">
        <f>277039/395979</f>
        <v>0.6996305359627657</v>
      </c>
      <c r="L25" s="32">
        <f>263898/368051</f>
        <v>0.71701476154119947</v>
      </c>
      <c r="M25" s="32">
        <f>251903/343938</f>
        <v>0.7324081665881641</v>
      </c>
      <c r="N25" s="32">
        <f>238173/316176</f>
        <v>0.75329247001669952</v>
      </c>
      <c r="O25" s="32">
        <f>223148/289464</f>
        <v>0.77090069922339222</v>
      </c>
      <c r="P25" s="32">
        <f>207988/264775</f>
        <v>0.78552733452931733</v>
      </c>
      <c r="Q25" s="32">
        <f>195589/243718</f>
        <v>0.8025217669601753</v>
      </c>
      <c r="R25" s="32">
        <f>179370/220176</f>
        <v>0.81466644865925442</v>
      </c>
      <c r="S25" s="32">
        <f>168125/203453</f>
        <v>0.82635793033280414</v>
      </c>
      <c r="T25" s="32">
        <f>159446/190207</f>
        <v>0.83827619383093155</v>
      </c>
      <c r="U25" s="32">
        <f>170207/198961</f>
        <v>0.85547921451942843</v>
      </c>
      <c r="V25" s="32">
        <f>160648/187148</f>
        <v>0.85840083783957077</v>
      </c>
      <c r="W25" s="32">
        <f>153089/177723</f>
        <v>0.86139104111454345</v>
      </c>
      <c r="X25" s="32">
        <f>143945/166123</f>
        <v>0.86649651162090735</v>
      </c>
      <c r="Y25" s="32">
        <f>129440/148433</f>
        <v>0.87204327878571475</v>
      </c>
      <c r="Z25" s="32">
        <f>121613/136566</f>
        <v>0.89050715405005643</v>
      </c>
      <c r="AA25" s="32">
        <f>109471/123523</f>
        <v>0.88623980959011683</v>
      </c>
      <c r="AB25" s="32">
        <f>100513/111680</f>
        <v>0.90000895415472781</v>
      </c>
      <c r="AC25" s="32">
        <f>94723/110883</f>
        <v>0.85426079741709726</v>
      </c>
      <c r="AD25" s="32">
        <f>96379/115072</f>
        <v>0.83755387931034486</v>
      </c>
      <c r="AE25" s="264">
        <f>89171/110021</f>
        <v>0.81049072449805037</v>
      </c>
    </row>
    <row r="26" spans="1:67" x14ac:dyDescent="0.25">
      <c r="A26" s="19"/>
      <c r="B26" s="248"/>
      <c r="C26" s="19"/>
      <c r="D26" s="19"/>
      <c r="E26" s="14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67" ht="31.5" x14ac:dyDescent="0.25">
      <c r="A27" s="96" t="s">
        <v>336</v>
      </c>
      <c r="B27" s="37" t="s">
        <v>224</v>
      </c>
      <c r="C27" s="19"/>
      <c r="D27" s="19"/>
      <c r="E27" s="14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67" ht="15.75" thickBot="1" x14ac:dyDescent="0.3">
      <c r="A28" s="19"/>
      <c r="B28" s="38" t="s">
        <v>1</v>
      </c>
      <c r="C28" s="19"/>
      <c r="D28" s="20">
        <v>2016</v>
      </c>
      <c r="E28" s="20">
        <v>2015</v>
      </c>
      <c r="F28" s="20">
        <v>2014</v>
      </c>
      <c r="G28" s="20">
        <v>2013</v>
      </c>
      <c r="H28" s="20">
        <v>2012</v>
      </c>
      <c r="I28" s="20">
        <v>2011</v>
      </c>
      <c r="J28" s="20">
        <v>2010</v>
      </c>
      <c r="K28" s="20">
        <v>2009</v>
      </c>
      <c r="L28" s="20">
        <v>2008</v>
      </c>
      <c r="M28" s="20">
        <v>2007</v>
      </c>
      <c r="N28" s="20">
        <v>2006</v>
      </c>
      <c r="O28" s="20">
        <v>2005</v>
      </c>
      <c r="P28" s="20">
        <v>2004</v>
      </c>
      <c r="Q28" s="20">
        <v>2003</v>
      </c>
      <c r="R28" s="20">
        <v>2002</v>
      </c>
      <c r="S28" s="6">
        <v>2001</v>
      </c>
      <c r="T28" s="6">
        <v>2000</v>
      </c>
      <c r="U28" s="6">
        <v>1999</v>
      </c>
      <c r="V28" s="6">
        <v>1998</v>
      </c>
      <c r="W28" s="6">
        <v>1997</v>
      </c>
      <c r="X28" s="6">
        <v>1996</v>
      </c>
      <c r="Y28" s="6">
        <v>1995</v>
      </c>
      <c r="Z28" s="6">
        <v>1994</v>
      </c>
      <c r="AA28" s="6">
        <v>1993</v>
      </c>
      <c r="AB28" s="6">
        <v>1992</v>
      </c>
      <c r="AC28" s="6">
        <v>1991</v>
      </c>
      <c r="AD28" s="6">
        <v>1990</v>
      </c>
      <c r="AE28" s="6">
        <v>1989</v>
      </c>
    </row>
    <row r="29" spans="1:67" x14ac:dyDescent="0.25">
      <c r="A29" s="299" t="s">
        <v>121</v>
      </c>
      <c r="B29" s="351" t="s">
        <v>227</v>
      </c>
      <c r="C29" s="351"/>
      <c r="D29" s="279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188"/>
      <c r="X29" s="188"/>
      <c r="Y29" s="188"/>
      <c r="Z29" s="188"/>
      <c r="AA29" s="188"/>
      <c r="AB29" s="188"/>
      <c r="AC29" s="188"/>
      <c r="AD29" s="188"/>
      <c r="AE29" s="189"/>
    </row>
    <row r="30" spans="1:67" x14ac:dyDescent="0.25">
      <c r="A30" s="300"/>
      <c r="B30" s="345" t="s">
        <v>122</v>
      </c>
      <c r="C30" s="345"/>
      <c r="D30" s="310">
        <f>28369/311679</f>
        <v>9.1019927553669E-2</v>
      </c>
      <c r="E30" s="150">
        <f>29867/326909</f>
        <v>9.1361816285265934E-2</v>
      </c>
      <c r="F30" s="18">
        <v>9.0202942946228326E-2</v>
      </c>
      <c r="G30" s="17">
        <v>8.6875451881730653E-2</v>
      </c>
      <c r="H30" s="17">
        <v>8.5311091806660383E-2</v>
      </c>
      <c r="I30" s="17">
        <v>8.2982027956512092E-2</v>
      </c>
      <c r="J30" s="18">
        <v>8.0969216394353394E-2</v>
      </c>
      <c r="K30" s="18">
        <v>7.6812339331619531E-2</v>
      </c>
      <c r="L30" s="18">
        <v>7.6334529725500005E-2</v>
      </c>
      <c r="M30" s="18">
        <v>7.7187881607257078E-2</v>
      </c>
      <c r="N30" s="18">
        <v>7.7981883507919639E-2</v>
      </c>
      <c r="O30" s="18">
        <v>8.0431140206933482E-2</v>
      </c>
      <c r="P30" s="18">
        <v>8.1253587938483848E-2</v>
      </c>
      <c r="Q30" s="18">
        <v>8.2734964179912857E-2</v>
      </c>
      <c r="R30" s="18">
        <v>8.2683101853954527E-2</v>
      </c>
      <c r="S30" s="3">
        <f>16668/203453</f>
        <v>8.1925555287953478E-2</v>
      </c>
      <c r="T30" s="3">
        <f>15352/190207</f>
        <v>8.0712066327737669E-2</v>
      </c>
      <c r="U30" s="209">
        <f>11050/179465</f>
        <v>6.1571894241216951E-2</v>
      </c>
      <c r="V30" s="209">
        <f>10864/170536</f>
        <v>6.3705024159121826E-2</v>
      </c>
      <c r="W30" s="209">
        <f>10540/162373</f>
        <v>6.4912269897088801E-2</v>
      </c>
      <c r="X30" s="209">
        <f>9275/152602</f>
        <v>6.0779019934207937E-2</v>
      </c>
      <c r="Y30" s="209">
        <f>7673/136889</f>
        <v>5.6052714242926752E-2</v>
      </c>
      <c r="Z30" s="209">
        <f>6861/126582</f>
        <v>5.4202019244442338E-2</v>
      </c>
      <c r="AA30" s="209">
        <f>6314/118842</f>
        <v>5.312936503929587E-2</v>
      </c>
      <c r="AB30" s="209">
        <f>5603/111680</f>
        <v>5.0170128939828078E-2</v>
      </c>
      <c r="AC30" s="209">
        <f>4787/109219</f>
        <v>4.3829370347650137E-2</v>
      </c>
      <c r="AD30" s="209">
        <f>4923/115072</f>
        <v>4.2781910456062291E-2</v>
      </c>
      <c r="AE30" s="56">
        <f>3831/110021</f>
        <v>3.482062515337981E-2</v>
      </c>
    </row>
    <row r="31" spans="1:67" x14ac:dyDescent="0.25">
      <c r="A31" s="300"/>
      <c r="B31" s="345" t="s">
        <v>123</v>
      </c>
      <c r="C31" s="345"/>
      <c r="D31" s="310">
        <f>69212/311367</f>
        <v>0.22228431400887055</v>
      </c>
      <c r="E31" s="150">
        <f>73227/326909</f>
        <v>0.22399811568356942</v>
      </c>
      <c r="F31" s="18">
        <v>0.22441188579456958</v>
      </c>
      <c r="G31" s="17">
        <v>0.22383706707691639</v>
      </c>
      <c r="H31" s="17">
        <v>0.21858178773794121</v>
      </c>
      <c r="I31" s="17">
        <v>0.21722276203810675</v>
      </c>
      <c r="J31" s="18">
        <v>0.21863935957978736</v>
      </c>
      <c r="K31" s="18">
        <v>0.22115167095115681</v>
      </c>
      <c r="L31" s="18">
        <v>0.22800372774425284</v>
      </c>
      <c r="M31" s="18">
        <v>0.23919578996336571</v>
      </c>
      <c r="N31" s="18">
        <v>0.25139162997823999</v>
      </c>
      <c r="O31" s="18">
        <v>0.25710534952412206</v>
      </c>
      <c r="P31" s="18">
        <v>0.26401184397377409</v>
      </c>
      <c r="Q31" s="18">
        <v>0.27369747002683431</v>
      </c>
      <c r="R31" s="18">
        <v>0.27609025424883504</v>
      </c>
      <c r="S31" s="3">
        <f>57589/203453</f>
        <v>0.28305800356839173</v>
      </c>
      <c r="T31" s="3">
        <f>54593/190207</f>
        <v>0.28701887943135634</v>
      </c>
      <c r="U31" s="209">
        <f>52980/179465</f>
        <v>0.29521076533028723</v>
      </c>
      <c r="V31" s="209">
        <f>48761/170536</f>
        <v>0.28592789792184642</v>
      </c>
      <c r="W31" s="209">
        <f>45642/162373</f>
        <v>0.28109353156005001</v>
      </c>
      <c r="X31" s="209">
        <f>42022/152602</f>
        <v>0.27536991651485565</v>
      </c>
      <c r="Y31" s="209">
        <f>38510/136889</f>
        <v>0.28132282360160421</v>
      </c>
      <c r="Z31" s="209">
        <f>37704/126582</f>
        <v>0.29786225529696164</v>
      </c>
      <c r="AA31" s="209">
        <f>36054/118842</f>
        <v>0.30337759377997675</v>
      </c>
      <c r="AB31" s="209">
        <f>35552/111680</f>
        <v>0.31833810888252151</v>
      </c>
      <c r="AC31" s="209">
        <f>36290/109219</f>
        <v>0.33226819509426014</v>
      </c>
      <c r="AD31" s="209">
        <f>40611/115072</f>
        <v>0.35291817296996664</v>
      </c>
      <c r="AE31" s="56">
        <f>40461/110021</f>
        <v>0.36775706456040208</v>
      </c>
    </row>
    <row r="32" spans="1:67" x14ac:dyDescent="0.25">
      <c r="A32" s="300"/>
      <c r="B32" s="345" t="s">
        <v>124</v>
      </c>
      <c r="C32" s="345"/>
      <c r="D32" s="310">
        <f>13490/311367</f>
        <v>4.3325079407901285E-2</v>
      </c>
      <c r="E32" s="150">
        <f>13477/326909</f>
        <v>4.1225539829126759E-2</v>
      </c>
      <c r="F32" s="17">
        <v>4.0067484503611743E-2</v>
      </c>
      <c r="G32" s="17">
        <v>3.927090071920545E-2</v>
      </c>
      <c r="H32" s="17">
        <v>4.0461487183390238E-2</v>
      </c>
      <c r="I32" s="17">
        <v>3.8323527386517522E-2</v>
      </c>
      <c r="J32" s="18">
        <v>3.7857016591328063E-2</v>
      </c>
      <c r="K32" s="18">
        <v>3.7429305912596404E-2</v>
      </c>
      <c r="L32" s="18">
        <v>3.754099296021475E-2</v>
      </c>
      <c r="M32" s="18">
        <v>3.7212885968482878E-2</v>
      </c>
      <c r="N32" s="18">
        <v>3.8484894489145285E-2</v>
      </c>
      <c r="O32" s="18">
        <v>3.8968441780526143E-2</v>
      </c>
      <c r="P32" s="18">
        <v>3.8768619512342506E-2</v>
      </c>
      <c r="Q32" s="18">
        <v>3.8359907762249811E-2</v>
      </c>
      <c r="R32" s="18">
        <v>3.8450708063475912E-2</v>
      </c>
      <c r="S32" s="3">
        <f>7853/203453</f>
        <v>3.8598595252957689E-2</v>
      </c>
      <c r="T32" s="3">
        <f>7657/190207</f>
        <v>4.0256141992671142E-2</v>
      </c>
      <c r="U32" s="209">
        <f>7010/179465</f>
        <v>3.9060541052572922E-2</v>
      </c>
      <c r="V32" s="209">
        <f>10174/170536</f>
        <v>5.9658957639442699E-2</v>
      </c>
      <c r="W32" s="209">
        <f>9488/162373</f>
        <v>5.8433360226145974E-2</v>
      </c>
      <c r="X32" s="209">
        <f>9796/152602</f>
        <v>6.4193129841024363E-2</v>
      </c>
      <c r="Y32" s="209">
        <f>8447/136889</f>
        <v>6.1706930432686338E-2</v>
      </c>
      <c r="Z32" s="209">
        <f>7919/126582</f>
        <v>6.2560237632522789E-2</v>
      </c>
      <c r="AA32" s="209">
        <f>7446/118842</f>
        <v>6.2654617054576658E-2</v>
      </c>
      <c r="AB32" s="209">
        <f>8044/111680</f>
        <v>7.2027220630372493E-2</v>
      </c>
      <c r="AC32" s="209">
        <f>8765/109219</f>
        <v>8.0251604574295685E-2</v>
      </c>
      <c r="AD32" s="209">
        <f>10168/115072</f>
        <v>8.8362068965517238E-2</v>
      </c>
      <c r="AE32" s="56">
        <f>10275/110021</f>
        <v>9.3391261668226977E-2</v>
      </c>
    </row>
    <row r="33" spans="1:31" x14ac:dyDescent="0.25">
      <c r="A33" s="300"/>
      <c r="B33" s="345" t="s">
        <v>125</v>
      </c>
      <c r="C33" s="345"/>
      <c r="D33" s="310">
        <f>31212/311367</f>
        <v>0.10024183680351482</v>
      </c>
      <c r="E33" s="150">
        <f>31020/326909</f>
        <v>9.4888791682088899E-2</v>
      </c>
      <c r="F33" s="17">
        <v>8.8181862675944828E-2</v>
      </c>
      <c r="G33" s="17">
        <v>8.3839350268818669E-2</v>
      </c>
      <c r="H33" s="17">
        <v>7.9623860651026557E-2</v>
      </c>
      <c r="I33" s="17">
        <v>7.6139542831202542E-2</v>
      </c>
      <c r="J33" s="18">
        <v>7.2564963761711149E-2</v>
      </c>
      <c r="K33" s="18">
        <v>7.1110539845758353E-2</v>
      </c>
      <c r="L33" s="18">
        <v>7.2527992044580783E-2</v>
      </c>
      <c r="M33" s="18">
        <v>7.3812292841774735E-2</v>
      </c>
      <c r="N33" s="18">
        <v>7.6251834421334957E-2</v>
      </c>
      <c r="O33" s="18">
        <v>7.6095555593940545E-2</v>
      </c>
      <c r="P33" s="18">
        <v>7.58188053297882E-2</v>
      </c>
      <c r="Q33" s="18">
        <v>7.466416103857737E-2</v>
      </c>
      <c r="R33" s="18">
        <v>7.6583491538664172E-2</v>
      </c>
      <c r="S33" s="3">
        <f>15536/203453</f>
        <v>7.6361616687883688E-2</v>
      </c>
      <c r="T33" s="3">
        <f>14721/190207</f>
        <v>7.7394627957961593E-2</v>
      </c>
      <c r="U33" s="209">
        <f>11244/179465</f>
        <v>6.2652884963641936E-2</v>
      </c>
      <c r="V33" s="209">
        <f>10773/170536</f>
        <v>6.3171412487685888E-2</v>
      </c>
      <c r="W33" s="209">
        <f>10549/162373</f>
        <v>6.4967697831536025E-2</v>
      </c>
      <c r="X33" s="209">
        <f>10128/152602</f>
        <v>6.6368723869936169E-2</v>
      </c>
      <c r="Y33" s="209">
        <f>9803/136889</f>
        <v>7.1612766548079104E-2</v>
      </c>
      <c r="Z33" s="209">
        <f>10086/126582</f>
        <v>7.9679575295065655E-2</v>
      </c>
      <c r="AA33" s="209">
        <f>10320/118842</f>
        <v>8.6837986570404396E-2</v>
      </c>
      <c r="AB33" s="209">
        <f>10760/111680</f>
        <v>9.6346704871060174E-2</v>
      </c>
      <c r="AC33" s="209">
        <f>10762/109219</f>
        <v>9.853596901637994E-2</v>
      </c>
      <c r="AD33" s="209">
        <f>11337/115072</f>
        <v>9.8520926028921027E-2</v>
      </c>
      <c r="AE33" s="56">
        <f>10335/110021</f>
        <v>9.3936612101326117E-2</v>
      </c>
    </row>
    <row r="34" spans="1:31" x14ac:dyDescent="0.25">
      <c r="A34" s="300"/>
      <c r="B34" s="345" t="s">
        <v>126</v>
      </c>
      <c r="C34" s="345"/>
      <c r="D34" s="310">
        <f>53221/311367</f>
        <v>0.17092691261437468</v>
      </c>
      <c r="E34" s="150">
        <f>56218/326909</f>
        <v>0.1719683459311307</v>
      </c>
      <c r="F34" s="17">
        <v>0.17154710527755304</v>
      </c>
      <c r="G34" s="17">
        <v>0.17269628655145608</v>
      </c>
      <c r="H34" s="17">
        <v>0.17284511152694415</v>
      </c>
      <c r="I34" s="17">
        <v>0.17229137816270476</v>
      </c>
      <c r="J34" s="18">
        <v>0.16995631202808151</v>
      </c>
      <c r="K34" s="18">
        <v>0.16949100257069408</v>
      </c>
      <c r="L34" s="18">
        <v>0.16345560805431855</v>
      </c>
      <c r="M34" s="18">
        <v>0.15623364540326801</v>
      </c>
      <c r="N34" s="18">
        <v>0.15088431759526338</v>
      </c>
      <c r="O34" s="18">
        <v>0.14638384606083638</v>
      </c>
      <c r="P34" s="18">
        <v>0.14424268060549295</v>
      </c>
      <c r="Q34" s="18">
        <v>0.13916903962776653</v>
      </c>
      <c r="R34" s="18">
        <v>0.13349199284215499</v>
      </c>
      <c r="S34" s="3">
        <f>25648/203453</f>
        <v>0.12606351344045061</v>
      </c>
      <c r="T34" s="3">
        <f>22522/190207</f>
        <v>0.11840783987971</v>
      </c>
      <c r="U34" s="209">
        <f>18327/179465</f>
        <v>0.1021201905664057</v>
      </c>
      <c r="V34" s="209">
        <f>16189/170536</f>
        <v>9.4930102734906416E-2</v>
      </c>
      <c r="W34" s="209">
        <f>20942/162373</f>
        <v>0.12897464479932008</v>
      </c>
      <c r="X34" s="209">
        <f>18638/152602</f>
        <v>0.12213470334595877</v>
      </c>
      <c r="Y34" s="209">
        <f>16203/136889</f>
        <v>0.11836597535229273</v>
      </c>
      <c r="Z34" s="209">
        <f>13403/126582</f>
        <v>0.10588393294465248</v>
      </c>
      <c r="AA34" s="209">
        <f>12596/118842</f>
        <v>0.10598946500395483</v>
      </c>
      <c r="AB34" s="209">
        <f>10183/111680</f>
        <v>9.1180157593123215E-2</v>
      </c>
      <c r="AC34" s="209">
        <f>8406/109219</f>
        <v>7.6964630696124303E-2</v>
      </c>
      <c r="AD34" s="209">
        <f>7464/115072</f>
        <v>6.4863737486095668E-2</v>
      </c>
      <c r="AE34" s="56">
        <f>4417/110021</f>
        <v>4.0146881049981369E-2</v>
      </c>
    </row>
    <row r="35" spans="1:31" x14ac:dyDescent="0.25">
      <c r="A35" s="300"/>
      <c r="B35" s="345" t="s">
        <v>127</v>
      </c>
      <c r="C35" s="345"/>
      <c r="D35" s="310">
        <f>64547/311367</f>
        <v>0.20730199410984465</v>
      </c>
      <c r="E35" s="150">
        <f>69492/326909</f>
        <v>0.212572917845639</v>
      </c>
      <c r="F35" s="17">
        <v>0.22018546722366333</v>
      </c>
      <c r="G35" s="17">
        <v>0.231673307855811</v>
      </c>
      <c r="H35" s="17">
        <v>0.24043839182844351</v>
      </c>
      <c r="I35" s="17">
        <v>0.24618409676901065</v>
      </c>
      <c r="J35" s="18">
        <v>0.2502361170736635</v>
      </c>
      <c r="K35" s="18">
        <v>0.25138560411311056</v>
      </c>
      <c r="L35" s="18">
        <v>0.24526763953908562</v>
      </c>
      <c r="M35" s="18">
        <v>0.23561667732744082</v>
      </c>
      <c r="N35" s="18">
        <v>0.22314470421537372</v>
      </c>
      <c r="O35" s="18">
        <v>0.21432297514379978</v>
      </c>
      <c r="P35" s="18">
        <v>0.2076774329999698</v>
      </c>
      <c r="Q35" s="18">
        <v>0.2045889101338432</v>
      </c>
      <c r="R35" s="18">
        <v>0.20160052321303673</v>
      </c>
      <c r="S35" s="3">
        <f>40018/203453</f>
        <v>0.19669407676465817</v>
      </c>
      <c r="T35" s="3">
        <f>36287/190207</f>
        <v>0.19077636469740861</v>
      </c>
      <c r="U35" s="209">
        <f>33524/179465</f>
        <v>0.1867996545287382</v>
      </c>
      <c r="V35" s="209">
        <f>29358/170536</f>
        <v>0.17215133461556503</v>
      </c>
      <c r="W35" s="209">
        <f>27936/162373</f>
        <v>0.17204830852420044</v>
      </c>
      <c r="X35" s="209">
        <f>26083/152602</f>
        <v>0.1709217441448998</v>
      </c>
      <c r="Y35" s="209">
        <f>22688/136889</f>
        <v>0.16574012521093734</v>
      </c>
      <c r="Z35" s="209">
        <f>19395/126582</f>
        <v>0.15322083708584158</v>
      </c>
      <c r="AA35" s="209">
        <f>15994/118842</f>
        <v>0.134582050116962</v>
      </c>
      <c r="AB35" s="209">
        <f>13107/111680</f>
        <v>0.11736210601719198</v>
      </c>
      <c r="AC35" s="209">
        <f>12504/109219</f>
        <v>0.11448557485419203</v>
      </c>
      <c r="AD35" s="209">
        <f>12627/115072</f>
        <v>0.10973129866518354</v>
      </c>
      <c r="AE35" s="56">
        <f>12633/110021</f>
        <v>0.11482353368902301</v>
      </c>
    </row>
    <row r="36" spans="1:31" x14ac:dyDescent="0.25">
      <c r="A36" s="300"/>
      <c r="B36" s="345" t="s">
        <v>128</v>
      </c>
      <c r="C36" s="345"/>
      <c r="D36" s="310">
        <f>13282/311367</f>
        <v>4.2657057427408815E-2</v>
      </c>
      <c r="E36" s="150">
        <f>13654/326909</f>
        <v>4.1766974907390127E-2</v>
      </c>
      <c r="F36" s="17">
        <v>3.9598202332591502E-2</v>
      </c>
      <c r="G36" s="17">
        <v>3.830598033193261E-2</v>
      </c>
      <c r="H36" s="17">
        <v>3.7648053035333272E-2</v>
      </c>
      <c r="I36" s="17">
        <v>3.9840962589484046E-2</v>
      </c>
      <c r="J36" s="18">
        <v>4.0809111341195484E-2</v>
      </c>
      <c r="K36" s="18">
        <v>4.3606683804627247E-2</v>
      </c>
      <c r="L36" s="18">
        <v>4.3841750192228794E-2</v>
      </c>
      <c r="M36" s="18">
        <v>4.383613420945514E-2</v>
      </c>
      <c r="N36" s="18">
        <v>4.440248469207024E-2</v>
      </c>
      <c r="O36" s="18">
        <v>4.6022835230511462E-2</v>
      </c>
      <c r="P36" s="18">
        <v>4.7504305526180624E-2</v>
      </c>
      <c r="Q36" s="18">
        <v>4.8305828867789821E-2</v>
      </c>
      <c r="R36" s="18">
        <v>4.8515292172696636E-2</v>
      </c>
      <c r="S36" s="3">
        <f>9690/203453</f>
        <v>4.7627707627805931E-2</v>
      </c>
      <c r="T36" s="3">
        <f>9169/190207</f>
        <v>4.8205376247982462E-2</v>
      </c>
      <c r="U36" s="209">
        <f>8579/179465</f>
        <v>4.7803192823113141E-2</v>
      </c>
      <c r="V36" s="209">
        <f>8548/170536</f>
        <v>5.0124313927851008E-2</v>
      </c>
      <c r="W36" s="209">
        <f>8156/162373</f>
        <v>5.0230025927956001E-2</v>
      </c>
      <c r="X36" s="209">
        <f>7619/152602</f>
        <v>4.9927261765900843E-2</v>
      </c>
      <c r="Y36" s="209">
        <f>6676/136889</f>
        <v>4.8769440933895347E-2</v>
      </c>
      <c r="Z36" s="209">
        <f>6138/126582</f>
        <v>4.849030667867469E-2</v>
      </c>
      <c r="AA36" s="209">
        <f>5636/118842</f>
        <v>4.7424311270426282E-2</v>
      </c>
      <c r="AB36" s="209">
        <f>5194/111680</f>
        <v>4.6507879656160461E-2</v>
      </c>
      <c r="AC36" s="209">
        <f>4687/109219</f>
        <v>4.2913778738131646E-2</v>
      </c>
      <c r="AD36" s="209">
        <f>3952/115072</f>
        <v>3.4343715239154617E-2</v>
      </c>
      <c r="AE36" s="56">
        <f>3709/110021</f>
        <v>3.3711745939411564E-2</v>
      </c>
    </row>
    <row r="37" spans="1:31" x14ac:dyDescent="0.25">
      <c r="A37" s="300"/>
      <c r="B37" s="345" t="s">
        <v>129</v>
      </c>
      <c r="C37" s="345"/>
      <c r="D37" s="310">
        <f>32905/311367</f>
        <v>0.10567915032742713</v>
      </c>
      <c r="E37" s="150">
        <f>34774/326909</f>
        <v>0.10637210966966343</v>
      </c>
      <c r="F37" s="17">
        <v>0.11223041466693921</v>
      </c>
      <c r="G37" s="17">
        <v>0.11161546699428658</v>
      </c>
      <c r="H37" s="17">
        <v>0.11439811667878298</v>
      </c>
      <c r="I37" s="17">
        <v>0.11927805788696511</v>
      </c>
      <c r="J37" s="18">
        <v>0.12223035935250891</v>
      </c>
      <c r="K37" s="18">
        <v>0.12430591259640103</v>
      </c>
      <c r="L37" s="18">
        <v>0.12923209011794562</v>
      </c>
      <c r="M37" s="18">
        <v>0.13275571320579171</v>
      </c>
      <c r="N37" s="18">
        <v>0.13339405900511109</v>
      </c>
      <c r="O37" s="18">
        <v>0.13706320280517506</v>
      </c>
      <c r="P37" s="18">
        <v>0.13768241834607367</v>
      </c>
      <c r="Q37" s="18">
        <v>0.1375729326516712</v>
      </c>
      <c r="R37" s="18">
        <v>0.14095413710724958</v>
      </c>
      <c r="S37" s="3">
        <f>29542/203453</f>
        <v>0.14520306901348223</v>
      </c>
      <c r="T37" s="3">
        <f>28956/190207</f>
        <v>0.15223414490528739</v>
      </c>
      <c r="U37" s="209">
        <f>32542/179465</f>
        <v>0.18132783551110243</v>
      </c>
      <c r="V37" s="209">
        <f>31872/170536</f>
        <v>0.18689309002204813</v>
      </c>
      <c r="W37" s="209">
        <f>25401/162373</f>
        <v>0.15643610698823079</v>
      </c>
      <c r="X37" s="209">
        <f>25405/152602</f>
        <v>0.16647881417019436</v>
      </c>
      <c r="Y37" s="209">
        <f>23546/136889</f>
        <v>0.17200797726625222</v>
      </c>
      <c r="Z37" s="209">
        <f>22189/126582</f>
        <v>0.17529348564566843</v>
      </c>
      <c r="AA37" s="209">
        <f>21486/118842</f>
        <v>0.18079466855152218</v>
      </c>
      <c r="AB37" s="209">
        <f>20753/111680</f>
        <v>0.18582557306590258</v>
      </c>
      <c r="AC37" s="209">
        <f>20589/109219</f>
        <v>0.18851115648376199</v>
      </c>
      <c r="AD37" s="209">
        <f>21433/115072</f>
        <v>0.18625729977753058</v>
      </c>
      <c r="AE37" s="56">
        <f>22298/110021</f>
        <v>0.20267039928740876</v>
      </c>
    </row>
    <row r="38" spans="1:31" x14ac:dyDescent="0.25">
      <c r="A38" s="300"/>
      <c r="B38" s="345" t="s">
        <v>130</v>
      </c>
      <c r="C38" s="345"/>
      <c r="D38" s="310">
        <f>9348/311367</f>
        <v>3.0022449392517511E-2</v>
      </c>
      <c r="E38" s="150">
        <f>9765/326909</f>
        <v>2.987069796181812E-2</v>
      </c>
      <c r="F38" s="17">
        <v>2.8321035069485429E-2</v>
      </c>
      <c r="G38" s="17">
        <v>2.7194446407506265E-2</v>
      </c>
      <c r="H38" s="17">
        <v>2.6984822677538978E-2</v>
      </c>
      <c r="I38" s="17">
        <v>2.6296259458466906E-2</v>
      </c>
      <c r="J38" s="18">
        <v>2.5849137604484963E-2</v>
      </c>
      <c r="K38" s="18">
        <v>2.5159383033419021E-2</v>
      </c>
      <c r="L38" s="18">
        <v>2.4572681503378609E-2</v>
      </c>
      <c r="M38" s="18">
        <v>2.3791940454730477E-2</v>
      </c>
      <c r="N38" s="18">
        <v>2.3550174586306361E-2</v>
      </c>
      <c r="O38" s="18">
        <v>2.3135784982640389E-2</v>
      </c>
      <c r="P38" s="18">
        <v>2.2936368855183249E-2</v>
      </c>
      <c r="Q38" s="18">
        <v>2.2521931084285938E-2</v>
      </c>
      <c r="R38" s="18">
        <v>2.2463643052439392E-2</v>
      </c>
      <c r="S38" s="3">
        <f>4964/203453</f>
        <v>2.4398755486525144E-2</v>
      </c>
      <c r="T38" s="3">
        <f>4760/190207</f>
        <v>2.5025367100054152E-2</v>
      </c>
      <c r="U38" s="209">
        <f>4179/179465</f>
        <v>2.32858774691444E-2</v>
      </c>
      <c r="V38" s="209">
        <f>3997/170536</f>
        <v>2.343786649153258E-2</v>
      </c>
      <c r="W38" s="209">
        <f>3719/162373</f>
        <v>2.2904054245471844E-2</v>
      </c>
      <c r="X38" s="209">
        <f>3636/152602</f>
        <v>2.3826686413022109E-2</v>
      </c>
      <c r="Y38" s="209">
        <f>3343/136889</f>
        <v>2.4421246411325963E-2</v>
      </c>
      <c r="Z38" s="209">
        <f>2887/126582</f>
        <v>2.2807350176170388E-2</v>
      </c>
      <c r="AA38" s="209">
        <f>2996/118842</f>
        <v>2.5209942612880967E-2</v>
      </c>
      <c r="AB38" s="209">
        <f>2484/111680</f>
        <v>2.2242120343839541E-2</v>
      </c>
      <c r="AC38" s="209">
        <f>2429/109219</f>
        <v>2.2239720195204132E-2</v>
      </c>
      <c r="AD38" s="209">
        <f>2557/115072</f>
        <v>2.2220870411568408E-2</v>
      </c>
      <c r="AE38" s="56">
        <f>2062/110021</f>
        <v>1.8741876550840295E-2</v>
      </c>
    </row>
    <row r="39" spans="1:31" ht="30" customHeight="1" x14ac:dyDescent="0.25">
      <c r="A39" s="301" t="s">
        <v>337</v>
      </c>
      <c r="B39" s="347" t="s">
        <v>225</v>
      </c>
      <c r="C39" s="347"/>
      <c r="D39" s="311"/>
      <c r="E39" s="14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AE39" s="30"/>
    </row>
    <row r="40" spans="1:31" x14ac:dyDescent="0.25">
      <c r="A40" s="300"/>
      <c r="B40" s="345" t="s">
        <v>122</v>
      </c>
      <c r="C40" s="345"/>
      <c r="D40" s="312">
        <f>4952/53650</f>
        <v>9.2301957129543338E-2</v>
      </c>
      <c r="E40" s="150">
        <f>5351/55667</f>
        <v>9.6125172903156267E-2</v>
      </c>
      <c r="F40" s="18">
        <v>9.2542133414068015E-2</v>
      </c>
      <c r="G40" s="18">
        <v>8.4421491240940172E-2</v>
      </c>
      <c r="H40" s="18">
        <v>8.3217274996207999E-2</v>
      </c>
      <c r="I40" s="18">
        <v>8.1137045725594006E-2</v>
      </c>
      <c r="J40" s="18">
        <v>8.5802688060267335E-2</v>
      </c>
      <c r="K40" s="18">
        <v>7.6254768179247437E-2</v>
      </c>
      <c r="L40" s="18">
        <v>7.2238391563257301E-2</v>
      </c>
      <c r="M40" s="18">
        <v>7.125866564904916E-2</v>
      </c>
      <c r="N40" s="18">
        <v>7.0304374007773576E-2</v>
      </c>
      <c r="O40" s="18">
        <v>7.3348626551379331E-2</v>
      </c>
      <c r="P40" s="18">
        <v>7.0811413996492906E-2</v>
      </c>
      <c r="Q40" s="18">
        <v>6.9035551241956941E-2</v>
      </c>
      <c r="R40" s="18">
        <v>7.1827286159908063E-2</v>
      </c>
      <c r="S40" s="3">
        <f>3467/45732</f>
        <v>7.5811248141345225E-2</v>
      </c>
      <c r="T40" s="3">
        <f>4115/45420</f>
        <v>9.0598855129898723E-2</v>
      </c>
      <c r="U40" s="209">
        <f>2892/44957</f>
        <v>6.4328135774184225E-2</v>
      </c>
      <c r="V40" s="209">
        <f>3411/45901</f>
        <v>7.431210649005468E-2</v>
      </c>
      <c r="W40" s="209">
        <f>3166/44478</f>
        <v>7.1181258150096682E-2</v>
      </c>
      <c r="X40" s="209">
        <f>2755/43508</f>
        <v>6.3321687965431639E-2</v>
      </c>
      <c r="Y40" s="209">
        <f>2234/40497</f>
        <v>5.5164580092352519E-2</v>
      </c>
      <c r="Z40" s="209">
        <f>2037/37256</f>
        <v>5.4675756925059049E-2</v>
      </c>
      <c r="AA40" s="209">
        <f>1699/33049</f>
        <v>5.1408514629792124E-2</v>
      </c>
      <c r="AB40" s="209">
        <f>1680/29795</f>
        <v>5.6385299546903841E-2</v>
      </c>
      <c r="AC40" s="209">
        <f>1210/23909</f>
        <v>5.0608557446986488E-2</v>
      </c>
      <c r="AD40" s="209">
        <f>1733/27507</f>
        <v>6.300214490856873E-2</v>
      </c>
      <c r="AE40" s="56">
        <f>898/26786</f>
        <v>3.3524975733592172E-2</v>
      </c>
    </row>
    <row r="41" spans="1:31" x14ac:dyDescent="0.25">
      <c r="A41" s="300"/>
      <c r="B41" s="345" t="s">
        <v>123</v>
      </c>
      <c r="C41" s="345"/>
      <c r="D41" s="310">
        <f>12666/53650</f>
        <v>0.23608574091332712</v>
      </c>
      <c r="E41" s="150">
        <f>13419/55667</f>
        <v>0.24105843677582769</v>
      </c>
      <c r="F41" s="18">
        <v>0.25497022908467049</v>
      </c>
      <c r="G41" s="18">
        <v>0.25502508876434166</v>
      </c>
      <c r="H41" s="18">
        <v>0.24348809310406641</v>
      </c>
      <c r="I41" s="18">
        <v>0.23428960853439576</v>
      </c>
      <c r="J41" s="18">
        <v>0.23035624747765046</v>
      </c>
      <c r="K41" s="18">
        <v>0.21996799152858501</v>
      </c>
      <c r="L41" s="18">
        <v>0.23092660472253004</v>
      </c>
      <c r="M41" s="18">
        <v>0.23793169242510973</v>
      </c>
      <c r="N41" s="18">
        <v>0.25793781135380739</v>
      </c>
      <c r="O41" s="18">
        <v>0.26158755367331332</v>
      </c>
      <c r="P41" s="18">
        <v>0.28043998087039695</v>
      </c>
      <c r="Q41" s="18">
        <v>0.28160609655271579</v>
      </c>
      <c r="R41" s="18">
        <v>0.27749958955836479</v>
      </c>
      <c r="S41" s="3">
        <f>14149/45732</f>
        <v>0.3093894865739526</v>
      </c>
      <c r="T41" s="3">
        <f>10795/45420</f>
        <v>0.23767062967855571</v>
      </c>
      <c r="U41" s="209">
        <f>15411/44957</f>
        <v>0.34279422559334477</v>
      </c>
      <c r="V41" s="209">
        <f>15948/45901</f>
        <v>0.34744341081893643</v>
      </c>
      <c r="W41" s="209">
        <f>15267/44478</f>
        <v>0.34324834749763927</v>
      </c>
      <c r="X41" s="209">
        <f>14404/43508</f>
        <v>0.33106555116300451</v>
      </c>
      <c r="Y41" s="209">
        <f>12821/40497</f>
        <v>0.31659135244586017</v>
      </c>
      <c r="Z41" s="209">
        <f>13669/37256</f>
        <v>0.36689392312647628</v>
      </c>
      <c r="AA41" s="209">
        <f>11568/33049</f>
        <v>0.35002571938636567</v>
      </c>
      <c r="AB41" s="209">
        <f>9921/29795</f>
        <v>0.33297533143144825</v>
      </c>
      <c r="AC41" s="209">
        <f>8319/23909</f>
        <v>0.3479442887615542</v>
      </c>
      <c r="AD41" s="209">
        <f>9863/27507</f>
        <v>0.3585632748027775</v>
      </c>
      <c r="AE41" s="56">
        <f>10620/26786</f>
        <v>0.3964757709251101</v>
      </c>
    </row>
    <row r="42" spans="1:31" x14ac:dyDescent="0.25">
      <c r="A42" s="300"/>
      <c r="B42" s="345" t="s">
        <v>124</v>
      </c>
      <c r="C42" s="345"/>
      <c r="D42" s="310">
        <f>2688/53650</f>
        <v>5.0102516309412863E-2</v>
      </c>
      <c r="E42" s="150">
        <f>2647/55667</f>
        <v>4.7550613469380422E-2</v>
      </c>
      <c r="F42" s="18">
        <v>4.7650284253372352E-2</v>
      </c>
      <c r="G42" s="18">
        <v>4.7918072713401212E-2</v>
      </c>
      <c r="H42" s="18">
        <v>5.0426772934736144E-2</v>
      </c>
      <c r="I42" s="18">
        <v>3.9998427322647863E-2</v>
      </c>
      <c r="J42" s="18">
        <v>4.1262581173794471E-2</v>
      </c>
      <c r="K42" s="18">
        <v>4.0576152485469835E-2</v>
      </c>
      <c r="L42" s="18">
        <v>4.0844161379495113E-2</v>
      </c>
      <c r="M42" s="18">
        <v>3.8847548177828657E-2</v>
      </c>
      <c r="N42" s="18">
        <v>4.0564953194284777E-2</v>
      </c>
      <c r="O42" s="18">
        <v>3.8850655843773896E-2</v>
      </c>
      <c r="P42" s="18">
        <v>3.8960624900366649E-2</v>
      </c>
      <c r="Q42" s="18">
        <v>3.8552787663107949E-2</v>
      </c>
      <c r="R42" s="18">
        <v>4.2685930060745364E-2</v>
      </c>
      <c r="S42" s="3">
        <f>1850/45732</f>
        <v>4.0453074433656956E-2</v>
      </c>
      <c r="T42" s="55">
        <f>1904/45420</f>
        <v>4.1919859092910614E-2</v>
      </c>
      <c r="U42" s="209">
        <f>1882/44957</f>
        <v>4.1862223902840494E-2</v>
      </c>
      <c r="V42" s="209">
        <f>2863/45901</f>
        <v>6.2373368771922177E-2</v>
      </c>
      <c r="W42" s="209">
        <f>2393/44478</f>
        <v>5.3801879580916409E-2</v>
      </c>
      <c r="X42" s="209">
        <f>3034/43508</f>
        <v>6.973430173761147E-2</v>
      </c>
      <c r="Y42" s="209">
        <f>2700/40497</f>
        <v>6.6671605304096604E-2</v>
      </c>
      <c r="Z42" s="209">
        <f>2283/37256</f>
        <v>6.1278720206141293E-2</v>
      </c>
      <c r="AA42" s="209">
        <f>1899/33049</f>
        <v>5.7460134951133168E-2</v>
      </c>
      <c r="AB42" s="209">
        <f>1803/29795</f>
        <v>6.0513508978016446E-2</v>
      </c>
      <c r="AC42" s="209">
        <f>1510/23909</f>
        <v>6.3156133673512069E-2</v>
      </c>
      <c r="AD42" s="209">
        <f>2252/27507</f>
        <v>8.1870069436870613E-2</v>
      </c>
      <c r="AE42" s="56">
        <f>2570/26786</f>
        <v>9.5945643246472034E-2</v>
      </c>
    </row>
    <row r="43" spans="1:31" x14ac:dyDescent="0.25">
      <c r="A43" s="300"/>
      <c r="B43" s="345" t="s">
        <v>125</v>
      </c>
      <c r="C43" s="345"/>
      <c r="D43" s="310">
        <f>5955/53650</f>
        <v>0.11099720410065238</v>
      </c>
      <c r="E43" s="150">
        <f>5754/55667</f>
        <v>0.10336465051107478</v>
      </c>
      <c r="F43" s="18">
        <v>9.3198102734887475E-2</v>
      </c>
      <c r="G43" s="18">
        <v>8.6636931834854311E-2</v>
      </c>
      <c r="H43" s="18">
        <v>5.0426772934736144E-2</v>
      </c>
      <c r="I43" s="18">
        <v>8.0901144122773674E-2</v>
      </c>
      <c r="J43" s="18">
        <v>7.1273954677200407E-2</v>
      </c>
      <c r="K43" s="18">
        <v>6.5148069263444158E-2</v>
      </c>
      <c r="L43" s="18">
        <v>6.2544905439799306E-2</v>
      </c>
      <c r="M43" s="18">
        <v>5.9708706989760225E-2</v>
      </c>
      <c r="N43" s="18">
        <v>6.8114632944654294E-2</v>
      </c>
      <c r="O43" s="18">
        <v>6.6628433621551672E-2</v>
      </c>
      <c r="P43" s="18">
        <v>6.6794197353738247E-2</v>
      </c>
      <c r="Q43" s="18">
        <v>6.5674538984147532E-2</v>
      </c>
      <c r="R43" s="18">
        <v>6.6696765719914633E-2</v>
      </c>
      <c r="S43" s="3">
        <f>2967/45732</f>
        <v>6.4877984780897402E-2</v>
      </c>
      <c r="T43" s="55">
        <f>3045/45420</f>
        <v>6.7040951122853368E-2</v>
      </c>
      <c r="U43" s="209">
        <f>2437/44957</f>
        <v>5.4207353693529373E-2</v>
      </c>
      <c r="V43" s="209">
        <f>2503/45901</f>
        <v>5.4530402387747541E-2</v>
      </c>
      <c r="W43" s="209">
        <f>2516/44478</f>
        <v>5.6567291694770448E-2</v>
      </c>
      <c r="X43" s="209">
        <f>2202/43508</f>
        <v>5.0611381814838652E-2</v>
      </c>
      <c r="Y43" s="209">
        <f>1923/40497</f>
        <v>4.7484998888806577E-2</v>
      </c>
      <c r="Z43" s="209">
        <f>1796/37256</f>
        <v>4.8207000214730511E-2</v>
      </c>
      <c r="AA43" s="209">
        <f>1712/33049</f>
        <v>5.1801869950679293E-2</v>
      </c>
      <c r="AB43" s="209">
        <f>1753/29795</f>
        <v>5.8835375062930025E-2</v>
      </c>
      <c r="AC43" s="209">
        <f>1541/23909</f>
        <v>6.4452716550253045E-2</v>
      </c>
      <c r="AD43" s="209">
        <f>2092/27507</f>
        <v>7.6053368233540558E-2</v>
      </c>
      <c r="AE43" s="56">
        <f>2321/26786</f>
        <v>8.6649742402747698E-2</v>
      </c>
    </row>
    <row r="44" spans="1:31" x14ac:dyDescent="0.25">
      <c r="A44" s="300"/>
      <c r="B44" s="345" t="s">
        <v>126</v>
      </c>
      <c r="C44" s="345"/>
      <c r="D44" s="310">
        <f>8249/53650</f>
        <v>0.15375582479030755</v>
      </c>
      <c r="E44" s="150">
        <f>8718/55667</f>
        <v>0.15660984065963676</v>
      </c>
      <c r="F44" s="18">
        <v>0.14934234870656304</v>
      </c>
      <c r="G44" s="18">
        <v>0.15226385750755597</v>
      </c>
      <c r="H44" s="18">
        <v>0.15802319328194592</v>
      </c>
      <c r="I44" s="18">
        <v>0.15894525772250109</v>
      </c>
      <c r="J44" s="18">
        <v>0.15909452237400482</v>
      </c>
      <c r="K44" s="18">
        <v>0.16592662118094412</v>
      </c>
      <c r="L44" s="18">
        <v>0.16200056017633377</v>
      </c>
      <c r="M44" s="18">
        <v>0.15119252051135279</v>
      </c>
      <c r="N44" s="18">
        <v>0.14491980073356325</v>
      </c>
      <c r="O44" s="18">
        <v>0.13869772366331393</v>
      </c>
      <c r="P44" s="18">
        <v>0.13495934959349593</v>
      </c>
      <c r="Q44" s="18">
        <v>0.13402710377799346</v>
      </c>
      <c r="R44" s="18">
        <v>0.12610819241503859</v>
      </c>
      <c r="S44" s="3">
        <f>5074/45732</f>
        <v>0.11095075658182454</v>
      </c>
      <c r="T44" s="342">
        <f>22446/45420</f>
        <v>0.4941875825627477</v>
      </c>
      <c r="U44" s="209">
        <f>4323/44957</f>
        <v>9.615855150477122E-2</v>
      </c>
      <c r="V44" s="209">
        <f>3907/45901</f>
        <v>8.5117971286028632E-2</v>
      </c>
      <c r="W44" s="209">
        <f>5488/44478</f>
        <v>0.12338684293358514</v>
      </c>
      <c r="X44" s="209">
        <f>4722/43508</f>
        <v>0.1085317642732371</v>
      </c>
      <c r="Y44" s="209">
        <f>4377/40497</f>
        <v>0.10808208015408549</v>
      </c>
      <c r="Z44" s="209">
        <f>3265/37256</f>
        <v>8.7636890702168777E-2</v>
      </c>
      <c r="AA44" s="209">
        <f>2963/33049</f>
        <v>8.9654755060667488E-2</v>
      </c>
      <c r="AB44" s="209">
        <f>2867/29795</f>
        <v>9.6224198691055543E-2</v>
      </c>
      <c r="AC44" s="209">
        <f>2118/23909</f>
        <v>8.858588815927057E-2</v>
      </c>
      <c r="AD44" s="209">
        <f>2599/27507</f>
        <v>9.4485040171592691E-2</v>
      </c>
      <c r="AE44" s="56">
        <f>1012/26786</f>
        <v>3.7780930336743075E-2</v>
      </c>
    </row>
    <row r="45" spans="1:31" x14ac:dyDescent="0.25">
      <c r="A45" s="300"/>
      <c r="B45" s="345" t="s">
        <v>127</v>
      </c>
      <c r="C45" s="345"/>
      <c r="D45" s="310">
        <f>11006/53650</f>
        <v>0.2051444547996272</v>
      </c>
      <c r="E45" s="150">
        <f>11602/55667</f>
        <v>0.20841791366518764</v>
      </c>
      <c r="F45" s="18">
        <v>0.21196218925555893</v>
      </c>
      <c r="G45" s="18">
        <v>0.22890929898177764</v>
      </c>
      <c r="H45" s="18">
        <v>0.24005460487307126</v>
      </c>
      <c r="I45" s="18">
        <v>0.25174632714310052</v>
      </c>
      <c r="J45" s="18">
        <v>0.2536535850994876</v>
      </c>
      <c r="K45" s="18">
        <v>0.27076038169500499</v>
      </c>
      <c r="L45" s="18">
        <v>0.26697273402584115</v>
      </c>
      <c r="M45" s="18">
        <v>0.26053552121096485</v>
      </c>
      <c r="N45" s="18">
        <v>0.24076202988996551</v>
      </c>
      <c r="O45" s="18">
        <v>0.23030998176577849</v>
      </c>
      <c r="P45" s="18">
        <v>0.21571815718157181</v>
      </c>
      <c r="Q45" s="18">
        <v>0.21298393184514181</v>
      </c>
      <c r="R45" s="18">
        <v>0.21285503201444755</v>
      </c>
      <c r="S45" s="3">
        <f>9573/45732</f>
        <v>0.20932826029913409</v>
      </c>
      <c r="T45" s="342"/>
      <c r="U45" s="209">
        <f>7574/44957</f>
        <v>0.16847209555797762</v>
      </c>
      <c r="V45" s="209">
        <f>6895/45901</f>
        <v>0.15021459227467812</v>
      </c>
      <c r="W45" s="209">
        <f>7003/44478</f>
        <v>0.1574486262871532</v>
      </c>
      <c r="X45" s="209">
        <f>7419/43508</f>
        <v>0.17052036407097546</v>
      </c>
      <c r="Y45" s="209">
        <f>7115/40497</f>
        <v>0.17569202656986938</v>
      </c>
      <c r="Z45" s="209">
        <f>6315/37256</f>
        <v>0.16950289886192829</v>
      </c>
      <c r="AA45" s="209">
        <f>5067/33049</f>
        <v>0.15331780084117522</v>
      </c>
      <c r="AB45" s="209">
        <f>4131/29795</f>
        <v>0.13864742406444033</v>
      </c>
      <c r="AC45" s="209">
        <f>2983/23909</f>
        <v>0.12476473294575265</v>
      </c>
      <c r="AD45" s="209">
        <f>2522/27507</f>
        <v>9.168575271749009E-2</v>
      </c>
      <c r="AE45" s="56">
        <f>3001/26786</f>
        <v>0.11203613828119166</v>
      </c>
    </row>
    <row r="46" spans="1:31" x14ac:dyDescent="0.25">
      <c r="A46" s="300"/>
      <c r="B46" s="345" t="s">
        <v>128</v>
      </c>
      <c r="C46" s="345"/>
      <c r="D46" s="310">
        <f>1988/53650</f>
        <v>3.7054986020503264E-2</v>
      </c>
      <c r="E46" s="150">
        <f>2068/55667</f>
        <v>3.7149478146837445E-2</v>
      </c>
      <c r="F46" s="18">
        <v>3.2529350422175127E-2</v>
      </c>
      <c r="G46" s="18">
        <v>2.818451245635142E-2</v>
      </c>
      <c r="H46" s="18">
        <v>2.3910315632713283E-2</v>
      </c>
      <c r="I46" s="18">
        <v>2.7901917355805144E-2</v>
      </c>
      <c r="J46" s="18">
        <v>2.8543824676833519E-2</v>
      </c>
      <c r="K46" s="18">
        <v>3.3356196527201183E-2</v>
      </c>
      <c r="L46" s="18">
        <v>3.6107018035242397E-2</v>
      </c>
      <c r="M46" s="18">
        <v>3.5871016981492081E-2</v>
      </c>
      <c r="N46" s="18">
        <v>3.4529479389062243E-2</v>
      </c>
      <c r="O46" s="18">
        <v>3.3630374683842126E-2</v>
      </c>
      <c r="P46" s="18">
        <v>3.4066634783994902E-2</v>
      </c>
      <c r="Q46" s="18">
        <v>3.8139401128724972E-2</v>
      </c>
      <c r="R46" s="18">
        <v>4.1126251846987358E-2</v>
      </c>
      <c r="S46" s="3">
        <f>1684/45732</f>
        <v>3.6823230997988281E-2</v>
      </c>
      <c r="T46" s="342"/>
      <c r="U46" s="209">
        <f>1587/44957</f>
        <v>3.5300398158240098E-2</v>
      </c>
      <c r="V46" s="209">
        <f>1710/45901</f>
        <v>3.7254090324829521E-2</v>
      </c>
      <c r="W46" s="209">
        <f>1761/44478</f>
        <v>3.9592607581276133E-2</v>
      </c>
      <c r="X46" s="209">
        <f>1627/43508</f>
        <v>3.7395421531672336E-2</v>
      </c>
      <c r="Y46" s="209">
        <f>1503/404097</f>
        <v>3.7194040044840719E-3</v>
      </c>
      <c r="Z46" s="209">
        <f>1407/37256</f>
        <v>3.7765729010092335E-2</v>
      </c>
      <c r="AA46" s="209">
        <f>1495/33049</f>
        <v>4.523586190202427E-2</v>
      </c>
      <c r="AB46" s="209">
        <f>1217/29795</f>
        <v>4.084577949320356E-2</v>
      </c>
      <c r="AC46" s="209">
        <f>1144/23909</f>
        <v>4.7848090677150866E-2</v>
      </c>
      <c r="AD46" s="209">
        <f>966/27507</f>
        <v>3.5118333515105245E-2</v>
      </c>
      <c r="AE46" s="56">
        <f>864/26786</f>
        <v>3.2255655939669975E-2</v>
      </c>
    </row>
    <row r="47" spans="1:31" x14ac:dyDescent="0.25">
      <c r="A47" s="300"/>
      <c r="B47" s="345" t="s">
        <v>129</v>
      </c>
      <c r="C47" s="345"/>
      <c r="D47" s="310">
        <f>4831/53650</f>
        <v>9.0046598322460397E-2</v>
      </c>
      <c r="E47" s="150">
        <f>4728/55667</f>
        <v>8.4933623151957169E-2</v>
      </c>
      <c r="F47" s="18">
        <v>9.3416759175160624E-2</v>
      </c>
      <c r="G47" s="18">
        <v>9.4456996977610841E-2</v>
      </c>
      <c r="H47" s="18">
        <v>9.7102908123164328E-2</v>
      </c>
      <c r="I47" s="18">
        <v>0.10426850844658794</v>
      </c>
      <c r="J47" s="18">
        <v>0.1112157419070797</v>
      </c>
      <c r="K47" s="18">
        <v>0.10915370082909161</v>
      </c>
      <c r="L47" s="18">
        <v>0.11061047042634291</v>
      </c>
      <c r="M47" s="18">
        <v>0.12623545124976149</v>
      </c>
      <c r="N47" s="18">
        <v>0.12429517709530848</v>
      </c>
      <c r="O47" s="18">
        <v>0.13840362331627551</v>
      </c>
      <c r="P47" s="18">
        <v>0.14163876932886976</v>
      </c>
      <c r="Q47" s="18">
        <v>0.14526043351666126</v>
      </c>
      <c r="R47" s="18">
        <v>0.14685601707437201</v>
      </c>
      <c r="S47" s="3">
        <f>6293/45732</f>
        <v>0.13760605265459636</v>
      </c>
      <c r="T47" s="342"/>
      <c r="U47" s="209">
        <f>8031/44957</f>
        <v>0.17863736459283316</v>
      </c>
      <c r="V47" s="209">
        <f>7752/45901</f>
        <v>0.1688852094725605</v>
      </c>
      <c r="W47" s="209">
        <f>6019/44478</f>
        <v>0.13532532937632089</v>
      </c>
      <c r="X47" s="209">
        <f>6532/43508</f>
        <v>0.15013330881676934</v>
      </c>
      <c r="Y47" s="209">
        <f>7008/40497</f>
        <v>0.17304985554485516</v>
      </c>
      <c r="Z47" s="209">
        <f>5838/37256</f>
        <v>0.15669959201202491</v>
      </c>
      <c r="AA47" s="209">
        <f>5952/33049</f>
        <v>0.18009622076310933</v>
      </c>
      <c r="AB47" s="209">
        <f>5780/29795</f>
        <v>0.1939922805839906</v>
      </c>
      <c r="AC47" s="209">
        <f>4558/23909</f>
        <v>0.19063950813501193</v>
      </c>
      <c r="AD47" s="209">
        <f>4777/27507</f>
        <v>0.17366488530192314</v>
      </c>
      <c r="AE47" s="56">
        <f>5027/26786</f>
        <v>0.18767266482490855</v>
      </c>
    </row>
    <row r="48" spans="1:31" x14ac:dyDescent="0.25">
      <c r="A48" s="300"/>
      <c r="B48" s="345" t="s">
        <v>130</v>
      </c>
      <c r="C48" s="345"/>
      <c r="D48" s="310">
        <f>1350/53650</f>
        <v>2.5163094128611369E-2</v>
      </c>
      <c r="E48" s="150">
        <f>1419/55667</f>
        <v>2.5490865324159735E-2</v>
      </c>
      <c r="F48" s="18">
        <v>2.5313687893161099E-2</v>
      </c>
      <c r="G48" s="18">
        <v>2.2814636579711847E-2</v>
      </c>
      <c r="H48" s="18">
        <v>2.2393513602956387E-2</v>
      </c>
      <c r="I48" s="18">
        <v>2.193884906229113E-2</v>
      </c>
      <c r="J48" s="18">
        <v>2.0093189350487348E-2</v>
      </c>
      <c r="K48" s="18">
        <v>2.0083510823917308E-2</v>
      </c>
      <c r="L48" s="18">
        <v>1.9301728022212208E-2</v>
      </c>
      <c r="M48" s="18">
        <v>1.9703618902245118E-2</v>
      </c>
      <c r="N48" s="18">
        <v>1.9570810751628621E-2</v>
      </c>
      <c r="O48" s="18">
        <v>1.9763543320981118E-2</v>
      </c>
      <c r="P48" s="18">
        <v>1.9081779053084648E-2</v>
      </c>
      <c r="Q48" s="18">
        <v>1.8027247564614112E-2</v>
      </c>
      <c r="R48" s="18">
        <v>1.6356099162699065E-2</v>
      </c>
      <c r="S48" s="3">
        <f>861/45732</f>
        <v>1.8827079506691158E-2</v>
      </c>
      <c r="T48" s="55">
        <f>922/45420</f>
        <v>2.029942756494936E-2</v>
      </c>
      <c r="U48" s="209">
        <f>820/44957</f>
        <v>1.8239651222279066E-2</v>
      </c>
      <c r="V48" s="209">
        <f>912/45901</f>
        <v>1.9868848173242411E-2</v>
      </c>
      <c r="W48" s="209">
        <f>865/44478</f>
        <v>1.9447816898241828E-2</v>
      </c>
      <c r="X48" s="209">
        <f>813/43508</f>
        <v>1.8686218626459503E-2</v>
      </c>
      <c r="Y48" s="209">
        <f>816/40497</f>
        <v>2.0149640714126973E-2</v>
      </c>
      <c r="Z48" s="209">
        <f>646/37256</f>
        <v>1.7339488941378569E-2</v>
      </c>
      <c r="AA48" s="209">
        <f>694/33049</f>
        <v>2.0999122515053405E-2</v>
      </c>
      <c r="AB48" s="209">
        <f>643/29795</f>
        <v>2.1580802148011412E-2</v>
      </c>
      <c r="AC48" s="209">
        <f>526/23909</f>
        <v>2.2000083650508175E-2</v>
      </c>
      <c r="AD48" s="209">
        <f>703/27507</f>
        <v>2.5557130912131458E-2</v>
      </c>
      <c r="AE48" s="56">
        <f>473/26786</f>
        <v>1.7658478309564699E-2</v>
      </c>
    </row>
    <row r="49" spans="1:31" ht="30" customHeight="1" x14ac:dyDescent="0.25">
      <c r="A49" s="301" t="s">
        <v>137</v>
      </c>
      <c r="B49" s="347" t="s">
        <v>148</v>
      </c>
      <c r="C49" s="347"/>
      <c r="D49" s="277"/>
      <c r="E49" s="147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AE49" s="30"/>
    </row>
    <row r="50" spans="1:31" x14ac:dyDescent="0.25">
      <c r="A50" s="300"/>
      <c r="B50" s="345" t="s">
        <v>122</v>
      </c>
      <c r="C50" s="345"/>
      <c r="D50" s="310">
        <f>6009/77328</f>
        <v>7.7707945375543139E-2</v>
      </c>
      <c r="E50" s="150">
        <f>6166/82004</f>
        <v>7.519145407541096E-2</v>
      </c>
      <c r="F50" s="18">
        <v>7.1937467383658929E-2</v>
      </c>
      <c r="G50" s="18">
        <v>7.3713718517872145E-2</v>
      </c>
      <c r="H50" s="18">
        <v>6.9127023833601225E-2</v>
      </c>
      <c r="I50" s="18">
        <v>6.4619521376714173E-2</v>
      </c>
      <c r="J50" s="18">
        <v>6.800658604439902E-2</v>
      </c>
      <c r="K50" s="18">
        <v>6.7678831402390532E-2</v>
      </c>
      <c r="L50" s="18">
        <v>7.2752099406021717E-2</v>
      </c>
      <c r="M50" s="18">
        <v>7.6646856820284451E-2</v>
      </c>
      <c r="N50" s="18">
        <v>8.4073526936813955E-2</v>
      </c>
      <c r="O50" s="18">
        <v>7.5863157657352909E-2</v>
      </c>
      <c r="P50" s="18">
        <v>7.7043328730361377E-2</v>
      </c>
      <c r="Q50" s="18">
        <v>7.2982072982072987E-2</v>
      </c>
      <c r="R50" s="18">
        <v>7.0051866555676509E-2</v>
      </c>
      <c r="S50" s="3">
        <f>1988/30102</f>
        <v>6.6042123446947043E-2</v>
      </c>
      <c r="T50" s="3">
        <f>1926/29651</f>
        <v>6.4955650736906012E-2</v>
      </c>
      <c r="U50" s="209">
        <f>1387/26687</f>
        <v>5.1972870686101846E-2</v>
      </c>
      <c r="V50" s="209">
        <f>1403/25960</f>
        <v>5.4044684129429893E-2</v>
      </c>
      <c r="W50" s="209">
        <f>1341/22934</f>
        <v>5.8472137437865175E-2</v>
      </c>
      <c r="X50" s="209">
        <f>1037/20179</f>
        <v>5.1390058972198824E-2</v>
      </c>
      <c r="Y50" s="209">
        <f>1077/18801</f>
        <v>5.7284187011329188E-2</v>
      </c>
      <c r="Z50" s="209">
        <f>950/19129</f>
        <v>4.9662815620262431E-2</v>
      </c>
      <c r="AA50" s="209">
        <f>674/17513</f>
        <v>3.8485696339861819E-2</v>
      </c>
      <c r="AB50" s="209">
        <f>606/17726</f>
        <v>3.4187069840911653E-2</v>
      </c>
      <c r="AC50" s="209">
        <f>552/18043</f>
        <v>3.0593581998558998E-2</v>
      </c>
      <c r="AD50" s="209">
        <f>457/15318</f>
        <v>2.9834182008095053E-2</v>
      </c>
      <c r="AE50" s="56">
        <f>537/18580</f>
        <v>2.890204520990312E-2</v>
      </c>
    </row>
    <row r="51" spans="1:31" x14ac:dyDescent="0.25">
      <c r="A51" s="300"/>
      <c r="B51" s="345" t="s">
        <v>123</v>
      </c>
      <c r="C51" s="345"/>
      <c r="D51" s="310">
        <f>16823/77328</f>
        <v>0.21755379681357334</v>
      </c>
      <c r="E51" s="150">
        <f>17646/82004</f>
        <v>0.21518462514023706</v>
      </c>
      <c r="F51" s="18">
        <v>0.20470582896557984</v>
      </c>
      <c r="G51" s="18">
        <v>0.20356897435617755</v>
      </c>
      <c r="H51" s="18">
        <v>0.1980349786572709</v>
      </c>
      <c r="I51" s="18">
        <v>0.20772250605001344</v>
      </c>
      <c r="J51" s="18">
        <v>0.2063362289218191</v>
      </c>
      <c r="K51" s="18">
        <v>0.22302695163875261</v>
      </c>
      <c r="L51" s="18">
        <v>0.24538813408889193</v>
      </c>
      <c r="M51" s="18">
        <v>0.24527621407178588</v>
      </c>
      <c r="N51" s="18">
        <v>0.22145969295211027</v>
      </c>
      <c r="O51" s="18">
        <v>0.20747355839704124</v>
      </c>
      <c r="P51" s="18">
        <v>0.22221932727130611</v>
      </c>
      <c r="Q51" s="18">
        <v>0.23144356477689812</v>
      </c>
      <c r="R51" s="18">
        <v>0.23151053339309727</v>
      </c>
      <c r="S51" s="3">
        <f>6761/30102</f>
        <v>0.22460301641086972</v>
      </c>
      <c r="T51" s="3">
        <f>6452/29651</f>
        <v>0.21759805740109947</v>
      </c>
      <c r="U51" s="209">
        <f>5930/26687</f>
        <v>0.22220556825420618</v>
      </c>
      <c r="V51" s="209">
        <f>5792/25960</f>
        <v>0.22311248073959938</v>
      </c>
      <c r="W51" s="209">
        <f>4847/22934</f>
        <v>0.21134560041859249</v>
      </c>
      <c r="X51" s="209">
        <f>4616/20179</f>
        <v>0.22875266366024086</v>
      </c>
      <c r="Y51" s="209">
        <f>4143/18801</f>
        <v>0.22036061911600446</v>
      </c>
      <c r="Z51" s="209">
        <f>5527/19129</f>
        <v>0.28893303361388467</v>
      </c>
      <c r="AA51" s="209">
        <f>6074/17513</f>
        <v>0.34682807057614345</v>
      </c>
      <c r="AB51" s="209">
        <f>5828/17726</f>
        <v>0.32878257926210086</v>
      </c>
      <c r="AC51" s="209">
        <f>6361/18043</f>
        <v>0.35254669400875688</v>
      </c>
      <c r="AD51" s="209">
        <f>5690/15318</f>
        <v>0.37145841493667581</v>
      </c>
      <c r="AE51" s="56">
        <f>7147/18580</f>
        <v>0.38466092572658772</v>
      </c>
    </row>
    <row r="52" spans="1:31" x14ac:dyDescent="0.25">
      <c r="A52" s="300"/>
      <c r="B52" s="345" t="s">
        <v>124</v>
      </c>
      <c r="C52" s="345"/>
      <c r="D52" s="310">
        <f>3161/77328</f>
        <v>4.0877819159942062E-2</v>
      </c>
      <c r="E52" s="150">
        <f>3186/82004</f>
        <v>3.8851763328618116E-2</v>
      </c>
      <c r="F52" s="18">
        <v>3.6473577927529324E-2</v>
      </c>
      <c r="G52" s="18">
        <v>3.7282256569116157E-2</v>
      </c>
      <c r="H52" s="18">
        <v>3.7746292964882959E-2</v>
      </c>
      <c r="I52" s="18">
        <v>3.4891099757999464E-2</v>
      </c>
      <c r="J52" s="18">
        <v>3.494010106171578E-2</v>
      </c>
      <c r="K52" s="18">
        <v>3.7362825578976987E-2</v>
      </c>
      <c r="L52" s="18">
        <v>3.8437905373113951E-2</v>
      </c>
      <c r="M52" s="18">
        <v>4.1647719254229845E-2</v>
      </c>
      <c r="N52" s="18">
        <v>4.1961964956897357E-2</v>
      </c>
      <c r="O52" s="18">
        <v>3.8630674514579529E-2</v>
      </c>
      <c r="P52" s="18">
        <v>3.6919309033115341E-2</v>
      </c>
      <c r="Q52" s="18">
        <v>3.9585039585039582E-2</v>
      </c>
      <c r="R52" s="18">
        <v>3.7395146314913238E-2</v>
      </c>
      <c r="S52" s="3">
        <f>1187/30102</f>
        <v>3.9432595840807917E-2</v>
      </c>
      <c r="T52" s="3">
        <f>1133/29651</f>
        <v>3.8211190179083337E-2</v>
      </c>
      <c r="U52" s="209">
        <f>976/26687</f>
        <v>3.6572113763255518E-2</v>
      </c>
      <c r="V52" s="209">
        <f>1416/25960</f>
        <v>5.4545454545454543E-2</v>
      </c>
      <c r="W52" s="209">
        <f>1429/22934</f>
        <v>6.2309235196651262E-2</v>
      </c>
      <c r="X52" s="209">
        <f>1075/20179</f>
        <v>5.3273204816888846E-2</v>
      </c>
      <c r="Y52" s="209">
        <f>1330/18801</f>
        <v>7.0740918036274664E-2</v>
      </c>
      <c r="Z52" s="209">
        <f>1401/19129</f>
        <v>7.323958387788175E-2</v>
      </c>
      <c r="AA52" s="209">
        <f>1705/17513</f>
        <v>9.7356249643122256E-2</v>
      </c>
      <c r="AB52" s="209">
        <f>1720/17726</f>
        <v>9.7032607469254198E-2</v>
      </c>
      <c r="AC52" s="209">
        <f>1992/18043</f>
        <v>0.11040292634262595</v>
      </c>
      <c r="AD52" s="209">
        <f>1405/15318</f>
        <v>9.1722156939548244E-2</v>
      </c>
      <c r="AE52" s="56">
        <f>1934/18580</f>
        <v>0.10409041980624327</v>
      </c>
    </row>
    <row r="53" spans="1:31" x14ac:dyDescent="0.25">
      <c r="A53" s="300"/>
      <c r="B53" s="345" t="s">
        <v>125</v>
      </c>
      <c r="C53" s="345"/>
      <c r="D53" s="310">
        <f>5665/77328</f>
        <v>7.3259362714669971E-2</v>
      </c>
      <c r="E53" s="150">
        <f>5455/82004</f>
        <v>6.6521145309984875E-2</v>
      </c>
      <c r="F53" s="18">
        <v>6.4744855126721582E-2</v>
      </c>
      <c r="G53" s="18">
        <v>5.9991928358729914E-2</v>
      </c>
      <c r="H53" s="18">
        <v>5.8045836304993451E-2</v>
      </c>
      <c r="I53" s="18">
        <v>5.7649905888679756E-2</v>
      </c>
      <c r="J53" s="18">
        <v>5.5901890648952478E-2</v>
      </c>
      <c r="K53" s="18">
        <v>6.173307723363388E-2</v>
      </c>
      <c r="L53" s="18">
        <v>5.811428961562095E-2</v>
      </c>
      <c r="M53" s="18">
        <v>6.0166528154548163E-2</v>
      </c>
      <c r="N53" s="18">
        <v>6.4700712455822124E-2</v>
      </c>
      <c r="O53" s="18">
        <v>7.0202737748911892E-2</v>
      </c>
      <c r="P53" s="18">
        <v>7.112894400875433E-2</v>
      </c>
      <c r="Q53" s="18">
        <v>7.337640670974005E-2</v>
      </c>
      <c r="R53" s="18">
        <v>7.0340014087212646E-2</v>
      </c>
      <c r="S53" s="3">
        <f>2152/30102</f>
        <v>7.1490266427479895E-2</v>
      </c>
      <c r="T53" s="3">
        <f>2121/29651</f>
        <v>7.1532157431452567E-2</v>
      </c>
      <c r="U53" s="209">
        <f>1719/26687</f>
        <v>6.4413384794094503E-2</v>
      </c>
      <c r="V53" s="209">
        <f>1650/25960</f>
        <v>6.3559322033898302E-2</v>
      </c>
      <c r="W53" s="209">
        <f>1832/22934</f>
        <v>7.9881398796546613E-2</v>
      </c>
      <c r="X53" s="209">
        <f>1766/20179</f>
        <v>8.751672530848903E-2</v>
      </c>
      <c r="Y53" s="209">
        <f>1809/18801</f>
        <v>9.6218286261369079E-2</v>
      </c>
      <c r="Z53" s="209">
        <f>1728/19129</f>
        <v>9.0334047780856297E-2</v>
      </c>
      <c r="AA53" s="209">
        <f>1490/17513</f>
        <v>8.507965511334438E-2</v>
      </c>
      <c r="AB53" s="209">
        <f>1373/17726</f>
        <v>7.745684305539885E-2</v>
      </c>
      <c r="AC53" s="209">
        <f>1370/18043</f>
        <v>7.5929723438452584E-2</v>
      </c>
      <c r="AD53" s="209">
        <f>1245/15318</f>
        <v>8.1276929103016066E-2</v>
      </c>
      <c r="AE53" s="56">
        <f>1322/18580</f>
        <v>7.1151776103336922E-2</v>
      </c>
    </row>
    <row r="54" spans="1:31" x14ac:dyDescent="0.25">
      <c r="A54" s="300"/>
      <c r="B54" s="345" t="s">
        <v>126</v>
      </c>
      <c r="C54" s="345"/>
      <c r="D54" s="310">
        <f>13163/77328</f>
        <v>0.17022294641009725</v>
      </c>
      <c r="E54" s="150">
        <f>13750/82004</f>
        <v>0.1676747475732891</v>
      </c>
      <c r="F54" s="18">
        <v>0.16717718330950923</v>
      </c>
      <c r="G54" s="18">
        <v>0.16519595545326629</v>
      </c>
      <c r="H54" s="18">
        <v>0.16432304695400402</v>
      </c>
      <c r="I54" s="18">
        <v>0.16120462489916645</v>
      </c>
      <c r="J54" s="18">
        <v>0.1594276954522228</v>
      </c>
      <c r="K54" s="18">
        <v>0.14931672763307602</v>
      </c>
      <c r="L54" s="18">
        <v>0.13863589813613708</v>
      </c>
      <c r="M54" s="18">
        <v>0.1399808696470293</v>
      </c>
      <c r="N54" s="18">
        <v>0.13944312508181086</v>
      </c>
      <c r="O54" s="18">
        <v>0.1401574092866969</v>
      </c>
      <c r="P54" s="18">
        <v>0.13055939136551939</v>
      </c>
      <c r="Q54" s="18">
        <v>0.13104013104013104</v>
      </c>
      <c r="R54" s="18">
        <v>0.11721201255042582</v>
      </c>
      <c r="S54" s="3">
        <f>3048/30102</f>
        <v>0.10125573051624477</v>
      </c>
      <c r="T54" s="341">
        <f>17254/29651</f>
        <v>0.58190280260362215</v>
      </c>
      <c r="U54" s="209">
        <f>2526/26687</f>
        <v>9.4652827219245325E-2</v>
      </c>
      <c r="V54" s="209">
        <f>3279/25960</f>
        <v>0.12630970724191062</v>
      </c>
      <c r="W54" s="209">
        <f>2723/22934</f>
        <v>0.11873201360425568</v>
      </c>
      <c r="X54" s="209">
        <f>2251/20179</f>
        <v>0.11155161306308539</v>
      </c>
      <c r="Y54" s="209">
        <f>1664/18801</f>
        <v>8.8505930535609803E-2</v>
      </c>
      <c r="Z54" s="209">
        <f>1241/19129</f>
        <v>6.4875320194469135E-2</v>
      </c>
      <c r="AA54" s="209">
        <f>827/17513</f>
        <v>4.7222063609889793E-2</v>
      </c>
      <c r="AB54" s="209">
        <f>796/17726</f>
        <v>4.4905788107864157E-2</v>
      </c>
      <c r="AC54" s="209">
        <f>657/18043</f>
        <v>3.6413013356980543E-2</v>
      </c>
      <c r="AD54" s="209">
        <f>484/15318</f>
        <v>3.159681420550986E-2</v>
      </c>
      <c r="AE54" s="56">
        <f>517/18580</f>
        <v>2.782561894510226E-2</v>
      </c>
    </row>
    <row r="55" spans="1:31" x14ac:dyDescent="0.25">
      <c r="A55" s="300"/>
      <c r="B55" s="345" t="s">
        <v>127</v>
      </c>
      <c r="C55" s="345"/>
      <c r="D55" s="310">
        <f>18903/77328</f>
        <v>0.2444522036002483</v>
      </c>
      <c r="E55" s="150">
        <f>20857/82004</f>
        <v>0.25434125164626115</v>
      </c>
      <c r="F55" s="18">
        <v>0.26790778934948833</v>
      </c>
      <c r="G55" s="18">
        <v>0.26864385519039258</v>
      </c>
      <c r="H55" s="18">
        <v>0.27594392344293878</v>
      </c>
      <c r="I55" s="18">
        <v>0.27711750470556601</v>
      </c>
      <c r="J55" s="18">
        <v>0.27350252654289448</v>
      </c>
      <c r="K55" s="18">
        <v>0.2694307490916209</v>
      </c>
      <c r="L55" s="18">
        <v>0.25861951252816279</v>
      </c>
      <c r="M55" s="18">
        <v>0.24082291879008358</v>
      </c>
      <c r="N55" s="18">
        <v>0.24906034369916039</v>
      </c>
      <c r="O55" s="18">
        <v>0.25311774124439035</v>
      </c>
      <c r="P55" s="18">
        <v>0.24986321356921393</v>
      </c>
      <c r="Q55" s="18">
        <v>0.22731822731822732</v>
      </c>
      <c r="R55" s="18">
        <v>0.23996286098482422</v>
      </c>
      <c r="S55" s="3">
        <f>7618/30102</f>
        <v>0.25307288552255663</v>
      </c>
      <c r="T55" s="341"/>
      <c r="U55" s="209">
        <f>7070/26687</f>
        <v>0.26492299621538579</v>
      </c>
      <c r="V55" s="209">
        <f>6443/25960</f>
        <v>0.24818952234206471</v>
      </c>
      <c r="W55" s="209">
        <f>5203/22934</f>
        <v>0.22686840498822708</v>
      </c>
      <c r="X55" s="209">
        <f>4151/20179</f>
        <v>0.20570890529758659</v>
      </c>
      <c r="Y55" s="209">
        <f>3618/18801</f>
        <v>0.19243657252273816</v>
      </c>
      <c r="Z55" s="209">
        <f>3370/19129</f>
        <v>0.17617230383187829</v>
      </c>
      <c r="AA55" s="209">
        <f>2328/17513</f>
        <v>0.13292982355964142</v>
      </c>
      <c r="AB55" s="209">
        <f>2720/17726</f>
        <v>0.15344691413742526</v>
      </c>
      <c r="AC55" s="209">
        <f>2215/18043</f>
        <v>0.12276229008479743</v>
      </c>
      <c r="AD55" s="209">
        <f>1642/15318</f>
        <v>0.10719415067241155</v>
      </c>
      <c r="AE55" s="56">
        <f>2507/18580</f>
        <v>0.13493003229278794</v>
      </c>
    </row>
    <row r="56" spans="1:31" x14ac:dyDescent="0.25">
      <c r="A56" s="300"/>
      <c r="B56" s="345" t="s">
        <v>128</v>
      </c>
      <c r="C56" s="345"/>
      <c r="D56" s="310">
        <f>2517/77328</f>
        <v>3.2549658597144628E-2</v>
      </c>
      <c r="E56" s="150">
        <f>2803/82004</f>
        <v>3.4181259450758499E-2</v>
      </c>
      <c r="F56" s="18">
        <v>3.153858371338461E-2</v>
      </c>
      <c r="G56" s="18">
        <v>3.1817537276802754E-2</v>
      </c>
      <c r="H56" s="18">
        <v>3.492543350755245E-2</v>
      </c>
      <c r="I56" s="18">
        <v>3.215918257596128E-2</v>
      </c>
      <c r="J56" s="18">
        <v>3.487196956793278E-2</v>
      </c>
      <c r="K56" s="18">
        <v>3.2200051383060715E-2</v>
      </c>
      <c r="L56" s="18">
        <v>3.2716597255410665E-2</v>
      </c>
      <c r="M56" s="18">
        <v>3.5124582503567342E-2</v>
      </c>
      <c r="N56" s="18">
        <v>3.7399255754810477E-2</v>
      </c>
      <c r="O56" s="18">
        <v>4.3298829578512957E-2</v>
      </c>
      <c r="P56" s="18">
        <v>4.4605403715380007E-2</v>
      </c>
      <c r="Q56" s="18">
        <v>4.4590044590044592E-2</v>
      </c>
      <c r="R56" s="18">
        <v>4.6391752577319589E-2</v>
      </c>
      <c r="S56" s="3">
        <f>1361/30102</f>
        <v>4.521294266161717E-2</v>
      </c>
      <c r="T56" s="341"/>
      <c r="U56" s="209">
        <f>1276/26687</f>
        <v>4.7813542174092255E-2</v>
      </c>
      <c r="V56" s="209">
        <f>1150/25960</f>
        <v>4.4298921417565487E-2</v>
      </c>
      <c r="W56" s="209">
        <f>1000/22934</f>
        <v>4.360338362256911E-2</v>
      </c>
      <c r="X56" s="209">
        <f>851/20179</f>
        <v>4.217255562713712E-2</v>
      </c>
      <c r="Y56" s="209">
        <f>863/18801</f>
        <v>4.5901813733312057E-2</v>
      </c>
      <c r="Z56" s="209">
        <f>686/19129</f>
        <v>3.5861780542631609E-2</v>
      </c>
      <c r="AA56" s="209">
        <f>745/17513</f>
        <v>4.253982755667219E-2</v>
      </c>
      <c r="AB56" s="209">
        <f>574/17726</f>
        <v>3.2381812027530182E-2</v>
      </c>
      <c r="AC56" s="209">
        <f>620/18043</f>
        <v>3.4362356592584381E-2</v>
      </c>
      <c r="AD56" s="209">
        <f>431/15318</f>
        <v>2.8136832484658571E-2</v>
      </c>
      <c r="AE56" s="56">
        <f>612/18580</f>
        <v>3.2938643702906348E-2</v>
      </c>
    </row>
    <row r="57" spans="1:31" x14ac:dyDescent="0.25">
      <c r="A57" s="300"/>
      <c r="B57" s="345" t="s">
        <v>129</v>
      </c>
      <c r="C57" s="345"/>
      <c r="D57" s="310">
        <f>9034/77328</f>
        <v>0.11682702255327954</v>
      </c>
      <c r="E57" s="150">
        <f>10107/82004</f>
        <v>0.12325008536168967</v>
      </c>
      <c r="F57" s="18">
        <v>0.13136160461053253</v>
      </c>
      <c r="G57" s="18">
        <v>0.13599624777757174</v>
      </c>
      <c r="H57" s="18">
        <v>0.13853081123660091</v>
      </c>
      <c r="I57" s="18">
        <v>0.14318902930895402</v>
      </c>
      <c r="J57" s="18">
        <v>0.14743655254641458</v>
      </c>
      <c r="K57" s="18">
        <v>0.14004330857974773</v>
      </c>
      <c r="L57" s="18">
        <v>0.13709292005188775</v>
      </c>
      <c r="M57" s="18">
        <v>0.14027880137362206</v>
      </c>
      <c r="N57" s="18">
        <v>0.14247246479795053</v>
      </c>
      <c r="O57" s="18">
        <v>0.14911034436100398</v>
      </c>
      <c r="P57" s="18">
        <v>0.14559287147286418</v>
      </c>
      <c r="Q57" s="18">
        <v>0.15636848970182304</v>
      </c>
      <c r="R57" s="18">
        <v>0.1598258308253826</v>
      </c>
      <c r="S57" s="3">
        <f>5141/30102</f>
        <v>0.17078599428609395</v>
      </c>
      <c r="T57" s="341"/>
      <c r="U57" s="209">
        <f>5198/26687</f>
        <v>0.19477648293176453</v>
      </c>
      <c r="V57" s="209">
        <f>4161/25960</f>
        <v>0.16028505392912173</v>
      </c>
      <c r="W57" s="209">
        <f>3944/22934</f>
        <v>0.17197174500741258</v>
      </c>
      <c r="X57" s="209">
        <f>3908/20179</f>
        <v>0.19366668318548985</v>
      </c>
      <c r="Y57" s="209">
        <f>3890/18801</f>
        <v>0.20690388809105897</v>
      </c>
      <c r="Z57" s="209">
        <f>3804/19129</f>
        <v>0.19886036907313503</v>
      </c>
      <c r="AA57" s="209">
        <f>3345/17513</f>
        <v>0.19100097070747446</v>
      </c>
      <c r="AB57" s="209">
        <f>3766/17726</f>
        <v>0.21245627891233218</v>
      </c>
      <c r="AC57" s="209">
        <f>3913/18043</f>
        <v>0.21687080862384303</v>
      </c>
      <c r="AD57" s="209">
        <f>3666/15318</f>
        <v>0.23932628280454368</v>
      </c>
      <c r="AE57" s="56">
        <f>3711/18580</f>
        <v>0.19973089343379979</v>
      </c>
    </row>
    <row r="58" spans="1:31" ht="15.75" thickBot="1" x14ac:dyDescent="0.3">
      <c r="A58" s="302"/>
      <c r="B58" s="346" t="s">
        <v>130</v>
      </c>
      <c r="C58" s="346"/>
      <c r="D58" s="313">
        <f>2216/77328</f>
        <v>2.8657148768880612E-2</v>
      </c>
      <c r="E58" s="32">
        <f>2210/82004</f>
        <v>2.6949904882688648E-2</v>
      </c>
      <c r="F58" s="32">
        <v>2.6399382842102876E-2</v>
      </c>
      <c r="G58" s="32">
        <v>2.6549155204572475E-2</v>
      </c>
      <c r="H58" s="32">
        <v>2.6228670576839148E-2</v>
      </c>
      <c r="I58" s="32">
        <v>2.4382898628663618E-2</v>
      </c>
      <c r="J58" s="32">
        <v>2.2835405666269234E-2</v>
      </c>
      <c r="K58" s="32">
        <v>2.2584078591614775E-2</v>
      </c>
      <c r="L58" s="32">
        <v>2.1410527753123507E-2</v>
      </c>
      <c r="M58" s="32">
        <v>2.3285716525802455E-2</v>
      </c>
      <c r="N58" s="32">
        <v>2.2794846382556987E-2</v>
      </c>
      <c r="O58" s="32">
        <v>2.5550819746070406E-2</v>
      </c>
      <c r="P58" s="32">
        <v>2.6315103827414605E-2</v>
      </c>
      <c r="Q58" s="32">
        <v>2.799769466436133E-2</v>
      </c>
      <c r="R58" s="32">
        <v>3.1087917013510918E-2</v>
      </c>
      <c r="S58" s="62">
        <f>903/30102</f>
        <v>2.9998006776958342E-2</v>
      </c>
      <c r="T58" s="62">
        <f>633/29651</f>
        <v>2.1348352500758828E-2</v>
      </c>
      <c r="U58" s="60">
        <f>605/26687</f>
        <v>2.2670213961854088E-2</v>
      </c>
      <c r="V58" s="60">
        <f>666/25960</f>
        <v>2.5654853620955317E-2</v>
      </c>
      <c r="W58" s="60">
        <f>615/22934</f>
        <v>2.6816080927880005E-2</v>
      </c>
      <c r="X58" s="60">
        <f>524/20179</f>
        <v>2.5967590068883491E-2</v>
      </c>
      <c r="Y58" s="60">
        <f>407/18801</f>
        <v>2.16477846923036E-2</v>
      </c>
      <c r="Z58" s="60">
        <f>422/19129</f>
        <v>2.2060745465000784E-2</v>
      </c>
      <c r="AA58" s="60">
        <f>325/17513</f>
        <v>1.8557642893850281E-2</v>
      </c>
      <c r="AB58" s="60">
        <f>343/17726</f>
        <v>1.935010718718267E-2</v>
      </c>
      <c r="AC58" s="60">
        <f>363/18043</f>
        <v>2.0118605553400212E-2</v>
      </c>
      <c r="AD58" s="60">
        <f>298/15318</f>
        <v>1.9454236845541192E-2</v>
      </c>
      <c r="AE58" s="71">
        <f>293/18580</f>
        <v>1.5769644779332615E-2</v>
      </c>
    </row>
    <row r="59" spans="1:31" x14ac:dyDescent="0.25">
      <c r="D59" s="166"/>
    </row>
    <row r="60" spans="1:31" x14ac:dyDescent="0.25">
      <c r="A60" s="246" t="s">
        <v>324</v>
      </c>
      <c r="B60" s="228"/>
      <c r="C60" s="228"/>
      <c r="D60" s="228"/>
    </row>
    <row r="61" spans="1:31" s="166" customFormat="1" ht="45" customHeight="1" x14ac:dyDescent="0.25">
      <c r="A61" s="231" t="s">
        <v>6</v>
      </c>
      <c r="B61" s="360" t="s">
        <v>391</v>
      </c>
      <c r="C61" s="360"/>
      <c r="D61" s="276"/>
    </row>
    <row r="62" spans="1:31" ht="30" customHeight="1" x14ac:dyDescent="0.25">
      <c r="A62" s="231" t="s">
        <v>8</v>
      </c>
      <c r="B62" s="360" t="s">
        <v>287</v>
      </c>
      <c r="C62" s="360"/>
      <c r="D62" s="276"/>
    </row>
    <row r="63" spans="1:31" ht="30" customHeight="1" x14ac:dyDescent="0.25">
      <c r="A63" s="231" t="s">
        <v>266</v>
      </c>
      <c r="B63" s="360" t="s">
        <v>288</v>
      </c>
      <c r="C63" s="360"/>
      <c r="D63" s="276"/>
    </row>
    <row r="64" spans="1:31" ht="30" customHeight="1" x14ac:dyDescent="0.25">
      <c r="A64" s="231" t="s">
        <v>267</v>
      </c>
      <c r="B64" s="360" t="s">
        <v>288</v>
      </c>
      <c r="C64" s="360"/>
      <c r="D64" s="276"/>
    </row>
    <row r="65" spans="1:4" ht="30" customHeight="1" x14ac:dyDescent="0.25">
      <c r="B65" s="360" t="s">
        <v>289</v>
      </c>
      <c r="C65" s="360"/>
      <c r="D65" s="276"/>
    </row>
    <row r="66" spans="1:4" ht="30" customHeight="1" x14ac:dyDescent="0.25">
      <c r="A66" s="231" t="s">
        <v>268</v>
      </c>
      <c r="B66" s="360" t="s">
        <v>295</v>
      </c>
      <c r="C66" s="360"/>
      <c r="D66" s="276"/>
    </row>
    <row r="67" spans="1:4" ht="18.75" customHeight="1" x14ac:dyDescent="0.25">
      <c r="A67" s="227"/>
      <c r="B67" s="360" t="s">
        <v>296</v>
      </c>
      <c r="C67" s="360"/>
      <c r="D67" s="276"/>
    </row>
    <row r="68" spans="1:4" s="166" customFormat="1" ht="30" customHeight="1" x14ac:dyDescent="0.25">
      <c r="A68" s="231" t="s">
        <v>387</v>
      </c>
      <c r="B68" s="360" t="s">
        <v>389</v>
      </c>
      <c r="C68" s="360"/>
      <c r="D68" s="276"/>
    </row>
    <row r="69" spans="1:4" ht="18.75" customHeight="1" x14ac:dyDescent="0.25">
      <c r="A69" s="231" t="s">
        <v>120</v>
      </c>
      <c r="B69" s="360" t="s">
        <v>269</v>
      </c>
      <c r="C69" s="360"/>
      <c r="D69" s="276"/>
    </row>
    <row r="70" spans="1:4" ht="18.75" customHeight="1" x14ac:dyDescent="0.25">
      <c r="B70" s="360" t="s">
        <v>290</v>
      </c>
      <c r="C70" s="360"/>
      <c r="D70" s="276"/>
    </row>
    <row r="71" spans="1:4" ht="18.75" customHeight="1" x14ac:dyDescent="0.25">
      <c r="A71" s="227"/>
      <c r="B71" s="360" t="s">
        <v>291</v>
      </c>
      <c r="C71" s="360"/>
      <c r="D71" s="276"/>
    </row>
    <row r="72" spans="1:4" s="166" customFormat="1" ht="30" customHeight="1" x14ac:dyDescent="0.25">
      <c r="A72" s="231" t="s">
        <v>136</v>
      </c>
      <c r="B72" s="360" t="s">
        <v>294</v>
      </c>
      <c r="C72" s="360"/>
      <c r="D72" s="276"/>
    </row>
    <row r="73" spans="1:4" ht="18.75" customHeight="1" x14ac:dyDescent="0.25">
      <c r="A73" s="227"/>
      <c r="B73" s="360" t="s">
        <v>292</v>
      </c>
      <c r="C73" s="360"/>
      <c r="D73" s="276"/>
    </row>
    <row r="74" spans="1:4" ht="18.75" customHeight="1" x14ac:dyDescent="0.25">
      <c r="A74" s="227"/>
      <c r="B74" s="360" t="s">
        <v>293</v>
      </c>
      <c r="C74" s="360"/>
      <c r="D74" s="276"/>
    </row>
    <row r="75" spans="1:4" ht="18.75" customHeight="1" x14ac:dyDescent="0.25"/>
    <row r="76" spans="1:4" ht="18.75" customHeight="1" x14ac:dyDescent="0.25"/>
    <row r="77" spans="1:4" ht="18.75" customHeight="1" x14ac:dyDescent="0.25"/>
    <row r="78" spans="1:4" ht="18.75" customHeight="1" x14ac:dyDescent="0.25">
      <c r="A78" s="230"/>
    </row>
  </sheetData>
  <mergeCells count="89">
    <mergeCell ref="B70:C70"/>
    <mergeCell ref="B71:C71"/>
    <mergeCell ref="B72:C72"/>
    <mergeCell ref="B73:C73"/>
    <mergeCell ref="B74:C74"/>
    <mergeCell ref="B65:C65"/>
    <mergeCell ref="B66:C66"/>
    <mergeCell ref="B67:C67"/>
    <mergeCell ref="B69:C69"/>
    <mergeCell ref="B61:C61"/>
    <mergeCell ref="B63:C63"/>
    <mergeCell ref="B64:C64"/>
    <mergeCell ref="B62:C62"/>
    <mergeCell ref="B68:C68"/>
    <mergeCell ref="AE21:AE23"/>
    <mergeCell ref="AD21:AD23"/>
    <mergeCell ref="AC21:AC23"/>
    <mergeCell ref="AB22:AB23"/>
    <mergeCell ref="AA22:AA23"/>
    <mergeCell ref="AC6:AC8"/>
    <mergeCell ref="AD6:AD8"/>
    <mergeCell ref="AE6:AE8"/>
    <mergeCell ref="AD11:AD13"/>
    <mergeCell ref="AE11:AE13"/>
    <mergeCell ref="AC11:AC13"/>
    <mergeCell ref="B5:B9"/>
    <mergeCell ref="B10:B14"/>
    <mergeCell ref="X12:X13"/>
    <mergeCell ref="Y12:Y13"/>
    <mergeCell ref="Z12:Z13"/>
    <mergeCell ref="U7:U8"/>
    <mergeCell ref="V7:V8"/>
    <mergeCell ref="W7:W8"/>
    <mergeCell ref="X7:X8"/>
    <mergeCell ref="Y7:Y8"/>
    <mergeCell ref="Z7:Z8"/>
    <mergeCell ref="B15:C15"/>
    <mergeCell ref="B16:C16"/>
    <mergeCell ref="B17:C17"/>
    <mergeCell ref="B36:C36"/>
    <mergeCell ref="B21:C21"/>
    <mergeCell ref="B22:C22"/>
    <mergeCell ref="B23:C23"/>
    <mergeCell ref="B24:C24"/>
    <mergeCell ref="B29:C29"/>
    <mergeCell ref="B30:C30"/>
    <mergeCell ref="B31:C31"/>
    <mergeCell ref="B32:C32"/>
    <mergeCell ref="B33:C33"/>
    <mergeCell ref="B34:C34"/>
    <mergeCell ref="B35:C35"/>
    <mergeCell ref="B25:C2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54:C54"/>
    <mergeCell ref="AA7:AA8"/>
    <mergeCell ref="AB7:AB8"/>
    <mergeCell ref="T54:T57"/>
    <mergeCell ref="T44:T47"/>
    <mergeCell ref="U12:U13"/>
    <mergeCell ref="V12:V13"/>
    <mergeCell ref="W12:W13"/>
    <mergeCell ref="AA12:AA13"/>
    <mergeCell ref="Z22:Z23"/>
    <mergeCell ref="AB11:AB13"/>
    <mergeCell ref="V22:V23"/>
    <mergeCell ref="U22:U23"/>
    <mergeCell ref="Y22:Y23"/>
    <mergeCell ref="X22:X23"/>
    <mergeCell ref="W22:W2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P35"/>
  <sheetViews>
    <sheetView zoomScale="120" zoomScaleNormal="120" workbookViewId="0">
      <selection activeCell="D18" sqref="D18"/>
    </sheetView>
  </sheetViews>
  <sheetFormatPr defaultRowHeight="15" x14ac:dyDescent="0.25"/>
  <cols>
    <col min="2" max="2" width="30.7109375" style="5" customWidth="1"/>
    <col min="3" max="3" width="32.140625" customWidth="1"/>
    <col min="4" max="4" width="11.5703125" style="155" customWidth="1"/>
    <col min="5" max="5" width="11.5703125" bestFit="1" customWidth="1"/>
    <col min="6" max="6" width="9.140625" customWidth="1"/>
    <col min="7" max="12" width="11.5703125" bestFit="1" customWidth="1"/>
    <col min="13" max="13" width="12.28515625" bestFit="1" customWidth="1"/>
    <col min="14" max="16" width="11.5703125" bestFit="1" customWidth="1"/>
    <col min="18" max="18" width="11.140625" bestFit="1" customWidth="1"/>
    <col min="20" max="20" width="11.140625" bestFit="1" customWidth="1"/>
  </cols>
  <sheetData>
    <row r="1" spans="1:68" ht="18.75" x14ac:dyDescent="0.3">
      <c r="A1" s="9">
        <v>3</v>
      </c>
      <c r="B1" s="9" t="s">
        <v>95</v>
      </c>
      <c r="D1" s="166"/>
      <c r="E1" s="155"/>
    </row>
    <row r="2" spans="1:68" x14ac:dyDescent="0.25">
      <c r="D2" s="166"/>
      <c r="E2" s="155"/>
    </row>
    <row r="3" spans="1:68" ht="15.75" x14ac:dyDescent="0.25">
      <c r="A3" s="10" t="s">
        <v>116</v>
      </c>
      <c r="B3" s="8" t="s">
        <v>153</v>
      </c>
      <c r="D3" s="166"/>
      <c r="E3" s="155"/>
    </row>
    <row r="4" spans="1:68" ht="15.75" thickBot="1" x14ac:dyDescent="0.3">
      <c r="B4" s="7" t="s">
        <v>1</v>
      </c>
      <c r="D4" s="6">
        <v>2016</v>
      </c>
      <c r="E4" s="6">
        <v>2015</v>
      </c>
      <c r="F4" s="6">
        <v>2014</v>
      </c>
      <c r="G4" s="6">
        <v>2013</v>
      </c>
      <c r="H4" s="6">
        <v>2012</v>
      </c>
      <c r="I4" s="6">
        <v>2011</v>
      </c>
      <c r="J4" s="6">
        <v>2010</v>
      </c>
      <c r="K4" s="6">
        <v>2009</v>
      </c>
      <c r="L4" s="6">
        <v>2008</v>
      </c>
      <c r="M4" s="6">
        <v>2007</v>
      </c>
      <c r="N4" s="6">
        <v>2006</v>
      </c>
      <c r="O4" s="6">
        <v>2005</v>
      </c>
      <c r="P4" s="6">
        <v>2004</v>
      </c>
      <c r="Q4" s="6">
        <v>2003</v>
      </c>
      <c r="R4" s="6">
        <v>2002</v>
      </c>
      <c r="S4" s="6">
        <v>2001</v>
      </c>
      <c r="T4" s="6">
        <v>2000</v>
      </c>
      <c r="U4" s="6">
        <v>1999</v>
      </c>
      <c r="V4" s="6">
        <v>1998</v>
      </c>
      <c r="W4" s="6">
        <v>1997</v>
      </c>
      <c r="X4" s="6">
        <v>1996</v>
      </c>
      <c r="Y4" s="6">
        <v>1995</v>
      </c>
      <c r="Z4" s="6">
        <v>1994</v>
      </c>
      <c r="AA4" s="6">
        <v>1993</v>
      </c>
      <c r="AB4" s="6">
        <v>1992</v>
      </c>
      <c r="AC4" s="6">
        <v>1991</v>
      </c>
      <c r="AD4" s="6">
        <v>1990</v>
      </c>
      <c r="AE4" s="6">
        <v>1989</v>
      </c>
      <c r="AF4" s="6">
        <v>1988</v>
      </c>
      <c r="AG4" s="6">
        <v>1987</v>
      </c>
      <c r="AH4" s="6">
        <v>1986</v>
      </c>
      <c r="AI4" s="6">
        <v>1985</v>
      </c>
      <c r="AJ4" s="6">
        <v>1984</v>
      </c>
      <c r="AK4" s="6">
        <v>1983</v>
      </c>
      <c r="AL4" s="6">
        <v>1982</v>
      </c>
      <c r="AM4" s="6">
        <v>1981</v>
      </c>
      <c r="AN4" s="6">
        <v>1980</v>
      </c>
      <c r="AO4" s="6">
        <v>1979</v>
      </c>
      <c r="AP4" s="6">
        <v>1978</v>
      </c>
      <c r="AQ4" s="6">
        <v>1977</v>
      </c>
      <c r="AR4" s="6">
        <v>1976</v>
      </c>
      <c r="AS4" s="6">
        <v>1975</v>
      </c>
      <c r="AT4" s="6">
        <v>1974</v>
      </c>
      <c r="AU4" s="6">
        <v>1973</v>
      </c>
      <c r="AV4" s="6">
        <v>1972</v>
      </c>
      <c r="AW4" s="6">
        <v>1971</v>
      </c>
      <c r="AX4" s="6">
        <v>1970</v>
      </c>
      <c r="AY4" s="6">
        <v>1969</v>
      </c>
      <c r="AZ4" s="6">
        <v>1968</v>
      </c>
      <c r="BA4" s="6">
        <v>1967</v>
      </c>
      <c r="BB4" s="6">
        <v>1966</v>
      </c>
      <c r="BC4" s="6">
        <v>1965</v>
      </c>
      <c r="BD4" s="6">
        <v>1964</v>
      </c>
      <c r="BE4" s="6">
        <v>1963</v>
      </c>
      <c r="BF4" s="6">
        <v>1962</v>
      </c>
      <c r="BG4" s="6">
        <v>1961</v>
      </c>
      <c r="BH4" s="6">
        <v>1960</v>
      </c>
      <c r="BI4" s="6">
        <v>1959</v>
      </c>
      <c r="BJ4" s="6">
        <v>1958</v>
      </c>
      <c r="BK4" s="6">
        <v>1957</v>
      </c>
      <c r="BL4" s="6">
        <v>1956</v>
      </c>
      <c r="BM4" s="6">
        <v>1955</v>
      </c>
      <c r="BN4" s="6">
        <v>1954</v>
      </c>
      <c r="BP4" s="6"/>
    </row>
    <row r="5" spans="1:68" ht="18.75" customHeight="1" x14ac:dyDescent="0.25">
      <c r="A5" s="314" t="s">
        <v>338</v>
      </c>
      <c r="B5" s="351" t="s">
        <v>169</v>
      </c>
      <c r="C5" s="351"/>
      <c r="D5" s="294">
        <v>53650</v>
      </c>
      <c r="E5" s="26">
        <v>55667</v>
      </c>
      <c r="F5" s="26">
        <v>59454</v>
      </c>
      <c r="G5" s="26">
        <v>68158</v>
      </c>
      <c r="H5" s="26">
        <v>72521</v>
      </c>
      <c r="I5" s="26">
        <v>76303</v>
      </c>
      <c r="J5" s="26">
        <v>81769</v>
      </c>
      <c r="K5" s="26">
        <v>83103</v>
      </c>
      <c r="L5" s="26">
        <v>82117</v>
      </c>
      <c r="M5" s="26">
        <v>78615</v>
      </c>
      <c r="N5" s="26">
        <v>73068</v>
      </c>
      <c r="O5" s="26">
        <v>68004</v>
      </c>
      <c r="P5" s="26">
        <v>62730</v>
      </c>
      <c r="Q5" s="26">
        <v>55638</v>
      </c>
      <c r="R5" s="26">
        <v>48728</v>
      </c>
      <c r="S5" s="26">
        <v>43242</v>
      </c>
      <c r="T5" s="26">
        <v>44683</v>
      </c>
      <c r="U5" s="26">
        <v>46994</v>
      </c>
      <c r="V5" s="26">
        <v>48795</v>
      </c>
      <c r="W5" s="26">
        <v>47295</v>
      </c>
      <c r="X5" s="26">
        <v>46073</v>
      </c>
      <c r="Y5" s="26">
        <v>42711</v>
      </c>
      <c r="Z5" s="26">
        <v>39377</v>
      </c>
      <c r="AA5" s="26">
        <v>34595</v>
      </c>
      <c r="AB5" s="26">
        <v>31426</v>
      </c>
      <c r="AC5" s="80">
        <v>25104</v>
      </c>
      <c r="AD5" s="80">
        <v>27507</v>
      </c>
      <c r="AE5" s="80">
        <v>26786</v>
      </c>
      <c r="AF5" s="26">
        <v>27011</v>
      </c>
      <c r="AG5" s="26">
        <v>28162</v>
      </c>
      <c r="AH5" s="26">
        <v>27001</v>
      </c>
      <c r="AI5" s="26">
        <v>25465</v>
      </c>
      <c r="AJ5" s="26">
        <v>24369</v>
      </c>
      <c r="AK5" s="26">
        <v>25088</v>
      </c>
      <c r="AL5" s="26">
        <v>26761</v>
      </c>
      <c r="AM5" s="26">
        <v>26701</v>
      </c>
      <c r="AN5" s="26">
        <v>28403</v>
      </c>
      <c r="AO5" s="26">
        <v>28330</v>
      </c>
      <c r="AP5" s="26">
        <v>26867</v>
      </c>
      <c r="AQ5" s="26">
        <v>26286</v>
      </c>
      <c r="AR5" s="26">
        <v>25429</v>
      </c>
      <c r="AS5" s="26">
        <v>23662</v>
      </c>
      <c r="AT5" s="26">
        <v>22147</v>
      </c>
      <c r="AU5" s="26">
        <v>20370</v>
      </c>
      <c r="AV5" s="26">
        <v>17114</v>
      </c>
      <c r="AW5" s="26">
        <v>15223</v>
      </c>
      <c r="AX5" s="26">
        <v>17793</v>
      </c>
      <c r="AY5" s="26">
        <v>29083</v>
      </c>
      <c r="AZ5" s="26">
        <v>21382</v>
      </c>
      <c r="BA5" s="26">
        <v>19254</v>
      </c>
      <c r="BB5" s="26">
        <v>19837</v>
      </c>
      <c r="BC5" s="26">
        <v>21046</v>
      </c>
      <c r="BD5" s="26">
        <v>23040</v>
      </c>
      <c r="BE5" s="26">
        <v>26660</v>
      </c>
      <c r="BF5" s="26">
        <v>21098</v>
      </c>
      <c r="BG5" s="26">
        <v>13146</v>
      </c>
      <c r="BH5" s="26">
        <v>13768</v>
      </c>
      <c r="BI5" s="26">
        <v>11533</v>
      </c>
      <c r="BJ5" s="26">
        <v>8294</v>
      </c>
      <c r="BK5" s="26">
        <v>9477</v>
      </c>
      <c r="BL5" s="26">
        <v>9700</v>
      </c>
      <c r="BM5" s="26">
        <v>7391</v>
      </c>
      <c r="BN5" s="187">
        <v>7394</v>
      </c>
    </row>
    <row r="6" spans="1:68" ht="33.75" customHeight="1" x14ac:dyDescent="0.25">
      <c r="A6" s="315" t="s">
        <v>339</v>
      </c>
      <c r="B6" s="347" t="s">
        <v>382</v>
      </c>
      <c r="C6" s="347"/>
      <c r="D6" s="97">
        <f>45033/93352</f>
        <v>0.4823999485817122</v>
      </c>
      <c r="E6" s="17">
        <f>46930/93352</f>
        <v>0.50272088439454965</v>
      </c>
      <c r="F6" s="17">
        <f>50524/98017</f>
        <v>0.51546160359937565</v>
      </c>
      <c r="G6" s="18">
        <f>59035/109039</f>
        <v>0.54141178844266735</v>
      </c>
      <c r="H6" s="18">
        <f>63697/122809</f>
        <v>0.51866719865807875</v>
      </c>
      <c r="I6" s="18">
        <f>67548 /123426</f>
        <v>0.54727529045744006</v>
      </c>
      <c r="J6" s="18">
        <f>72673/131340</f>
        <v>0.55331962844525662</v>
      </c>
      <c r="K6" s="18">
        <f>74472/132555</f>
        <v>0.56181962204367997</v>
      </c>
      <c r="L6" s="18">
        <f>74837/131517</f>
        <v>0.56902909889976205</v>
      </c>
      <c r="M6" s="18">
        <f>71773/134946</f>
        <v>0.5318645976909282</v>
      </c>
      <c r="N6" s="18">
        <f>66804/131319</f>
        <v>0.50871541818015675</v>
      </c>
      <c r="O6" s="18">
        <f>62031/133059</f>
        <v>0.46619168940094247</v>
      </c>
      <c r="P6" s="18">
        <f>57356/135500</f>
        <v>0.42329151291512918</v>
      </c>
      <c r="Q6" s="18">
        <f>52352/135777</f>
        <v>0.38557340344830127</v>
      </c>
      <c r="R6" s="18">
        <f>45358/134929</f>
        <v>0.33616198148655962</v>
      </c>
      <c r="S6" s="18">
        <v>0.34200000000000003</v>
      </c>
      <c r="T6" s="18">
        <v>0.313</v>
      </c>
      <c r="U6" s="21">
        <v>0.40899999999999997</v>
      </c>
      <c r="V6" s="21">
        <v>0.42099999999999999</v>
      </c>
      <c r="W6" s="21">
        <v>0.38300000000000001</v>
      </c>
      <c r="X6" s="21">
        <v>0.33200000000000002</v>
      </c>
      <c r="Y6" s="21">
        <v>0.32300000000000001</v>
      </c>
      <c r="Z6" s="21">
        <v>0.30499999999999999</v>
      </c>
      <c r="AA6" s="21">
        <v>0.27</v>
      </c>
      <c r="AB6" s="21">
        <v>0.23599999999999999</v>
      </c>
      <c r="AC6" s="21">
        <v>0.16600000000000001</v>
      </c>
      <c r="AD6" s="21">
        <v>0.17399999999999999</v>
      </c>
      <c r="AE6" s="191">
        <v>0.193</v>
      </c>
      <c r="AF6" s="21">
        <f>27011/139194</f>
        <v>0.19405290457922036</v>
      </c>
      <c r="AG6" s="21">
        <f>28162/133082</f>
        <v>0.21161389218677207</v>
      </c>
      <c r="AH6" s="21">
        <f>27001/133843</f>
        <v>0.20173636275337523</v>
      </c>
      <c r="AI6" s="21">
        <f>25465/136155</f>
        <v>0.18702948845066283</v>
      </c>
      <c r="AJ6" s="21">
        <f>24369/142100</f>
        <v>0.17149190710767065</v>
      </c>
      <c r="AK6" s="21">
        <f>25088/149122</f>
        <v>0.1682380869355293</v>
      </c>
      <c r="AL6" s="21">
        <f>26761/143719</f>
        <v>0.18620363347921987</v>
      </c>
      <c r="AM6" s="192" t="s">
        <v>142</v>
      </c>
      <c r="AN6" s="21">
        <f>28403/125848</f>
        <v>0.22569289937066939</v>
      </c>
      <c r="AO6" s="192" t="s">
        <v>142</v>
      </c>
      <c r="AP6" s="192" t="s">
        <v>142</v>
      </c>
      <c r="AQ6" s="192" t="s">
        <v>142</v>
      </c>
      <c r="AR6" s="192" t="s">
        <v>142</v>
      </c>
      <c r="AS6" s="192" t="s">
        <v>142</v>
      </c>
      <c r="AT6" s="192" t="s">
        <v>142</v>
      </c>
      <c r="AU6" s="192" t="s">
        <v>142</v>
      </c>
      <c r="AV6" s="192" t="s">
        <v>142</v>
      </c>
      <c r="AW6" s="192" t="s">
        <v>142</v>
      </c>
      <c r="AX6" s="192" t="s">
        <v>142</v>
      </c>
      <c r="AY6" s="192" t="s">
        <v>142</v>
      </c>
      <c r="AZ6" s="192" t="s">
        <v>142</v>
      </c>
      <c r="BA6" s="192" t="s">
        <v>142</v>
      </c>
      <c r="BB6" s="192" t="s">
        <v>142</v>
      </c>
      <c r="BC6" s="192" t="s">
        <v>142</v>
      </c>
      <c r="BD6" s="192" t="s">
        <v>142</v>
      </c>
      <c r="BE6" s="192" t="s">
        <v>142</v>
      </c>
      <c r="BF6" s="192" t="s">
        <v>142</v>
      </c>
      <c r="BG6" s="192" t="s">
        <v>142</v>
      </c>
      <c r="BH6" s="192" t="s">
        <v>142</v>
      </c>
      <c r="BI6" s="192" t="s">
        <v>142</v>
      </c>
      <c r="BJ6" s="192" t="s">
        <v>142</v>
      </c>
      <c r="BK6" s="192" t="s">
        <v>142</v>
      </c>
      <c r="BL6" s="192" t="s">
        <v>142</v>
      </c>
      <c r="BM6" s="192" t="s">
        <v>142</v>
      </c>
      <c r="BN6" s="31" t="s">
        <v>142</v>
      </c>
    </row>
    <row r="7" spans="1:68" ht="37.5" customHeight="1" x14ac:dyDescent="0.25">
      <c r="A7" s="316" t="s">
        <v>416</v>
      </c>
      <c r="B7" s="347" t="s">
        <v>383</v>
      </c>
      <c r="C7" s="347"/>
      <c r="D7" s="97">
        <f>16703/93352</f>
        <v>0.17892492929985432</v>
      </c>
      <c r="E7" s="18">
        <f>16429/93352</f>
        <v>0.17598980203959208</v>
      </c>
      <c r="F7" s="18">
        <f>17118/98017</f>
        <v>0.17464317414326086</v>
      </c>
      <c r="G7" s="18">
        <f>19890/109039</f>
        <v>0.18241179761369786</v>
      </c>
      <c r="H7" s="18">
        <f>22375/122809</f>
        <v>0.18219348744798833</v>
      </c>
      <c r="I7" s="18">
        <f>23000/123426</f>
        <v>0.18634647481081781</v>
      </c>
      <c r="J7" s="18">
        <f>25437/131340</f>
        <v>0.19367291000456829</v>
      </c>
      <c r="K7" s="18">
        <f>25447/132555</f>
        <v>0.19197314322356757</v>
      </c>
      <c r="L7" s="18">
        <f>24908/131517</f>
        <v>0.18938996479542569</v>
      </c>
      <c r="M7" s="18">
        <f>24731/134946</f>
        <v>0.18326589895217346</v>
      </c>
      <c r="N7" s="18">
        <f>22990/131319</f>
        <v>0.1750698680312826</v>
      </c>
      <c r="O7" s="18">
        <f>21495/133059</f>
        <v>0.16154487858769417</v>
      </c>
      <c r="P7" s="18">
        <f>21495/135500</f>
        <v>0.15863468634686348</v>
      </c>
      <c r="Q7" s="18">
        <f>18941/135777</f>
        <v>0.13950079910441385</v>
      </c>
      <c r="R7" s="18">
        <f>15526/134929</f>
        <v>0.11506792461220346</v>
      </c>
      <c r="S7" s="18">
        <f>16325/142332</f>
        <v>0.11469662479273811</v>
      </c>
      <c r="T7" s="156" t="s">
        <v>142</v>
      </c>
      <c r="U7" s="156" t="s">
        <v>142</v>
      </c>
      <c r="V7" s="156" t="s">
        <v>142</v>
      </c>
      <c r="W7" s="156" t="s">
        <v>142</v>
      </c>
      <c r="X7" s="156" t="s">
        <v>142</v>
      </c>
      <c r="Y7" s="156" t="s">
        <v>142</v>
      </c>
      <c r="Z7" s="156" t="s">
        <v>142</v>
      </c>
      <c r="AA7" s="156" t="s">
        <v>142</v>
      </c>
      <c r="AB7" s="156" t="s">
        <v>142</v>
      </c>
      <c r="AC7" s="156" t="s">
        <v>142</v>
      </c>
      <c r="AD7" s="156" t="s">
        <v>142</v>
      </c>
      <c r="AE7" s="25" t="s">
        <v>142</v>
      </c>
      <c r="AF7" s="25" t="s">
        <v>142</v>
      </c>
      <c r="AG7" s="25" t="s">
        <v>142</v>
      </c>
      <c r="AH7" s="25" t="s">
        <v>142</v>
      </c>
      <c r="AI7" s="25" t="s">
        <v>142</v>
      </c>
      <c r="AJ7" s="25" t="s">
        <v>142</v>
      </c>
      <c r="AK7" s="25" t="s">
        <v>142</v>
      </c>
      <c r="AL7" s="25" t="s">
        <v>142</v>
      </c>
      <c r="AM7" s="25" t="s">
        <v>142</v>
      </c>
      <c r="AN7" s="25" t="s">
        <v>142</v>
      </c>
      <c r="AO7" s="25" t="s">
        <v>142</v>
      </c>
      <c r="AP7" s="25" t="s">
        <v>142</v>
      </c>
      <c r="AQ7" s="25" t="s">
        <v>142</v>
      </c>
      <c r="AR7" s="25" t="s">
        <v>142</v>
      </c>
      <c r="AS7" s="25" t="s">
        <v>142</v>
      </c>
      <c r="AT7" s="25" t="s">
        <v>142</v>
      </c>
      <c r="AU7" s="25" t="s">
        <v>142</v>
      </c>
      <c r="AV7" s="25" t="s">
        <v>142</v>
      </c>
      <c r="AW7" s="25" t="s">
        <v>142</v>
      </c>
      <c r="AX7" s="25" t="s">
        <v>142</v>
      </c>
      <c r="AY7" s="25" t="s">
        <v>142</v>
      </c>
      <c r="AZ7" s="25" t="s">
        <v>142</v>
      </c>
      <c r="BA7" s="25" t="s">
        <v>142</v>
      </c>
      <c r="BB7" s="25" t="s">
        <v>142</v>
      </c>
      <c r="BC7" s="25" t="s">
        <v>142</v>
      </c>
      <c r="BD7" s="25" t="s">
        <v>142</v>
      </c>
      <c r="BE7" s="25" t="s">
        <v>142</v>
      </c>
      <c r="BF7" s="25" t="s">
        <v>142</v>
      </c>
      <c r="BG7" s="25" t="s">
        <v>142</v>
      </c>
      <c r="BH7" s="25" t="s">
        <v>142</v>
      </c>
      <c r="BI7" s="25" t="s">
        <v>142</v>
      </c>
      <c r="BJ7" s="25" t="s">
        <v>142</v>
      </c>
      <c r="BK7" s="25" t="s">
        <v>142</v>
      </c>
      <c r="BL7" s="25" t="s">
        <v>142</v>
      </c>
      <c r="BM7" s="25" t="s">
        <v>142</v>
      </c>
      <c r="BN7" s="31" t="s">
        <v>142</v>
      </c>
    </row>
    <row r="8" spans="1:68" ht="22.5" customHeight="1" x14ac:dyDescent="0.25">
      <c r="A8" s="315" t="s">
        <v>154</v>
      </c>
      <c r="B8" s="347" t="s">
        <v>374</v>
      </c>
      <c r="C8" s="347"/>
      <c r="D8" s="167">
        <v>0.31900000000000001</v>
      </c>
      <c r="E8" s="17">
        <v>0.30099999999999999</v>
      </c>
      <c r="F8" s="17">
        <v>0.28199999999999997</v>
      </c>
      <c r="G8" s="17">
        <v>0.26700000000000002</v>
      </c>
      <c r="H8" s="17">
        <v>0.25600000000000001</v>
      </c>
      <c r="I8" s="17">
        <v>0.23699999999999999</v>
      </c>
      <c r="J8" s="17">
        <v>0.20399999999999999</v>
      </c>
      <c r="K8" s="17">
        <v>0.17499999999999999</v>
      </c>
      <c r="L8" s="17">
        <v>0.154</v>
      </c>
      <c r="M8" s="17">
        <v>0.13300000000000001</v>
      </c>
      <c r="N8" s="17">
        <v>0.13100000000000001</v>
      </c>
      <c r="O8" s="17">
        <v>0.13</v>
      </c>
      <c r="P8" s="17">
        <v>0.127</v>
      </c>
      <c r="Q8" s="17">
        <v>0.126</v>
      </c>
      <c r="R8" s="17">
        <v>0.126</v>
      </c>
      <c r="S8" s="17">
        <v>0.13300000000000001</v>
      </c>
      <c r="T8" s="55">
        <v>0.13699999999999998</v>
      </c>
      <c r="U8" s="55">
        <v>0.125</v>
      </c>
      <c r="V8" s="55">
        <v>0.11800000000000001</v>
      </c>
      <c r="W8" s="156" t="s">
        <v>142</v>
      </c>
      <c r="X8" s="156" t="s">
        <v>142</v>
      </c>
      <c r="Y8" s="156" t="s">
        <v>142</v>
      </c>
      <c r="Z8" s="156" t="s">
        <v>142</v>
      </c>
      <c r="AA8" s="156" t="s">
        <v>142</v>
      </c>
      <c r="AB8" s="156" t="s">
        <v>142</v>
      </c>
      <c r="AC8" s="156" t="s">
        <v>142</v>
      </c>
      <c r="AD8" s="156" t="s">
        <v>142</v>
      </c>
      <c r="AE8" s="25" t="s">
        <v>142</v>
      </c>
      <c r="AF8" s="25" t="s">
        <v>142</v>
      </c>
      <c r="AG8" s="25" t="s">
        <v>142</v>
      </c>
      <c r="AH8" s="25" t="s">
        <v>142</v>
      </c>
      <c r="AI8" s="25" t="s">
        <v>142</v>
      </c>
      <c r="AJ8" s="25" t="s">
        <v>142</v>
      </c>
      <c r="AK8" s="25" t="s">
        <v>142</v>
      </c>
      <c r="AL8" s="25" t="s">
        <v>142</v>
      </c>
      <c r="AM8" s="25" t="s">
        <v>142</v>
      </c>
      <c r="AN8" s="25" t="s">
        <v>142</v>
      </c>
      <c r="AO8" s="25" t="s">
        <v>142</v>
      </c>
      <c r="AP8" s="25" t="s">
        <v>142</v>
      </c>
      <c r="AQ8" s="25" t="s">
        <v>142</v>
      </c>
      <c r="AR8" s="25" t="s">
        <v>142</v>
      </c>
      <c r="AS8" s="25" t="s">
        <v>142</v>
      </c>
      <c r="AT8" s="25" t="s">
        <v>142</v>
      </c>
      <c r="AU8" s="25" t="s">
        <v>142</v>
      </c>
      <c r="AV8" s="25" t="s">
        <v>142</v>
      </c>
      <c r="AW8" s="25" t="s">
        <v>142</v>
      </c>
      <c r="AX8" s="25" t="s">
        <v>142</v>
      </c>
      <c r="AY8" s="25" t="s">
        <v>142</v>
      </c>
      <c r="AZ8" s="25" t="s">
        <v>142</v>
      </c>
      <c r="BA8" s="25" t="s">
        <v>142</v>
      </c>
      <c r="BB8" s="25" t="s">
        <v>142</v>
      </c>
      <c r="BC8" s="25" t="s">
        <v>142</v>
      </c>
      <c r="BD8" s="25" t="s">
        <v>142</v>
      </c>
      <c r="BE8" s="25" t="s">
        <v>142</v>
      </c>
      <c r="BF8" s="25" t="s">
        <v>142</v>
      </c>
      <c r="BG8" s="25" t="s">
        <v>142</v>
      </c>
      <c r="BH8" s="25" t="s">
        <v>142</v>
      </c>
      <c r="BI8" s="25" t="s">
        <v>142</v>
      </c>
      <c r="BJ8" s="25" t="s">
        <v>142</v>
      </c>
      <c r="BK8" s="25" t="s">
        <v>142</v>
      </c>
      <c r="BL8" s="25" t="s">
        <v>142</v>
      </c>
      <c r="BM8" s="25" t="s">
        <v>142</v>
      </c>
      <c r="BN8" s="31" t="s">
        <v>142</v>
      </c>
    </row>
    <row r="9" spans="1:68" ht="36.75" customHeight="1" x14ac:dyDescent="0.25">
      <c r="A9" s="315" t="s">
        <v>155</v>
      </c>
      <c r="B9" s="347" t="s">
        <v>150</v>
      </c>
      <c r="C9" s="347"/>
      <c r="D9" s="290">
        <v>94068</v>
      </c>
      <c r="E9" s="16">
        <v>103442</v>
      </c>
      <c r="F9" s="16">
        <v>111374</v>
      </c>
      <c r="G9" s="16">
        <v>123766</v>
      </c>
      <c r="H9" s="16">
        <v>130728</v>
      </c>
      <c r="I9" s="16">
        <v>139280</v>
      </c>
      <c r="J9" s="16">
        <v>140072</v>
      </c>
      <c r="K9" s="16">
        <v>136766</v>
      </c>
      <c r="L9" s="16">
        <v>136113</v>
      </c>
      <c r="M9" s="16">
        <v>135226</v>
      </c>
      <c r="N9" s="16">
        <v>127124</v>
      </c>
      <c r="O9" s="16">
        <v>121312</v>
      </c>
      <c r="P9" s="16">
        <v>119283</v>
      </c>
      <c r="Q9" s="16">
        <v>107156</v>
      </c>
      <c r="R9" s="16">
        <v>97965</v>
      </c>
      <c r="S9" s="16">
        <v>102948</v>
      </c>
      <c r="T9" s="16">
        <v>102324</v>
      </c>
      <c r="U9" s="16">
        <v>105439</v>
      </c>
      <c r="V9" s="16">
        <v>107235</v>
      </c>
      <c r="W9" s="16">
        <v>107021</v>
      </c>
      <c r="X9" s="16">
        <v>96809</v>
      </c>
      <c r="Y9" s="16">
        <f>78115</f>
        <v>78115</v>
      </c>
      <c r="Z9" s="16">
        <v>70279</v>
      </c>
      <c r="AA9" s="16">
        <v>66779</v>
      </c>
      <c r="AB9" s="16">
        <v>65713</v>
      </c>
      <c r="AC9" s="156" t="s">
        <v>142</v>
      </c>
      <c r="AD9" s="156" t="s">
        <v>142</v>
      </c>
      <c r="AE9" s="25" t="s">
        <v>142</v>
      </c>
      <c r="AF9" s="156" t="s">
        <v>142</v>
      </c>
      <c r="AG9" s="156" t="s">
        <v>142</v>
      </c>
      <c r="AH9" s="25" t="s">
        <v>142</v>
      </c>
      <c r="AI9" s="25" t="s">
        <v>142</v>
      </c>
      <c r="AJ9" s="25" t="s">
        <v>142</v>
      </c>
      <c r="AK9" s="25" t="s">
        <v>142</v>
      </c>
      <c r="AL9" s="25" t="s">
        <v>142</v>
      </c>
      <c r="AM9" s="25" t="s">
        <v>142</v>
      </c>
      <c r="AN9" s="25" t="s">
        <v>142</v>
      </c>
      <c r="AO9" s="25" t="s">
        <v>142</v>
      </c>
      <c r="AP9" s="25" t="s">
        <v>142</v>
      </c>
      <c r="AQ9" s="25" t="s">
        <v>142</v>
      </c>
      <c r="AR9" s="25" t="s">
        <v>142</v>
      </c>
      <c r="AS9" s="25" t="s">
        <v>142</v>
      </c>
      <c r="AT9" s="25" t="s">
        <v>142</v>
      </c>
      <c r="AU9" s="25" t="s">
        <v>142</v>
      </c>
      <c r="AV9" s="25" t="s">
        <v>142</v>
      </c>
      <c r="AW9" s="25" t="s">
        <v>142</v>
      </c>
      <c r="AX9" s="25" t="s">
        <v>142</v>
      </c>
      <c r="AY9" s="25" t="s">
        <v>142</v>
      </c>
      <c r="AZ9" s="25" t="s">
        <v>142</v>
      </c>
      <c r="BA9" s="25" t="s">
        <v>142</v>
      </c>
      <c r="BB9" s="25" t="s">
        <v>142</v>
      </c>
      <c r="BC9" s="25" t="s">
        <v>142</v>
      </c>
      <c r="BD9" s="25" t="s">
        <v>142</v>
      </c>
      <c r="BE9" s="25" t="s">
        <v>142</v>
      </c>
      <c r="BF9" s="25" t="s">
        <v>142</v>
      </c>
      <c r="BG9" s="25" t="s">
        <v>142</v>
      </c>
      <c r="BH9" s="25" t="s">
        <v>142</v>
      </c>
      <c r="BI9" s="25" t="s">
        <v>142</v>
      </c>
      <c r="BJ9" s="25" t="s">
        <v>142</v>
      </c>
      <c r="BK9" s="25" t="s">
        <v>142</v>
      </c>
      <c r="BL9" s="25" t="s">
        <v>142</v>
      </c>
      <c r="BM9" s="25" t="s">
        <v>142</v>
      </c>
      <c r="BN9" s="31" t="s">
        <v>142</v>
      </c>
    </row>
    <row r="10" spans="1:68" x14ac:dyDescent="0.25">
      <c r="A10" s="315" t="s">
        <v>156</v>
      </c>
      <c r="B10" s="347" t="s">
        <v>151</v>
      </c>
      <c r="C10" s="347"/>
      <c r="D10" s="97">
        <f>74767/94068</f>
        <v>0.79481864183356721</v>
      </c>
      <c r="E10" s="18">
        <f>80302/103442</f>
        <v>0.77629976218557262</v>
      </c>
      <c r="F10" s="18">
        <f>84764/111374</f>
        <v>0.76107529585001887</v>
      </c>
      <c r="G10" s="18">
        <f>93714/123766</f>
        <v>0.75718694956611665</v>
      </c>
      <c r="H10" s="18">
        <f>98261/130728</f>
        <v>0.75164463619117561</v>
      </c>
      <c r="I10" s="18">
        <f>103761/139280</f>
        <v>0.74498133256749</v>
      </c>
      <c r="J10" s="18">
        <f>106437/140072</f>
        <v>0.75987349363184653</v>
      </c>
      <c r="K10" s="18">
        <f>105569/136766</f>
        <v>0.77189506163812649</v>
      </c>
      <c r="L10" s="18">
        <f>104002/136113</f>
        <v>0.76408572289200882</v>
      </c>
      <c r="M10" s="18">
        <f>97186/135226</f>
        <v>0.71869315072545226</v>
      </c>
      <c r="N10" s="18">
        <f>89074/127124</f>
        <v>0.70068594443220789</v>
      </c>
      <c r="O10" s="18">
        <f>81055/121312</f>
        <v>0.66815319176998156</v>
      </c>
      <c r="P10" s="18">
        <f>75550/119283</f>
        <v>0.63336770537293663</v>
      </c>
      <c r="Q10" s="18">
        <f>69576/107156</f>
        <v>0.64929635298070099</v>
      </c>
      <c r="R10" s="18">
        <f>60929/97965</f>
        <v>0.62194661358648495</v>
      </c>
      <c r="S10" s="18">
        <f>51883/102948</f>
        <v>0.50397287951198666</v>
      </c>
      <c r="T10" s="18">
        <f>43495/102324</f>
        <v>0.42507134201164926</v>
      </c>
      <c r="U10" s="18">
        <f>47405/105439</f>
        <v>0.44959644913172547</v>
      </c>
      <c r="V10" s="18">
        <f>45232/107235</f>
        <v>0.42180258311185714</v>
      </c>
      <c r="W10" s="18">
        <f>44544/107021</f>
        <v>0.41621737789779578</v>
      </c>
      <c r="X10" s="18">
        <f>43958/96809</f>
        <v>0.45406935305601753</v>
      </c>
      <c r="Y10" s="18">
        <f>40297/78115</f>
        <v>0.51586763105677524</v>
      </c>
      <c r="Z10" s="18">
        <f>36324/70279</f>
        <v>0.51685425233711346</v>
      </c>
      <c r="AA10" s="18">
        <f>31809/66779</f>
        <v>0.47633237993980143</v>
      </c>
      <c r="AB10" s="18">
        <f>29654/65713</f>
        <v>0.45126535084382086</v>
      </c>
      <c r="AC10" s="156" t="s">
        <v>142</v>
      </c>
      <c r="AD10" s="156" t="s">
        <v>142</v>
      </c>
      <c r="AE10" s="25" t="s">
        <v>142</v>
      </c>
      <c r="AF10" s="25" t="s">
        <v>142</v>
      </c>
      <c r="AG10" s="25" t="s">
        <v>142</v>
      </c>
      <c r="AH10" s="25" t="s">
        <v>142</v>
      </c>
      <c r="AI10" s="25" t="s">
        <v>142</v>
      </c>
      <c r="AJ10" s="25" t="s">
        <v>142</v>
      </c>
      <c r="AK10" s="25" t="s">
        <v>142</v>
      </c>
      <c r="AL10" s="25" t="s">
        <v>142</v>
      </c>
      <c r="AM10" s="25" t="s">
        <v>142</v>
      </c>
      <c r="AN10" s="25" t="s">
        <v>142</v>
      </c>
      <c r="AO10" s="25" t="s">
        <v>142</v>
      </c>
      <c r="AP10" s="25" t="s">
        <v>142</v>
      </c>
      <c r="AQ10" s="25" t="s">
        <v>142</v>
      </c>
      <c r="AR10" s="25" t="s">
        <v>142</v>
      </c>
      <c r="AS10" s="25" t="s">
        <v>142</v>
      </c>
      <c r="AT10" s="25" t="s">
        <v>142</v>
      </c>
      <c r="AU10" s="25" t="s">
        <v>142</v>
      </c>
      <c r="AV10" s="25" t="s">
        <v>142</v>
      </c>
      <c r="AW10" s="25" t="s">
        <v>142</v>
      </c>
      <c r="AX10" s="25" t="s">
        <v>142</v>
      </c>
      <c r="AY10" s="25" t="s">
        <v>142</v>
      </c>
      <c r="AZ10" s="25" t="s">
        <v>142</v>
      </c>
      <c r="BA10" s="25" t="s">
        <v>142</v>
      </c>
      <c r="BB10" s="25" t="s">
        <v>142</v>
      </c>
      <c r="BC10" s="25" t="s">
        <v>142</v>
      </c>
      <c r="BD10" s="25" t="s">
        <v>142</v>
      </c>
      <c r="BE10" s="25" t="s">
        <v>142</v>
      </c>
      <c r="BF10" s="25" t="s">
        <v>142</v>
      </c>
      <c r="BG10" s="25" t="s">
        <v>142</v>
      </c>
      <c r="BH10" s="25" t="s">
        <v>142</v>
      </c>
      <c r="BI10" s="25" t="s">
        <v>142</v>
      </c>
      <c r="BJ10" s="25" t="s">
        <v>142</v>
      </c>
      <c r="BK10" s="25" t="s">
        <v>142</v>
      </c>
      <c r="BL10" s="25" t="s">
        <v>142</v>
      </c>
      <c r="BM10" s="25" t="s">
        <v>142</v>
      </c>
      <c r="BN10" s="31" t="s">
        <v>142</v>
      </c>
    </row>
    <row r="11" spans="1:68" ht="18.75" customHeight="1" thickBot="1" x14ac:dyDescent="0.3">
      <c r="A11" s="317" t="s">
        <v>170</v>
      </c>
      <c r="B11" s="349" t="s">
        <v>152</v>
      </c>
      <c r="C11" s="349"/>
      <c r="D11" s="49">
        <f>250402/123766</f>
        <v>2.0231889210283924</v>
      </c>
      <c r="E11" s="49">
        <f>208353/103442</f>
        <v>2.0142011948724887</v>
      </c>
      <c r="F11" s="49">
        <f>223347/111374</f>
        <v>2.0053782750013469</v>
      </c>
      <c r="G11" s="49">
        <f>250402/123766</f>
        <v>2.0231889210283924</v>
      </c>
      <c r="H11" s="49">
        <f>268712/130728</f>
        <v>2.0555045590845116</v>
      </c>
      <c r="I11" s="49">
        <f>288581/139280</f>
        <v>2.0719485927627801</v>
      </c>
      <c r="J11" s="49">
        <f>288945/140072</f>
        <v>2.0628319721286195</v>
      </c>
      <c r="K11" s="49">
        <f>282097/136766</f>
        <v>2.062625213868944</v>
      </c>
      <c r="L11" s="49">
        <f>273393/136113</f>
        <v>2.0085737585682484</v>
      </c>
      <c r="M11" s="49">
        <f>274428/135226</f>
        <v>2.0294026296718086</v>
      </c>
      <c r="N11" s="49">
        <f>256955/127124</f>
        <v>2.0212941694723261</v>
      </c>
      <c r="O11" s="49">
        <f>248747/121312</f>
        <v>2.0504731601160642</v>
      </c>
      <c r="P11" s="49">
        <f>240977/119283</f>
        <v>2.0202124359715969</v>
      </c>
      <c r="Q11" s="49">
        <f>209436/107156</f>
        <v>1.9544962484601889</v>
      </c>
      <c r="R11" s="49">
        <f>191809/97965</f>
        <v>1.9579339560046956</v>
      </c>
      <c r="S11" s="49">
        <v>2.27</v>
      </c>
      <c r="T11" s="49">
        <v>2.0099999999999998</v>
      </c>
      <c r="U11" s="49">
        <v>2.2200000000000002</v>
      </c>
      <c r="V11" s="49">
        <v>2.39</v>
      </c>
      <c r="W11" s="49">
        <v>2.44</v>
      </c>
      <c r="X11" s="49">
        <v>2.4</v>
      </c>
      <c r="Y11" s="49">
        <v>2.2799999999999998</v>
      </c>
      <c r="Z11" s="49">
        <v>2.23</v>
      </c>
      <c r="AA11" s="49">
        <v>2.2200000000000002</v>
      </c>
      <c r="AB11" s="49">
        <v>2.2000000000000002</v>
      </c>
      <c r="AC11" s="162" t="s">
        <v>142</v>
      </c>
      <c r="AD11" s="162" t="s">
        <v>142</v>
      </c>
      <c r="AE11" s="160" t="s">
        <v>142</v>
      </c>
      <c r="AF11" s="160" t="s">
        <v>142</v>
      </c>
      <c r="AG11" s="160" t="s">
        <v>142</v>
      </c>
      <c r="AH11" s="160" t="s">
        <v>142</v>
      </c>
      <c r="AI11" s="160" t="s">
        <v>142</v>
      </c>
      <c r="AJ11" s="160" t="s">
        <v>142</v>
      </c>
      <c r="AK11" s="160" t="s">
        <v>142</v>
      </c>
      <c r="AL11" s="160" t="s">
        <v>142</v>
      </c>
      <c r="AM11" s="160" t="s">
        <v>142</v>
      </c>
      <c r="AN11" s="160" t="s">
        <v>142</v>
      </c>
      <c r="AO11" s="160" t="s">
        <v>142</v>
      </c>
      <c r="AP11" s="160" t="s">
        <v>142</v>
      </c>
      <c r="AQ11" s="160" t="s">
        <v>142</v>
      </c>
      <c r="AR11" s="160" t="s">
        <v>142</v>
      </c>
      <c r="AS11" s="160" t="s">
        <v>142</v>
      </c>
      <c r="AT11" s="160" t="s">
        <v>142</v>
      </c>
      <c r="AU11" s="160" t="s">
        <v>142</v>
      </c>
      <c r="AV11" s="160" t="s">
        <v>142</v>
      </c>
      <c r="AW11" s="160" t="s">
        <v>142</v>
      </c>
      <c r="AX11" s="160" t="s">
        <v>142</v>
      </c>
      <c r="AY11" s="160" t="s">
        <v>142</v>
      </c>
      <c r="AZ11" s="160" t="s">
        <v>142</v>
      </c>
      <c r="BA11" s="160" t="s">
        <v>142</v>
      </c>
      <c r="BB11" s="160" t="s">
        <v>142</v>
      </c>
      <c r="BC11" s="160" t="s">
        <v>142</v>
      </c>
      <c r="BD11" s="160" t="s">
        <v>142</v>
      </c>
      <c r="BE11" s="160" t="s">
        <v>142</v>
      </c>
      <c r="BF11" s="160" t="s">
        <v>142</v>
      </c>
      <c r="BG11" s="160" t="s">
        <v>142</v>
      </c>
      <c r="BH11" s="160" t="s">
        <v>142</v>
      </c>
      <c r="BI11" s="160" t="s">
        <v>142</v>
      </c>
      <c r="BJ11" s="160" t="s">
        <v>142</v>
      </c>
      <c r="BK11" s="160" t="s">
        <v>142</v>
      </c>
      <c r="BL11" s="160" t="s">
        <v>142</v>
      </c>
      <c r="BM11" s="160" t="s">
        <v>142</v>
      </c>
      <c r="BN11" s="63" t="s">
        <v>142</v>
      </c>
    </row>
    <row r="12" spans="1:68" x14ac:dyDescent="0.25">
      <c r="A12" s="309"/>
      <c r="B12" s="4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AF12" s="166"/>
    </row>
    <row r="13" spans="1:68" ht="15.75" x14ac:dyDescent="0.25">
      <c r="A13" s="318" t="s">
        <v>157</v>
      </c>
      <c r="B13" s="37" t="s">
        <v>161</v>
      </c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68" ht="15.75" thickBot="1" x14ac:dyDescent="0.3">
      <c r="A14" s="309"/>
      <c r="B14" s="38" t="s">
        <v>1</v>
      </c>
      <c r="C14" s="19"/>
      <c r="D14" s="6">
        <v>2016</v>
      </c>
      <c r="E14" s="20">
        <v>2015</v>
      </c>
      <c r="F14" s="20">
        <v>2014</v>
      </c>
      <c r="G14" s="20">
        <v>2013</v>
      </c>
      <c r="H14" s="20">
        <v>2012</v>
      </c>
      <c r="I14" s="20">
        <v>2011</v>
      </c>
      <c r="J14" s="20">
        <v>2010</v>
      </c>
      <c r="K14" s="20">
        <v>2009</v>
      </c>
      <c r="L14" s="20">
        <v>2008</v>
      </c>
      <c r="M14" s="20">
        <v>2007</v>
      </c>
      <c r="N14" s="20">
        <v>2006</v>
      </c>
      <c r="O14" s="20">
        <v>2005</v>
      </c>
      <c r="P14" s="20">
        <v>2004</v>
      </c>
      <c r="Q14" s="20">
        <v>2003</v>
      </c>
      <c r="R14" s="20">
        <v>2002</v>
      </c>
      <c r="S14" s="6">
        <v>2001</v>
      </c>
      <c r="T14" s="6">
        <v>2000</v>
      </c>
      <c r="U14" s="6">
        <v>1999</v>
      </c>
      <c r="V14" s="6">
        <v>1998</v>
      </c>
      <c r="W14" s="6">
        <v>1997</v>
      </c>
      <c r="X14" s="6">
        <v>1996</v>
      </c>
      <c r="Y14" s="6">
        <v>1995</v>
      </c>
      <c r="Z14" s="6">
        <v>1994</v>
      </c>
      <c r="AA14" s="6">
        <v>1993</v>
      </c>
      <c r="AB14" s="6">
        <v>1992</v>
      </c>
      <c r="AC14" s="6">
        <v>1991</v>
      </c>
      <c r="AD14" s="6">
        <v>1990</v>
      </c>
      <c r="AE14" s="6">
        <v>1989</v>
      </c>
      <c r="AF14" s="6">
        <v>1988</v>
      </c>
      <c r="AG14" s="6">
        <v>1987</v>
      </c>
      <c r="AH14" s="6">
        <v>1986</v>
      </c>
      <c r="AI14" s="6">
        <v>1985</v>
      </c>
      <c r="AJ14" s="6">
        <v>1984</v>
      </c>
      <c r="AK14" s="6">
        <v>1983</v>
      </c>
      <c r="AL14" s="6">
        <v>1982</v>
      </c>
      <c r="AM14" s="6">
        <v>1981</v>
      </c>
      <c r="AN14" s="6">
        <v>1980</v>
      </c>
      <c r="AO14" s="6">
        <v>1979</v>
      </c>
      <c r="AP14" s="6">
        <v>1978</v>
      </c>
      <c r="AQ14" s="6">
        <v>1977</v>
      </c>
      <c r="AR14" s="6">
        <v>1976</v>
      </c>
      <c r="AS14" s="6">
        <v>1975</v>
      </c>
      <c r="AT14" s="6">
        <v>1974</v>
      </c>
      <c r="AU14" s="6">
        <v>1973</v>
      </c>
      <c r="AV14" s="6">
        <v>1972</v>
      </c>
      <c r="AW14" s="6">
        <v>1971</v>
      </c>
      <c r="AX14" s="6">
        <v>1970</v>
      </c>
      <c r="AY14" s="6">
        <v>1969</v>
      </c>
      <c r="AZ14" s="6">
        <v>1968</v>
      </c>
      <c r="BA14" s="6">
        <v>1967</v>
      </c>
      <c r="BB14" s="6">
        <v>1966</v>
      </c>
      <c r="BC14" s="6">
        <v>1965</v>
      </c>
      <c r="BD14" s="6">
        <v>1964</v>
      </c>
      <c r="BE14" s="6">
        <v>1963</v>
      </c>
      <c r="BF14" s="6">
        <v>1962</v>
      </c>
      <c r="BG14" s="6">
        <v>1961</v>
      </c>
      <c r="BH14" s="6">
        <v>1960</v>
      </c>
    </row>
    <row r="15" spans="1:68" x14ac:dyDescent="0.25">
      <c r="A15" s="314" t="s">
        <v>340</v>
      </c>
      <c r="B15" s="361" t="s">
        <v>184</v>
      </c>
      <c r="C15" s="95" t="s">
        <v>185</v>
      </c>
      <c r="D15" s="295">
        <f>25429/41091</f>
        <v>0.61884597600447788</v>
      </c>
      <c r="E15" s="46">
        <f>26835/43572</f>
        <v>0.61587716882401544</v>
      </c>
      <c r="F15" s="46">
        <v>0.61655069582504973</v>
      </c>
      <c r="G15" s="46">
        <v>0.62249169631100021</v>
      </c>
      <c r="H15" s="46">
        <v>0.62403603878750857</v>
      </c>
      <c r="I15" s="46">
        <v>0.62678688398258386</v>
      </c>
      <c r="J15" s="46">
        <v>0.61307348761672753</v>
      </c>
      <c r="K15" s="46">
        <v>0.59305019305019302</v>
      </c>
      <c r="L15" s="46">
        <v>0.58194689360832119</v>
      </c>
      <c r="M15" s="46">
        <v>0.56788963007883564</v>
      </c>
      <c r="N15" s="46">
        <v>0.5786830357142857</v>
      </c>
      <c r="O15" s="46">
        <v>0.58585582133669056</v>
      </c>
      <c r="P15" s="46">
        <v>0.59755995654717142</v>
      </c>
      <c r="Q15" s="46">
        <v>0.59463556851311949</v>
      </c>
      <c r="R15" s="46">
        <v>0.59660509236145787</v>
      </c>
      <c r="S15" s="46">
        <f>4457/8139</f>
        <v>0.54761027153212927</v>
      </c>
      <c r="T15" s="46">
        <f>4513/8251</f>
        <v>0.54696400436310755</v>
      </c>
      <c r="U15" s="46">
        <f>4207/7653</f>
        <v>0.54971906441918206</v>
      </c>
      <c r="V15" s="241" t="s">
        <v>318</v>
      </c>
      <c r="W15" s="362">
        <v>0.49899712217668091</v>
      </c>
      <c r="X15" s="362">
        <v>0.50656623222161656</v>
      </c>
      <c r="Y15" s="362">
        <v>0.51970639859581935</v>
      </c>
      <c r="Z15" s="362">
        <v>0.49077317162423545</v>
      </c>
      <c r="AA15" s="362">
        <v>0.47656026951407526</v>
      </c>
      <c r="AB15" s="362">
        <v>0.47675730565271351</v>
      </c>
      <c r="AC15" s="362">
        <v>0.44227678324003766</v>
      </c>
      <c r="AD15" s="362">
        <v>0.45926361143752448</v>
      </c>
      <c r="AE15" s="362">
        <v>0.43606027987082885</v>
      </c>
      <c r="AF15" s="362">
        <v>0.43680649526387011</v>
      </c>
      <c r="AG15" s="362">
        <v>0.4383737588302129</v>
      </c>
      <c r="AH15" s="362">
        <v>0.44613565834195362</v>
      </c>
      <c r="AI15" s="362">
        <v>0.45097672679689693</v>
      </c>
      <c r="AJ15" s="362">
        <v>0.44988577955454029</v>
      </c>
      <c r="AK15" s="362">
        <v>0.41872073504726565</v>
      </c>
      <c r="AL15" s="362">
        <v>0.41612963481834314</v>
      </c>
      <c r="AM15" s="362">
        <v>0.41494082840236685</v>
      </c>
      <c r="AN15" s="362">
        <v>0.42248908296943233</v>
      </c>
      <c r="AO15" s="362">
        <v>0.42417985776554257</v>
      </c>
      <c r="AP15" s="362">
        <v>0.43264131783820375</v>
      </c>
      <c r="AQ15" s="362">
        <v>0.40806083650190111</v>
      </c>
      <c r="AR15" s="362">
        <v>0.37933609958506226</v>
      </c>
      <c r="AS15" s="362">
        <v>0.3832302513113599</v>
      </c>
      <c r="AT15" s="362">
        <v>0.39778256361170933</v>
      </c>
      <c r="AU15" s="362">
        <v>0.39991961414790994</v>
      </c>
      <c r="AV15" s="362">
        <v>0.40830310358726318</v>
      </c>
      <c r="AW15" s="362">
        <v>0.41956435643564355</v>
      </c>
      <c r="AX15" s="362">
        <v>0.43440209389824963</v>
      </c>
      <c r="AY15" s="362">
        <v>0.42966299364594224</v>
      </c>
      <c r="AZ15" s="362">
        <v>0.4294113155684508</v>
      </c>
      <c r="BA15" s="362">
        <v>0.4122064345137304</v>
      </c>
      <c r="BB15" s="362">
        <v>0.40307716964500362</v>
      </c>
      <c r="BC15" s="362">
        <v>0.40242044685172645</v>
      </c>
      <c r="BD15" s="362">
        <v>0.40734044476586512</v>
      </c>
      <c r="BE15" s="362">
        <v>0.4114253814663193</v>
      </c>
      <c r="BF15" s="362">
        <v>0.35913414234175139</v>
      </c>
      <c r="BG15" s="362">
        <v>0.30595057296700262</v>
      </c>
      <c r="BH15" s="364">
        <v>0.31341628680547001</v>
      </c>
      <c r="BI15" s="155"/>
      <c r="BJ15" s="155"/>
    </row>
    <row r="16" spans="1:68" ht="30" x14ac:dyDescent="0.25">
      <c r="A16" s="316" t="s">
        <v>172</v>
      </c>
      <c r="B16" s="353"/>
      <c r="C16" s="72" t="s">
        <v>159</v>
      </c>
      <c r="D16" s="296">
        <f>20194/34034</f>
        <v>0.59334782864194624</v>
      </c>
      <c r="E16" s="18">
        <f>21739/36169</f>
        <v>0.60103956426774308</v>
      </c>
      <c r="F16" s="18">
        <v>0.60529889495406741</v>
      </c>
      <c r="G16" s="18">
        <v>0.61063397876327297</v>
      </c>
      <c r="H16" s="18">
        <v>0.60526383229543068</v>
      </c>
      <c r="I16" s="18">
        <v>0.60076869502411845</v>
      </c>
      <c r="J16" s="18">
        <v>0.59562603704811901</v>
      </c>
      <c r="K16" s="18">
        <v>0.59358366964964615</v>
      </c>
      <c r="L16" s="18">
        <v>0.5683701657458563</v>
      </c>
      <c r="M16" s="18">
        <v>0.56379563062748661</v>
      </c>
      <c r="N16" s="18">
        <v>0.55142479713153425</v>
      </c>
      <c r="O16" s="18">
        <v>0.54411096891384225</v>
      </c>
      <c r="P16" s="18">
        <v>0.5256877022653722</v>
      </c>
      <c r="Q16" s="18">
        <v>0.52877023077258645</v>
      </c>
      <c r="R16" s="18">
        <v>0.51204709318244046</v>
      </c>
      <c r="S16" s="21">
        <f>10730/21514</f>
        <v>0.49874500325369525</v>
      </c>
      <c r="T16" s="3">
        <f>10425/20527</f>
        <v>0.5078676864617333</v>
      </c>
      <c r="U16" s="55">
        <f>9327/19034</f>
        <v>0.49001786277188192</v>
      </c>
      <c r="V16" s="242" t="s">
        <v>318</v>
      </c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  <c r="BC16" s="363"/>
      <c r="BD16" s="363"/>
      <c r="BE16" s="363"/>
      <c r="BF16" s="363"/>
      <c r="BG16" s="363"/>
      <c r="BH16" s="365"/>
    </row>
    <row r="17" spans="1:60" x14ac:dyDescent="0.25">
      <c r="A17" s="316" t="s">
        <v>173</v>
      </c>
      <c r="B17" s="353"/>
      <c r="C17" s="72" t="s">
        <v>160</v>
      </c>
      <c r="D17" s="296">
        <f>1004/2335</f>
        <v>0.42997858672376876</v>
      </c>
      <c r="E17" s="18">
        <f>1059/2405</f>
        <v>0.44033264033264036</v>
      </c>
      <c r="F17" s="18">
        <v>0.42915475704369133</v>
      </c>
      <c r="G17" s="18">
        <v>0.43436454849498329</v>
      </c>
      <c r="H17" s="18">
        <v>0.41907622981599701</v>
      </c>
      <c r="I17" s="18">
        <v>0.43460434604346043</v>
      </c>
      <c r="J17" s="18">
        <v>0.39513951395139513</v>
      </c>
      <c r="K17" s="18">
        <v>0.38442105263157894</v>
      </c>
      <c r="L17" s="18">
        <v>0.39857651245551601</v>
      </c>
      <c r="M17" s="18">
        <v>0.37362152624614026</v>
      </c>
      <c r="N17" s="18">
        <v>0.35786435786435788</v>
      </c>
      <c r="O17" s="18">
        <v>0.34913353720693169</v>
      </c>
      <c r="P17" s="18">
        <v>0.35138183869148337</v>
      </c>
      <c r="Q17" s="18">
        <v>0.35485975212002607</v>
      </c>
      <c r="R17" s="18">
        <v>0.34218289085545722</v>
      </c>
      <c r="S17" s="21">
        <f>370/1066</f>
        <v>0.34709193245778613</v>
      </c>
      <c r="T17" s="3">
        <f>260/873</f>
        <v>0.29782359679266895</v>
      </c>
      <c r="U17" s="55">
        <f>241/759</f>
        <v>0.31752305665349145</v>
      </c>
      <c r="V17" s="242" t="s">
        <v>318</v>
      </c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5"/>
    </row>
    <row r="18" spans="1:60" x14ac:dyDescent="0.25">
      <c r="A18" s="316" t="s">
        <v>174</v>
      </c>
      <c r="B18" s="347" t="s">
        <v>24</v>
      </c>
      <c r="C18" s="347"/>
      <c r="D18" s="383"/>
      <c r="E18" s="21">
        <f>5900/326909</f>
        <v>1.8047835942112331E-2</v>
      </c>
      <c r="F18" s="21">
        <f>9266/347096</f>
        <v>2.6695784451563832E-2</v>
      </c>
      <c r="G18" s="21">
        <f>(1241+3218)/367906</f>
        <v>1.2119943681266411E-2</v>
      </c>
      <c r="H18" s="21">
        <f>(662+3422)/381029</f>
        <v>1.0718344273008091E-2</v>
      </c>
      <c r="I18" s="17">
        <f>7322/392109</f>
        <v>1.8673379085917437E-2</v>
      </c>
      <c r="J18" s="22" t="s">
        <v>142</v>
      </c>
      <c r="K18" s="22" t="s">
        <v>142</v>
      </c>
      <c r="L18" s="22" t="s">
        <v>142</v>
      </c>
      <c r="M18" s="22" t="s">
        <v>142</v>
      </c>
      <c r="N18" s="22" t="s">
        <v>142</v>
      </c>
      <c r="O18" s="22" t="s">
        <v>142</v>
      </c>
      <c r="P18" s="22" t="s">
        <v>142</v>
      </c>
      <c r="Q18" s="22" t="s">
        <v>142</v>
      </c>
      <c r="R18" s="22" t="s">
        <v>142</v>
      </c>
      <c r="S18" s="25" t="s">
        <v>142</v>
      </c>
      <c r="T18" s="25" t="s">
        <v>142</v>
      </c>
      <c r="U18" s="25" t="s">
        <v>142</v>
      </c>
      <c r="V18" s="25" t="s">
        <v>142</v>
      </c>
      <c r="W18" s="25" t="s">
        <v>142</v>
      </c>
      <c r="X18" s="25" t="s">
        <v>142</v>
      </c>
      <c r="Y18" s="25" t="s">
        <v>142</v>
      </c>
      <c r="Z18" s="25" t="s">
        <v>142</v>
      </c>
      <c r="AA18" s="25" t="s">
        <v>142</v>
      </c>
      <c r="AB18" s="25" t="s">
        <v>142</v>
      </c>
      <c r="AC18" s="25" t="s">
        <v>142</v>
      </c>
      <c r="AD18" s="25" t="s">
        <v>142</v>
      </c>
      <c r="AE18" s="25" t="s">
        <v>142</v>
      </c>
      <c r="AF18" s="25" t="s">
        <v>142</v>
      </c>
      <c r="AG18" s="25" t="s">
        <v>142</v>
      </c>
      <c r="AH18" s="25" t="s">
        <v>142</v>
      </c>
      <c r="AI18" s="25" t="s">
        <v>142</v>
      </c>
      <c r="AJ18" s="25" t="s">
        <v>142</v>
      </c>
      <c r="AK18" s="25" t="s">
        <v>142</v>
      </c>
      <c r="AL18" s="25" t="s">
        <v>142</v>
      </c>
      <c r="AM18" s="25" t="s">
        <v>142</v>
      </c>
      <c r="AN18" s="25" t="s">
        <v>142</v>
      </c>
      <c r="AO18" s="25" t="s">
        <v>142</v>
      </c>
      <c r="AP18" s="25" t="s">
        <v>142</v>
      </c>
      <c r="AQ18" s="25" t="s">
        <v>142</v>
      </c>
      <c r="AR18" s="25" t="s">
        <v>142</v>
      </c>
      <c r="AS18" s="25" t="s">
        <v>142</v>
      </c>
      <c r="AT18" s="25" t="s">
        <v>142</v>
      </c>
      <c r="AU18" s="25" t="s">
        <v>142</v>
      </c>
      <c r="AV18" s="25" t="s">
        <v>142</v>
      </c>
      <c r="AW18" s="25" t="s">
        <v>142</v>
      </c>
      <c r="AX18" s="25" t="s">
        <v>142</v>
      </c>
      <c r="AY18" s="25" t="s">
        <v>142</v>
      </c>
      <c r="AZ18" s="25" t="s">
        <v>142</v>
      </c>
      <c r="BA18" s="25" t="s">
        <v>142</v>
      </c>
      <c r="BB18" s="25" t="s">
        <v>142</v>
      </c>
      <c r="BC18" s="25" t="s">
        <v>142</v>
      </c>
      <c r="BD18" s="25" t="s">
        <v>142</v>
      </c>
      <c r="BE18" s="25" t="s">
        <v>142</v>
      </c>
      <c r="BF18" s="25" t="s">
        <v>142</v>
      </c>
      <c r="BG18" s="25" t="s">
        <v>142</v>
      </c>
      <c r="BH18" s="31" t="s">
        <v>142</v>
      </c>
    </row>
    <row r="19" spans="1:60" ht="30" customHeight="1" x14ac:dyDescent="0.25">
      <c r="A19" s="316" t="s">
        <v>175</v>
      </c>
      <c r="B19" s="347" t="s">
        <v>209</v>
      </c>
      <c r="C19" s="347"/>
      <c r="D19" s="16">
        <v>1811</v>
      </c>
      <c r="E19" s="16">
        <v>1682</v>
      </c>
      <c r="F19" s="16">
        <v>1409</v>
      </c>
      <c r="G19" s="23">
        <v>1148</v>
      </c>
      <c r="H19" s="24">
        <v>894</v>
      </c>
      <c r="I19" s="24">
        <v>854</v>
      </c>
      <c r="J19" s="25" t="s">
        <v>142</v>
      </c>
      <c r="K19" s="25" t="s">
        <v>142</v>
      </c>
      <c r="L19" s="25" t="s">
        <v>142</v>
      </c>
      <c r="M19" s="25" t="s">
        <v>142</v>
      </c>
      <c r="N19" s="25" t="s">
        <v>142</v>
      </c>
      <c r="O19" s="25" t="s">
        <v>142</v>
      </c>
      <c r="P19" s="25" t="s">
        <v>142</v>
      </c>
      <c r="Q19" s="25" t="s">
        <v>142</v>
      </c>
      <c r="R19" s="25" t="s">
        <v>142</v>
      </c>
      <c r="S19" s="25" t="s">
        <v>142</v>
      </c>
      <c r="T19" s="25" t="s">
        <v>142</v>
      </c>
      <c r="U19" s="25" t="s">
        <v>142</v>
      </c>
      <c r="V19" s="25" t="s">
        <v>142</v>
      </c>
      <c r="W19" s="25" t="s">
        <v>142</v>
      </c>
      <c r="X19" s="25" t="s">
        <v>142</v>
      </c>
      <c r="Y19" s="25" t="s">
        <v>142</v>
      </c>
      <c r="Z19" s="25" t="s">
        <v>142</v>
      </c>
      <c r="AA19" s="25" t="s">
        <v>142</v>
      </c>
      <c r="AB19" s="25" t="s">
        <v>142</v>
      </c>
      <c r="AC19" s="25" t="s">
        <v>142</v>
      </c>
      <c r="AD19" s="25" t="s">
        <v>142</v>
      </c>
      <c r="AE19" s="25" t="s">
        <v>142</v>
      </c>
      <c r="AF19" s="25" t="s">
        <v>142</v>
      </c>
      <c r="AG19" s="25" t="s">
        <v>142</v>
      </c>
      <c r="AH19" s="25" t="s">
        <v>142</v>
      </c>
      <c r="AI19" s="25" t="s">
        <v>142</v>
      </c>
      <c r="AJ19" s="25" t="s">
        <v>142</v>
      </c>
      <c r="AK19" s="25" t="s">
        <v>142</v>
      </c>
      <c r="AL19" s="25" t="s">
        <v>142</v>
      </c>
      <c r="AM19" s="25" t="s">
        <v>142</v>
      </c>
      <c r="AN19" s="25" t="s">
        <v>142</v>
      </c>
      <c r="AO19" s="25" t="s">
        <v>142</v>
      </c>
      <c r="AP19" s="25" t="s">
        <v>142</v>
      </c>
      <c r="AQ19" s="25" t="s">
        <v>142</v>
      </c>
      <c r="AR19" s="25" t="s">
        <v>142</v>
      </c>
      <c r="AS19" s="25" t="s">
        <v>142</v>
      </c>
      <c r="AT19" s="25" t="s">
        <v>142</v>
      </c>
      <c r="AU19" s="25" t="s">
        <v>142</v>
      </c>
      <c r="AV19" s="25" t="s">
        <v>142</v>
      </c>
      <c r="AW19" s="25" t="s">
        <v>142</v>
      </c>
      <c r="AX19" s="25" t="s">
        <v>142</v>
      </c>
      <c r="AY19" s="25" t="s">
        <v>142</v>
      </c>
      <c r="AZ19" s="25" t="s">
        <v>142</v>
      </c>
      <c r="BA19" s="25" t="s">
        <v>142</v>
      </c>
      <c r="BB19" s="25" t="s">
        <v>142</v>
      </c>
      <c r="BC19" s="25" t="s">
        <v>142</v>
      </c>
      <c r="BD19" s="25" t="s">
        <v>142</v>
      </c>
      <c r="BE19" s="25" t="s">
        <v>142</v>
      </c>
      <c r="BF19" s="25" t="s">
        <v>142</v>
      </c>
      <c r="BG19" s="25" t="s">
        <v>142</v>
      </c>
      <c r="BH19" s="31" t="s">
        <v>142</v>
      </c>
    </row>
    <row r="20" spans="1:60" ht="30" customHeight="1" thickBot="1" x14ac:dyDescent="0.3">
      <c r="A20" s="319" t="s">
        <v>176</v>
      </c>
      <c r="B20" s="349" t="s">
        <v>96</v>
      </c>
      <c r="C20" s="349"/>
      <c r="D20" s="98">
        <f>34583/292263</f>
        <v>0.11832835494058434</v>
      </c>
      <c r="E20" s="163">
        <f>36536/305888</f>
        <v>0.11944241029396381</v>
      </c>
      <c r="F20" s="32">
        <v>0.12430559172930257</v>
      </c>
      <c r="G20" s="32">
        <v>0.1292455683078208</v>
      </c>
      <c r="H20" s="32">
        <v>0.13875890245188652</v>
      </c>
      <c r="I20" s="32">
        <v>0.14993694693842358</v>
      </c>
      <c r="J20" s="32">
        <v>0.17561302053082148</v>
      </c>
      <c r="K20" s="32">
        <v>0.17783033419023137</v>
      </c>
      <c r="L20" s="32">
        <v>0.17042475091767173</v>
      </c>
      <c r="M20" s="32">
        <v>0.15735884165842878</v>
      </c>
      <c r="N20" s="32">
        <v>0.14305323617225849</v>
      </c>
      <c r="O20" s="32">
        <v>0.13030590917727533</v>
      </c>
      <c r="P20" s="32">
        <v>0.11924796809378493</v>
      </c>
      <c r="Q20" s="32">
        <v>0.10346794245808681</v>
      </c>
      <c r="R20" s="32">
        <v>9.2747685963175244E-2</v>
      </c>
      <c r="S20" s="32">
        <f>11629/190092</f>
        <v>6.1175641268438441E-2</v>
      </c>
      <c r="T20" s="165">
        <f>9474/177748</f>
        <v>5.3300177779778114E-2</v>
      </c>
      <c r="U20" s="160" t="s">
        <v>142</v>
      </c>
      <c r="V20" s="160" t="s">
        <v>142</v>
      </c>
      <c r="W20" s="160" t="s">
        <v>142</v>
      </c>
      <c r="X20" s="160" t="s">
        <v>142</v>
      </c>
      <c r="Y20" s="160" t="s">
        <v>142</v>
      </c>
      <c r="Z20" s="160" t="s">
        <v>142</v>
      </c>
      <c r="AA20" s="160" t="s">
        <v>142</v>
      </c>
      <c r="AB20" s="160" t="s">
        <v>142</v>
      </c>
      <c r="AC20" s="160" t="s">
        <v>142</v>
      </c>
      <c r="AD20" s="160" t="s">
        <v>142</v>
      </c>
      <c r="AE20" s="160" t="s">
        <v>142</v>
      </c>
      <c r="AF20" s="160" t="s">
        <v>142</v>
      </c>
      <c r="AG20" s="160" t="s">
        <v>142</v>
      </c>
      <c r="AH20" s="160" t="s">
        <v>142</v>
      </c>
      <c r="AI20" s="160" t="s">
        <v>142</v>
      </c>
      <c r="AJ20" s="160" t="s">
        <v>142</v>
      </c>
      <c r="AK20" s="160" t="s">
        <v>142</v>
      </c>
      <c r="AL20" s="160" t="s">
        <v>142</v>
      </c>
      <c r="AM20" s="160" t="s">
        <v>142</v>
      </c>
      <c r="AN20" s="160" t="s">
        <v>142</v>
      </c>
      <c r="AO20" s="160" t="s">
        <v>142</v>
      </c>
      <c r="AP20" s="160" t="s">
        <v>142</v>
      </c>
      <c r="AQ20" s="160" t="s">
        <v>142</v>
      </c>
      <c r="AR20" s="160" t="s">
        <v>142</v>
      </c>
      <c r="AS20" s="160" t="s">
        <v>142</v>
      </c>
      <c r="AT20" s="160" t="s">
        <v>142</v>
      </c>
      <c r="AU20" s="160" t="s">
        <v>142</v>
      </c>
      <c r="AV20" s="160" t="s">
        <v>142</v>
      </c>
      <c r="AW20" s="160" t="s">
        <v>142</v>
      </c>
      <c r="AX20" s="160" t="s">
        <v>142</v>
      </c>
      <c r="AY20" s="160" t="s">
        <v>142</v>
      </c>
      <c r="AZ20" s="160" t="s">
        <v>142</v>
      </c>
      <c r="BA20" s="160" t="s">
        <v>142</v>
      </c>
      <c r="BB20" s="160" t="s">
        <v>142</v>
      </c>
      <c r="BC20" s="160" t="s">
        <v>142</v>
      </c>
      <c r="BD20" s="160" t="s">
        <v>142</v>
      </c>
      <c r="BE20" s="160" t="s">
        <v>142</v>
      </c>
      <c r="BF20" s="160" t="s">
        <v>142</v>
      </c>
      <c r="BG20" s="160" t="s">
        <v>142</v>
      </c>
      <c r="BH20" s="159" t="s">
        <v>142</v>
      </c>
    </row>
    <row r="21" spans="1:60" x14ac:dyDescent="0.25">
      <c r="D21" s="166"/>
      <c r="E21" s="155"/>
    </row>
    <row r="22" spans="1:60" x14ac:dyDescent="0.25">
      <c r="A22" s="146" t="s">
        <v>324</v>
      </c>
      <c r="D22" s="166"/>
      <c r="E22" s="155"/>
    </row>
    <row r="23" spans="1:60" s="166" customFormat="1" x14ac:dyDescent="0.25">
      <c r="A23" s="231" t="s">
        <v>117</v>
      </c>
      <c r="B23" s="155" t="s">
        <v>300</v>
      </c>
    </row>
    <row r="24" spans="1:60" ht="18.75" customHeight="1" x14ac:dyDescent="0.25">
      <c r="B24" s="360" t="s">
        <v>297</v>
      </c>
      <c r="C24" s="360"/>
      <c r="D24" s="276"/>
      <c r="E24" s="2"/>
      <c r="F24" s="2"/>
      <c r="G24" s="2"/>
      <c r="H24" s="2"/>
      <c r="I24" s="2"/>
    </row>
    <row r="25" spans="1:60" ht="18.75" customHeight="1" x14ac:dyDescent="0.25">
      <c r="A25" s="231"/>
      <c r="B25" s="360" t="s">
        <v>298</v>
      </c>
      <c r="C25" s="360"/>
      <c r="D25" s="276"/>
      <c r="E25" s="164"/>
      <c r="F25" s="2"/>
      <c r="G25" s="2"/>
      <c r="H25" s="2"/>
      <c r="I25" s="2"/>
    </row>
    <row r="26" spans="1:60" ht="18.75" customHeight="1" x14ac:dyDescent="0.25">
      <c r="A26" s="231"/>
      <c r="B26" s="360" t="s">
        <v>270</v>
      </c>
      <c r="C26" s="360"/>
      <c r="D26" s="276"/>
      <c r="E26" s="155"/>
    </row>
    <row r="27" spans="1:60" s="166" customFormat="1" ht="60" customHeight="1" x14ac:dyDescent="0.25">
      <c r="A27" s="231" t="s">
        <v>118</v>
      </c>
      <c r="B27" s="366" t="s">
        <v>358</v>
      </c>
      <c r="C27" s="366"/>
      <c r="D27" s="280"/>
    </row>
    <row r="28" spans="1:60" s="166" customFormat="1" ht="15" customHeight="1" x14ac:dyDescent="0.25">
      <c r="A28" s="231" t="s">
        <v>119</v>
      </c>
      <c r="B28" s="366" t="s">
        <v>178</v>
      </c>
      <c r="C28" s="366"/>
      <c r="D28" s="280"/>
    </row>
    <row r="29" spans="1:60" s="166" customFormat="1" x14ac:dyDescent="0.25">
      <c r="A29" s="231" t="s">
        <v>171</v>
      </c>
      <c r="B29" s="166" t="s">
        <v>299</v>
      </c>
    </row>
    <row r="30" spans="1:60" s="166" customFormat="1" x14ac:dyDescent="0.25"/>
    <row r="35" spans="3:3" x14ac:dyDescent="0.25">
      <c r="C35" s="155"/>
    </row>
  </sheetData>
  <mergeCells count="54">
    <mergeCell ref="B28:C28"/>
    <mergeCell ref="B27:C27"/>
    <mergeCell ref="B26:C26"/>
    <mergeCell ref="B25:C25"/>
    <mergeCell ref="B24:C24"/>
    <mergeCell ref="AU15:AU17"/>
    <mergeCell ref="BF15:BF17"/>
    <mergeCell ref="AV15:AV17"/>
    <mergeCell ref="AW15:AW17"/>
    <mergeCell ref="AX15:AX17"/>
    <mergeCell ref="AY15:AY17"/>
    <mergeCell ref="AZ15:AZ17"/>
    <mergeCell ref="AL15:AL17"/>
    <mergeCell ref="BG15:BG17"/>
    <mergeCell ref="BH15:BH17"/>
    <mergeCell ref="BA15:BA17"/>
    <mergeCell ref="BB15:BB17"/>
    <mergeCell ref="BC15:BC17"/>
    <mergeCell ref="BD15:BD17"/>
    <mergeCell ref="BE15:BE17"/>
    <mergeCell ref="AM15:AM17"/>
    <mergeCell ref="AN15:AN17"/>
    <mergeCell ref="AO15:AO17"/>
    <mergeCell ref="AP15:AP17"/>
    <mergeCell ref="AQ15:AQ17"/>
    <mergeCell ref="AR15:AR17"/>
    <mergeCell ref="AS15:AS17"/>
    <mergeCell ref="AT15:AT17"/>
    <mergeCell ref="AG15:AG17"/>
    <mergeCell ref="AH15:AH17"/>
    <mergeCell ref="AI15:AI17"/>
    <mergeCell ref="AJ15:AJ17"/>
    <mergeCell ref="AK15:AK17"/>
    <mergeCell ref="AB15:AB17"/>
    <mergeCell ref="AC15:AC17"/>
    <mergeCell ref="AD15:AD17"/>
    <mergeCell ref="AE15:AE17"/>
    <mergeCell ref="AF15:AF17"/>
    <mergeCell ref="W15:W17"/>
    <mergeCell ref="X15:X17"/>
    <mergeCell ref="Y15:Y17"/>
    <mergeCell ref="Z15:Z17"/>
    <mergeCell ref="AA15:AA17"/>
    <mergeCell ref="B11:C11"/>
    <mergeCell ref="B15:B17"/>
    <mergeCell ref="B18:C18"/>
    <mergeCell ref="B19:C19"/>
    <mergeCell ref="B20:C20"/>
    <mergeCell ref="B10:C10"/>
    <mergeCell ref="B5:C5"/>
    <mergeCell ref="B6:C6"/>
    <mergeCell ref="B7:C7"/>
    <mergeCell ref="B8:C8"/>
    <mergeCell ref="B9:C9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BO54"/>
  <sheetViews>
    <sheetView workbookViewId="0">
      <selection activeCell="D13" sqref="D13"/>
    </sheetView>
  </sheetViews>
  <sheetFormatPr defaultRowHeight="15" x14ac:dyDescent="0.25"/>
  <cols>
    <col min="1" max="1" width="10" customWidth="1"/>
    <col min="2" max="2" width="49.7109375" style="5" customWidth="1"/>
    <col min="3" max="3" width="11.5703125" bestFit="1" customWidth="1"/>
    <col min="4" max="4" width="10.28515625" customWidth="1"/>
    <col min="5" max="5" width="9.5703125" customWidth="1"/>
    <col min="6" max="6" width="11.140625" bestFit="1" customWidth="1"/>
    <col min="7" max="7" width="11.28515625" bestFit="1" customWidth="1"/>
    <col min="8" max="19" width="11.140625" bestFit="1" customWidth="1"/>
    <col min="20" max="20" width="9.42578125" bestFit="1" customWidth="1"/>
    <col min="21" max="28" width="12.85546875" bestFit="1" customWidth="1"/>
    <col min="29" max="29" width="10.140625" customWidth="1"/>
  </cols>
  <sheetData>
    <row r="1" spans="1:30" ht="18.75" x14ac:dyDescent="0.3">
      <c r="A1" s="9">
        <v>4</v>
      </c>
      <c r="B1" s="9" t="s">
        <v>220</v>
      </c>
      <c r="C1" s="9"/>
    </row>
    <row r="2" spans="1:30" x14ac:dyDescent="0.25">
      <c r="C2" s="14"/>
    </row>
    <row r="3" spans="1:30" ht="15.75" x14ac:dyDescent="0.25">
      <c r="A3" s="10" t="s">
        <v>27</v>
      </c>
      <c r="B3" s="8" t="s">
        <v>109</v>
      </c>
      <c r="C3" s="8"/>
    </row>
    <row r="4" spans="1:30" ht="15.75" thickBot="1" x14ac:dyDescent="0.3">
      <c r="B4" s="7" t="s">
        <v>1</v>
      </c>
      <c r="C4" s="7">
        <v>2016</v>
      </c>
      <c r="D4" s="20">
        <v>2015</v>
      </c>
      <c r="E4" s="6">
        <v>2014</v>
      </c>
      <c r="F4" s="6">
        <v>2013</v>
      </c>
      <c r="G4" s="6">
        <v>2012</v>
      </c>
      <c r="H4" s="6">
        <v>2011</v>
      </c>
      <c r="I4" s="6">
        <v>2010</v>
      </c>
      <c r="J4" s="6">
        <v>2009</v>
      </c>
      <c r="K4" s="6">
        <v>2008</v>
      </c>
      <c r="L4" s="6">
        <v>2007</v>
      </c>
      <c r="M4" s="6">
        <v>2006</v>
      </c>
      <c r="N4" s="6">
        <v>2005</v>
      </c>
      <c r="O4" s="6">
        <v>2004</v>
      </c>
      <c r="P4" s="6">
        <v>2003</v>
      </c>
      <c r="Q4" s="6">
        <v>2002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60" x14ac:dyDescent="0.25">
      <c r="A5" s="123" t="s">
        <v>186</v>
      </c>
      <c r="B5" s="279" t="s">
        <v>199</v>
      </c>
      <c r="C5" s="292">
        <f>58607/99773</f>
        <v>0.58740340573100935</v>
      </c>
      <c r="D5" s="50">
        <v>0.59470000000000001</v>
      </c>
      <c r="E5" s="50">
        <v>0.61929999999999996</v>
      </c>
      <c r="F5" s="51">
        <v>0.62580000000000002</v>
      </c>
      <c r="G5" s="50">
        <v>0.63849999999999996</v>
      </c>
      <c r="H5" s="50">
        <v>0.65100000000000002</v>
      </c>
      <c r="I5" s="50">
        <v>0.65939999999999999</v>
      </c>
      <c r="J5" s="50">
        <v>0.66820000000000002</v>
      </c>
      <c r="K5" s="50">
        <v>0.6845</v>
      </c>
      <c r="L5" s="50">
        <v>0.67630000000000001</v>
      </c>
      <c r="M5" s="50">
        <v>0.72309999999999997</v>
      </c>
      <c r="N5" s="50">
        <v>0.74109999999999998</v>
      </c>
      <c r="O5" s="50">
        <v>0.72660000000000002</v>
      </c>
      <c r="P5" s="50">
        <v>0.73880000000000001</v>
      </c>
      <c r="Q5" s="52">
        <v>0.72740000000000005</v>
      </c>
    </row>
    <row r="6" spans="1:30" ht="30" x14ac:dyDescent="0.25">
      <c r="A6" s="301" t="s">
        <v>341</v>
      </c>
      <c r="B6" s="339" t="s">
        <v>110</v>
      </c>
      <c r="C6" s="386">
        <f>104/88771</f>
        <v>1.1715537731916954E-3</v>
      </c>
      <c r="D6" s="54">
        <f>2288/92494</f>
        <v>2.4736739680411703E-2</v>
      </c>
      <c r="E6" s="54">
        <f>3533/94456</f>
        <v>3.7403658846447023E-2</v>
      </c>
      <c r="F6" s="54">
        <f>30060/105672</f>
        <v>0.28446513740631385</v>
      </c>
      <c r="G6" s="54">
        <f>40446/109645</f>
        <v>0.36888138994026176</v>
      </c>
      <c r="H6" s="54">
        <f>44209/114640</f>
        <v>0.38563328681088627</v>
      </c>
      <c r="I6" s="54">
        <f>47418/118043</f>
        <v>0.40170107503197988</v>
      </c>
      <c r="J6" s="54">
        <f>49884/119827</f>
        <v>0.41630016607275488</v>
      </c>
      <c r="K6" s="54">
        <f>49458/116185</f>
        <v>0.42568317769075181</v>
      </c>
      <c r="L6" s="54">
        <f>48208/108721</f>
        <v>0.44341019674211973</v>
      </c>
      <c r="M6" s="54">
        <f>39872/92678</f>
        <v>0.43022076436694795</v>
      </c>
      <c r="N6" s="54">
        <f>35633/79865</f>
        <v>0.44616540411945155</v>
      </c>
      <c r="O6" s="54">
        <f>31294/68124</f>
        <v>0.45936821090951796</v>
      </c>
      <c r="P6" s="54">
        <f>24685/52906</f>
        <v>0.46658224019959926</v>
      </c>
      <c r="Q6" s="336">
        <f>17798/35892</f>
        <v>0.49587651844422154</v>
      </c>
    </row>
    <row r="7" spans="1:30" ht="30" x14ac:dyDescent="0.25">
      <c r="A7" s="301" t="s">
        <v>342</v>
      </c>
      <c r="B7" s="339" t="s">
        <v>111</v>
      </c>
      <c r="C7" s="386">
        <f>1/9498</f>
        <v>1.052853232259423E-4</v>
      </c>
      <c r="D7" s="54">
        <f>7/9329</f>
        <v>7.5034837603172905E-4</v>
      </c>
      <c r="E7" s="54">
        <f>46/9489</f>
        <v>4.8477184107914425E-3</v>
      </c>
      <c r="F7" s="54">
        <f>163/9222</f>
        <v>1.7675124701800042E-2</v>
      </c>
      <c r="G7" s="54">
        <f>314/9236</f>
        <v>3.3997401472498918E-2</v>
      </c>
      <c r="H7" s="54">
        <f>2450/10269</f>
        <v>0.23858214042263123</v>
      </c>
      <c r="I7" s="54">
        <f>4094/9662</f>
        <v>0.42372179672945559</v>
      </c>
      <c r="J7" s="54">
        <f>4418/10109</f>
        <v>0.43703630428331192</v>
      </c>
      <c r="K7" s="54">
        <f>4870/10894</f>
        <v>0.44703506517349001</v>
      </c>
      <c r="L7" s="54">
        <f>5354/12437</f>
        <v>0.4304896679263488</v>
      </c>
      <c r="M7" s="54">
        <f>6754/15437</f>
        <v>0.43752024357064195</v>
      </c>
      <c r="N7" s="54">
        <f>7839/17408</f>
        <v>0.45031020220588236</v>
      </c>
      <c r="O7" s="54">
        <f>8990/20710</f>
        <v>0.43408981168517624</v>
      </c>
      <c r="P7" s="54">
        <f>12252/29851</f>
        <v>0.41043851127265418</v>
      </c>
      <c r="Q7" s="336">
        <f>15863/38449</f>
        <v>0.41257249863455486</v>
      </c>
    </row>
    <row r="8" spans="1:30" ht="30" x14ac:dyDescent="0.25">
      <c r="A8" s="301" t="s">
        <v>343</v>
      </c>
      <c r="B8" s="339" t="s">
        <v>112</v>
      </c>
      <c r="C8" s="386">
        <f>122/43138</f>
        <v>2.8281329686123602E-3</v>
      </c>
      <c r="D8" s="54">
        <f>2463/42685</f>
        <v>5.7701768771231114E-2</v>
      </c>
      <c r="E8" s="54">
        <f>20741/44039</f>
        <v>0.47096891391720974</v>
      </c>
      <c r="F8" s="54">
        <f>28640/46095</f>
        <v>0.62132552337563729</v>
      </c>
      <c r="G8" s="54">
        <f>29797/47045</f>
        <v>0.6333723031140398</v>
      </c>
      <c r="H8" s="54">
        <f>30539/47768</f>
        <v>0.63931920951264443</v>
      </c>
      <c r="I8" s="54">
        <f>30774/46722</f>
        <v>0.65866187235135487</v>
      </c>
      <c r="J8" s="54">
        <f>30903/46026</f>
        <v>0.67142484682570724</v>
      </c>
      <c r="K8" s="54">
        <f>26988/39216</f>
        <v>0.68818849449204411</v>
      </c>
      <c r="L8" s="54">
        <f>23582/32919</f>
        <v>0.71636440961147063</v>
      </c>
      <c r="M8" s="54">
        <f>16534/23756</f>
        <v>0.6959925913453443</v>
      </c>
      <c r="N8" s="54">
        <f>10401/14979</f>
        <v>0.69437212096935708</v>
      </c>
      <c r="O8" s="54">
        <f>6843/9912</f>
        <v>0.69037530266343827</v>
      </c>
      <c r="P8" s="54">
        <f>4508/7169</f>
        <v>0.62881852420142281</v>
      </c>
      <c r="Q8" s="336">
        <f>4252/6352</f>
        <v>0.66939546599496225</v>
      </c>
    </row>
    <row r="9" spans="1:30" ht="29.25" customHeight="1" thickBot="1" x14ac:dyDescent="0.3">
      <c r="A9" s="387" t="s">
        <v>113</v>
      </c>
      <c r="B9" s="338" t="s">
        <v>114</v>
      </c>
      <c r="C9" s="388">
        <f>15/5561</f>
        <v>2.6973565905412697E-3</v>
      </c>
      <c r="D9" s="247">
        <f>43/5797</f>
        <v>7.4176298085216492E-3</v>
      </c>
      <c r="E9" s="247">
        <f>84/5857</f>
        <v>1.4341813214956462E-2</v>
      </c>
      <c r="F9" s="247">
        <f>321/6335</f>
        <v>5.0670876085240728E-2</v>
      </c>
      <c r="G9" s="247">
        <f>659/6194</f>
        <v>0.10639328382305457</v>
      </c>
      <c r="H9" s="247">
        <f>842/6349</f>
        <v>0.13261931012757916</v>
      </c>
      <c r="I9" s="247">
        <f>1085/7396</f>
        <v>0.14670091941590049</v>
      </c>
      <c r="J9" s="247">
        <f>1522/10409</f>
        <v>0.14621961763858199</v>
      </c>
      <c r="K9" s="247">
        <f>1114/7572</f>
        <v>0.14712097200211305</v>
      </c>
      <c r="L9" s="247">
        <f>986/7637</f>
        <v>0.12910828859499804</v>
      </c>
      <c r="M9" s="247">
        <f>819/6441</f>
        <v>0.12715416860735912</v>
      </c>
      <c r="N9" s="247">
        <f>821/5594</f>
        <v>0.14676439041830533</v>
      </c>
      <c r="O9" s="247">
        <f>856/6300</f>
        <v>0.13587301587301587</v>
      </c>
      <c r="P9" s="247">
        <f>885/6693</f>
        <v>0.13222770058269834</v>
      </c>
      <c r="Q9" s="337">
        <f>795/5364</f>
        <v>0.14821029082774048</v>
      </c>
    </row>
    <row r="10" spans="1:30" x14ac:dyDescent="0.25">
      <c r="A10" s="53"/>
      <c r="B10" s="339"/>
      <c r="C10" s="389"/>
      <c r="D10" s="152"/>
      <c r="E10" s="53"/>
      <c r="F10" s="53"/>
      <c r="G10" s="53"/>
      <c r="H10" s="53"/>
      <c r="I10" s="53"/>
      <c r="J10" s="53"/>
      <c r="K10" s="19"/>
      <c r="L10" s="19"/>
      <c r="M10" s="19"/>
      <c r="N10" s="19"/>
      <c r="O10" s="19"/>
      <c r="P10" s="19"/>
      <c r="Q10" s="19"/>
    </row>
    <row r="11" spans="1:30" ht="15.75" x14ac:dyDescent="0.25">
      <c r="A11" s="94" t="s">
        <v>35</v>
      </c>
      <c r="B11" s="37" t="s">
        <v>26</v>
      </c>
      <c r="C11" s="37"/>
      <c r="E11" s="19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</row>
    <row r="12" spans="1:30" ht="15.75" thickBot="1" x14ac:dyDescent="0.3">
      <c r="A12" s="20"/>
      <c r="B12" s="38" t="s">
        <v>1</v>
      </c>
      <c r="C12" s="38">
        <v>2016</v>
      </c>
      <c r="D12" s="20">
        <v>2015</v>
      </c>
      <c r="E12" s="20">
        <v>2014</v>
      </c>
      <c r="F12" s="20">
        <v>2013</v>
      </c>
      <c r="G12" s="20">
        <v>2012</v>
      </c>
      <c r="H12" s="20">
        <v>2011</v>
      </c>
      <c r="I12" s="20">
        <v>2010</v>
      </c>
      <c r="J12" s="20">
        <v>2009</v>
      </c>
      <c r="K12" s="20">
        <v>2008</v>
      </c>
      <c r="L12" s="20">
        <v>2007</v>
      </c>
      <c r="M12" s="20">
        <v>2006</v>
      </c>
      <c r="N12" s="20">
        <v>2005</v>
      </c>
      <c r="O12" s="20">
        <v>2004</v>
      </c>
      <c r="P12" s="20">
        <v>2003</v>
      </c>
      <c r="Q12" s="20">
        <v>2002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30" x14ac:dyDescent="0.25">
      <c r="A13" s="33" t="s">
        <v>36</v>
      </c>
      <c r="B13" s="279" t="s">
        <v>31</v>
      </c>
      <c r="C13" s="333">
        <v>3.1232869999999999</v>
      </c>
      <c r="D13" s="284">
        <v>3.1041089999999998</v>
      </c>
      <c r="E13" s="64">
        <v>3.0790000000000002</v>
      </c>
      <c r="F13" s="64">
        <v>3.0630130000000002</v>
      </c>
      <c r="G13" s="64">
        <v>3.0410949999999999</v>
      </c>
      <c r="H13" s="64">
        <v>3.016438</v>
      </c>
      <c r="I13" s="64">
        <v>3</v>
      </c>
      <c r="J13" s="64">
        <v>3.0379999999999998</v>
      </c>
      <c r="K13" s="64">
        <v>3.0579999999999998</v>
      </c>
      <c r="L13" s="64">
        <v>3.0110000000000001</v>
      </c>
      <c r="M13" s="64">
        <v>3.0270000000000001</v>
      </c>
      <c r="N13" s="64">
        <v>3.0489999999999999</v>
      </c>
      <c r="O13" s="64">
        <v>3.044</v>
      </c>
      <c r="P13" s="64">
        <v>3.0960000000000001</v>
      </c>
      <c r="Q13" s="65">
        <v>3.1320000000000001</v>
      </c>
    </row>
    <row r="14" spans="1:30" ht="30" x14ac:dyDescent="0.25">
      <c r="A14" s="35" t="s">
        <v>37</v>
      </c>
      <c r="B14" s="277" t="s">
        <v>32</v>
      </c>
      <c r="C14" s="334">
        <v>5.5397259999999999</v>
      </c>
      <c r="D14" s="285">
        <v>5.5178079999999996</v>
      </c>
      <c r="E14" s="57">
        <v>5.5643830000000003</v>
      </c>
      <c r="F14" s="57">
        <v>5.5726019999999998</v>
      </c>
      <c r="G14" s="57">
        <v>5.6054789999999999</v>
      </c>
      <c r="H14" s="57">
        <v>5.5287670000000002</v>
      </c>
      <c r="I14" s="57">
        <v>5.4739719999999998</v>
      </c>
      <c r="J14" s="57">
        <v>5.4246569999999998</v>
      </c>
      <c r="K14" s="57">
        <v>5.3369859999999996</v>
      </c>
      <c r="L14" s="57">
        <v>5.2904099999999996</v>
      </c>
      <c r="M14" s="57">
        <v>5.2136979999999999</v>
      </c>
      <c r="N14" s="57">
        <v>5.2356160000000003</v>
      </c>
      <c r="O14" s="57">
        <v>5.1945199999999998</v>
      </c>
      <c r="P14" s="57">
        <v>5.1397259999999996</v>
      </c>
      <c r="Q14" s="58">
        <v>5.0630129999999998</v>
      </c>
    </row>
    <row r="15" spans="1:30" ht="30" x14ac:dyDescent="0.25">
      <c r="A15" s="35" t="s">
        <v>38</v>
      </c>
      <c r="B15" s="277" t="s">
        <v>33</v>
      </c>
      <c r="C15" s="334">
        <v>2.1589040000000002</v>
      </c>
      <c r="D15" s="285">
        <v>2.1369859999999998</v>
      </c>
      <c r="E15" s="57">
        <v>2.1287669999999999</v>
      </c>
      <c r="F15" s="57">
        <v>2.1095890000000002</v>
      </c>
      <c r="G15" s="57">
        <v>2.0876709999999998</v>
      </c>
      <c r="H15" s="57">
        <v>2.049315</v>
      </c>
      <c r="I15" s="57">
        <v>2.016438</v>
      </c>
      <c r="J15" s="57">
        <v>2.0054789999999998</v>
      </c>
      <c r="K15" s="57">
        <v>2.0246569999999999</v>
      </c>
      <c r="L15" s="57">
        <v>2.0136980000000002</v>
      </c>
      <c r="M15" s="57">
        <v>2.1205470000000002</v>
      </c>
      <c r="N15" s="57">
        <v>2.287671</v>
      </c>
      <c r="O15" s="57">
        <v>2.3972600000000002</v>
      </c>
      <c r="P15" s="57">
        <v>2.3917799999999998</v>
      </c>
      <c r="Q15" s="58">
        <v>2.3506840000000002</v>
      </c>
    </row>
    <row r="16" spans="1:30" ht="30.75" thickBot="1" x14ac:dyDescent="0.3">
      <c r="A16" s="39" t="s">
        <v>104</v>
      </c>
      <c r="B16" s="278" t="s">
        <v>34</v>
      </c>
      <c r="C16" s="335">
        <v>5.4082189999999999</v>
      </c>
      <c r="D16" s="49">
        <v>5.4136980000000001</v>
      </c>
      <c r="E16" s="66">
        <v>5.3506840000000002</v>
      </c>
      <c r="F16" s="66">
        <v>5.2273969999999998</v>
      </c>
      <c r="G16" s="66">
        <v>5.2547940000000004</v>
      </c>
      <c r="H16" s="66">
        <v>5.2849310000000003</v>
      </c>
      <c r="I16" s="66">
        <v>5.2</v>
      </c>
      <c r="J16" s="66">
        <v>5.052054</v>
      </c>
      <c r="K16" s="66">
        <v>4.9589040000000004</v>
      </c>
      <c r="L16" s="66">
        <v>4.917808</v>
      </c>
      <c r="M16" s="66">
        <v>4.871232</v>
      </c>
      <c r="N16" s="66">
        <v>4.8164379999999998</v>
      </c>
      <c r="O16" s="66">
        <v>4.7917800000000002</v>
      </c>
      <c r="P16" s="66">
        <v>4.6821910000000004</v>
      </c>
      <c r="Q16" s="67">
        <v>4.6191779999999998</v>
      </c>
    </row>
    <row r="17" spans="1:30" x14ac:dyDescent="0.25">
      <c r="A17" s="93"/>
      <c r="B17" s="40"/>
      <c r="C17" s="277"/>
      <c r="E17" s="19"/>
      <c r="F17" s="19"/>
      <c r="G17" s="19"/>
      <c r="H17" s="16"/>
      <c r="I17" s="19"/>
      <c r="J17" s="19"/>
      <c r="K17" s="19"/>
      <c r="L17" s="19"/>
      <c r="M17" s="19"/>
      <c r="N17" s="19"/>
      <c r="O17" s="19"/>
      <c r="P17" s="19"/>
      <c r="Q17" s="19"/>
    </row>
    <row r="18" spans="1:30" ht="15.75" x14ac:dyDescent="0.25">
      <c r="A18" s="94" t="s">
        <v>39</v>
      </c>
      <c r="B18" s="37" t="s">
        <v>43</v>
      </c>
      <c r="C18" s="37"/>
      <c r="E18" s="19"/>
      <c r="F18" s="20"/>
      <c r="G18" s="20"/>
      <c r="H18" s="20"/>
      <c r="I18" s="19"/>
      <c r="J18" s="19"/>
      <c r="K18" s="19"/>
      <c r="L18" s="19"/>
      <c r="M18" s="19"/>
      <c r="N18" s="19"/>
      <c r="O18" s="19"/>
      <c r="P18" s="19"/>
      <c r="Q18" s="19"/>
    </row>
    <row r="19" spans="1:30" ht="15.75" thickBot="1" x14ac:dyDescent="0.3">
      <c r="A19" s="20"/>
      <c r="B19" s="38" t="s">
        <v>1</v>
      </c>
      <c r="C19" s="38">
        <v>2016</v>
      </c>
      <c r="D19" s="20">
        <v>2015</v>
      </c>
      <c r="E19" s="20">
        <v>2014</v>
      </c>
      <c r="F19" s="20">
        <v>2013</v>
      </c>
      <c r="G19" s="20">
        <v>2012</v>
      </c>
      <c r="H19" s="20">
        <v>2011</v>
      </c>
      <c r="I19" s="20">
        <v>2010</v>
      </c>
      <c r="J19" s="20">
        <v>2009</v>
      </c>
      <c r="K19" s="20">
        <v>2008</v>
      </c>
      <c r="L19" s="20">
        <v>2007</v>
      </c>
      <c r="M19" s="20">
        <v>2006</v>
      </c>
      <c r="N19" s="20">
        <v>2005</v>
      </c>
      <c r="O19" s="20">
        <v>2004</v>
      </c>
      <c r="P19" s="20">
        <v>2003</v>
      </c>
      <c r="Q19" s="20">
        <v>2002</v>
      </c>
      <c r="R19" s="6">
        <v>2001</v>
      </c>
      <c r="S19" s="6">
        <v>2000</v>
      </c>
      <c r="T19" s="6">
        <v>1999</v>
      </c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30" customHeight="1" x14ac:dyDescent="0.25">
      <c r="A20" s="320" t="s">
        <v>344</v>
      </c>
      <c r="B20" s="124" t="s">
        <v>392</v>
      </c>
      <c r="C20" s="297">
        <f>29639/443109</f>
        <v>6.6888733923255908E-2</v>
      </c>
      <c r="D20" s="46">
        <f>32859/525315</f>
        <v>6.2551040804088978E-2</v>
      </c>
      <c r="E20" s="46">
        <f>35764/608315</f>
        <v>5.8791908797251421E-2</v>
      </c>
      <c r="F20" s="46">
        <f>32404/587768</f>
        <v>5.5130595745260032E-2</v>
      </c>
      <c r="G20" s="46">
        <f>27789/525180</f>
        <v>5.2913286873072091E-2</v>
      </c>
      <c r="H20" s="46">
        <f>27029/547762</f>
        <v>4.9344423307933011E-2</v>
      </c>
      <c r="I20" s="46">
        <f>24842/572824</f>
        <v>4.3367596329762718E-2</v>
      </c>
      <c r="J20" s="46">
        <f>17989/448912</f>
        <v>4.0072441814876861E-2</v>
      </c>
      <c r="K20" s="46">
        <f>13277/336297</f>
        <v>3.9479983466994946E-2</v>
      </c>
      <c r="L20" s="46">
        <f>14333/430474</f>
        <v>3.3295855266520159E-2</v>
      </c>
      <c r="M20" s="46">
        <f>15953/514759</f>
        <v>3.0991201707983737E-2</v>
      </c>
      <c r="N20" s="46">
        <f>16519/540456</f>
        <v>3.0564930355107538E-2</v>
      </c>
      <c r="O20" s="46">
        <f>17023/559822</f>
        <v>3.040787964745937E-2</v>
      </c>
      <c r="P20" s="46">
        <f>15415/528195</f>
        <v>2.9184297465898013E-2</v>
      </c>
      <c r="Q20" s="46">
        <f>13839/471673</f>
        <v>2.9340242074488047E-2</v>
      </c>
      <c r="R20" s="51">
        <f>12348/451516</f>
        <v>2.7347868071120402E-2</v>
      </c>
      <c r="S20" s="188">
        <f>13479/493442</f>
        <v>2.7316280332845604E-2</v>
      </c>
      <c r="T20" s="189">
        <f>10714/433340</f>
        <v>2.4724235011769048E-2</v>
      </c>
    </row>
    <row r="21" spans="1:30" s="166" customFormat="1" ht="30" customHeight="1" x14ac:dyDescent="0.25">
      <c r="A21" s="321" t="s">
        <v>41</v>
      </c>
      <c r="B21" s="120" t="s">
        <v>395</v>
      </c>
      <c r="C21" s="326"/>
      <c r="D21" s="18">
        <f>32859/1587796</f>
        <v>2.0694724007366185E-2</v>
      </c>
      <c r="E21" s="18">
        <f>35764/1541270</f>
        <v>2.3204240658677586E-2</v>
      </c>
      <c r="F21" s="18">
        <f>32404/1495704.521655</f>
        <v>2.1664706852757863E-2</v>
      </c>
      <c r="G21" s="18">
        <f>27789/1411856.55363751</f>
        <v>1.9682594473499709E-2</v>
      </c>
      <c r="H21" s="18">
        <f>27029/1327226.65706275</f>
        <v>2.0365021947206182E-2</v>
      </c>
      <c r="I21" s="18">
        <f>24842/1236302.53771587</f>
        <v>2.0093787112899421E-2</v>
      </c>
      <c r="J21" s="18">
        <f>17989/1147224.38147322</f>
        <v>1.5680454748441836E-2</v>
      </c>
      <c r="K21" s="18">
        <f>13277/1049972.19678282</f>
        <v>1.2645096737496054E-2</v>
      </c>
      <c r="L21" s="18">
        <f>14333/974770.956870723</f>
        <v>1.4703967018070363E-2</v>
      </c>
      <c r="M21" s="18">
        <f>15953/954570.138241498</f>
        <v>1.6712234503153952E-2</v>
      </c>
      <c r="N21" s="18">
        <f>16519/907051.390715049</f>
        <v>1.8211757535565545E-2</v>
      </c>
      <c r="O21" s="18">
        <f>17023/862225.765512524</f>
        <v>1.9743088969141617E-2</v>
      </c>
      <c r="P21" s="18">
        <f>15415/831721.159802822</f>
        <v>1.8533855749990138E-2</v>
      </c>
      <c r="Q21" s="18">
        <f>13839/813726.755272071</f>
        <v>1.7006937415217353E-2</v>
      </c>
      <c r="R21" s="21">
        <f>12348/790983.525575952</f>
        <v>1.5610944603440185E-2</v>
      </c>
      <c r="S21" s="17">
        <f>13479/780395.347647473</f>
        <v>1.7272014807152403E-2</v>
      </c>
      <c r="T21" s="265">
        <f>10714/755354.423825002</f>
        <v>1.4184069970419851E-2</v>
      </c>
    </row>
    <row r="22" spans="1:30" ht="45" x14ac:dyDescent="0.25">
      <c r="A22" s="321" t="s">
        <v>42</v>
      </c>
      <c r="B22" s="120" t="s">
        <v>223</v>
      </c>
      <c r="C22" s="121">
        <v>5.1999999999999998E-2</v>
      </c>
      <c r="D22" s="121">
        <v>5.7000000000000002E-2</v>
      </c>
      <c r="E22" s="121">
        <v>7.0000000000000007E-2</v>
      </c>
      <c r="F22" s="121">
        <v>7.0000000000000007E-2</v>
      </c>
      <c r="G22" s="176">
        <v>8.1000000000000003E-2</v>
      </c>
      <c r="H22" s="176">
        <v>5.1999999999999998E-2</v>
      </c>
      <c r="I22" s="176">
        <v>5.1999999999999998E-2</v>
      </c>
      <c r="J22" s="176">
        <v>5.6000000000000001E-2</v>
      </c>
      <c r="K22" s="176">
        <v>3.7999999999999999E-2</v>
      </c>
      <c r="L22" s="176">
        <v>3.2000000000000001E-2</v>
      </c>
      <c r="M22" s="176">
        <v>4.2000000000000003E-2</v>
      </c>
      <c r="N22" s="176">
        <v>4.9000000000000002E-2</v>
      </c>
      <c r="O22" s="176">
        <v>5.5E-2</v>
      </c>
      <c r="P22" s="176">
        <v>8.5000000000000006E-2</v>
      </c>
      <c r="Q22" s="176">
        <v>9.8000000000000004E-2</v>
      </c>
      <c r="R22" s="25" t="s">
        <v>142</v>
      </c>
      <c r="S22" s="25" t="s">
        <v>142</v>
      </c>
      <c r="T22" s="31" t="s">
        <v>142</v>
      </c>
    </row>
    <row r="23" spans="1:30" ht="30" x14ac:dyDescent="0.25">
      <c r="A23" s="321" t="s">
        <v>131</v>
      </c>
      <c r="B23" s="120" t="s">
        <v>221</v>
      </c>
      <c r="C23" s="121">
        <v>3.3000000000000002E-2</v>
      </c>
      <c r="D23" s="121">
        <v>3.9E-2</v>
      </c>
      <c r="E23" s="121">
        <v>4.2000000000000003E-2</v>
      </c>
      <c r="F23" s="121">
        <v>4.2000000000000003E-2</v>
      </c>
      <c r="G23" s="176">
        <v>4.8000000000000001E-2</v>
      </c>
      <c r="H23" s="176">
        <v>3.6999999999999998E-2</v>
      </c>
      <c r="I23" s="176">
        <v>4.3999999999999997E-2</v>
      </c>
      <c r="J23" s="176">
        <v>4.1000000000000002E-2</v>
      </c>
      <c r="K23" s="176">
        <v>2.5999999999999999E-2</v>
      </c>
      <c r="L23" s="176">
        <v>2.1000000000000001E-2</v>
      </c>
      <c r="M23" s="176">
        <v>2.5000000000000001E-2</v>
      </c>
      <c r="N23" s="176">
        <v>3.4000000000000002E-2</v>
      </c>
      <c r="O23" s="176">
        <v>4.1000000000000002E-2</v>
      </c>
      <c r="P23" s="176">
        <v>6.5000000000000002E-2</v>
      </c>
      <c r="Q23" s="176">
        <v>0.09</v>
      </c>
      <c r="R23" s="25" t="s">
        <v>142</v>
      </c>
      <c r="S23" s="25" t="s">
        <v>142</v>
      </c>
      <c r="T23" s="31" t="s">
        <v>142</v>
      </c>
    </row>
    <row r="24" spans="1:30" ht="30" x14ac:dyDescent="0.25">
      <c r="A24" s="321" t="s">
        <v>212</v>
      </c>
      <c r="B24" s="120" t="s">
        <v>222</v>
      </c>
      <c r="C24" s="176">
        <v>8.9999999999999993E-3</v>
      </c>
      <c r="D24" s="121">
        <v>0.02</v>
      </c>
      <c r="E24" s="121">
        <v>3.5000000000000003E-2</v>
      </c>
      <c r="F24" s="121">
        <v>3.5000000000000003E-2</v>
      </c>
      <c r="G24" s="176">
        <v>0.05</v>
      </c>
      <c r="H24" s="176">
        <v>2.1000000000000001E-2</v>
      </c>
      <c r="I24" s="176">
        <v>2.1999999999999999E-2</v>
      </c>
      <c r="J24" s="176">
        <v>1.7999999999999999E-2</v>
      </c>
      <c r="K24" s="176">
        <v>1.2999999999999999E-2</v>
      </c>
      <c r="L24" s="176">
        <v>1.0999999999999999E-2</v>
      </c>
      <c r="M24" s="176">
        <v>8.0000000000000002E-3</v>
      </c>
      <c r="N24" s="176">
        <v>7.0000000000000001E-3</v>
      </c>
      <c r="O24" s="176">
        <v>0.01</v>
      </c>
      <c r="P24" s="176">
        <v>2.1000000000000001E-2</v>
      </c>
      <c r="Q24" s="176">
        <v>8.0000000000000002E-3</v>
      </c>
      <c r="R24" s="25" t="s">
        <v>142</v>
      </c>
      <c r="S24" s="25" t="s">
        <v>142</v>
      </c>
      <c r="T24" s="31" t="s">
        <v>142</v>
      </c>
    </row>
    <row r="25" spans="1:30" x14ac:dyDescent="0.25">
      <c r="A25" s="321" t="s">
        <v>393</v>
      </c>
      <c r="B25" s="120" t="s">
        <v>249</v>
      </c>
      <c r="C25" s="326"/>
      <c r="D25" s="82"/>
      <c r="E25" s="122"/>
      <c r="F25" s="122"/>
      <c r="G25" s="122"/>
      <c r="H25" s="122"/>
      <c r="I25" s="82"/>
      <c r="J25" s="82"/>
      <c r="K25" s="82"/>
      <c r="L25" s="82"/>
      <c r="M25" s="82"/>
      <c r="N25" s="82"/>
      <c r="O25" s="82"/>
      <c r="P25" s="82"/>
      <c r="Q25" s="82"/>
      <c r="R25" s="25" t="s">
        <v>142</v>
      </c>
      <c r="S25" s="25" t="s">
        <v>142</v>
      </c>
      <c r="T25" s="31" t="s">
        <v>142</v>
      </c>
    </row>
    <row r="26" spans="1:30" x14ac:dyDescent="0.25">
      <c r="A26" s="322"/>
      <c r="B26" s="177" t="s">
        <v>250</v>
      </c>
      <c r="C26" s="176">
        <v>0.06</v>
      </c>
      <c r="D26" s="176">
        <v>6.5000000000000002E-2</v>
      </c>
      <c r="E26" s="176">
        <v>8.7999999999999995E-2</v>
      </c>
      <c r="F26" s="244" t="s">
        <v>318</v>
      </c>
      <c r="G26" s="176">
        <v>5.8999999999999997E-2</v>
      </c>
      <c r="H26" s="176">
        <v>5.8999999999999997E-2</v>
      </c>
      <c r="I26" s="176">
        <v>0.08</v>
      </c>
      <c r="J26" s="176">
        <v>6.2E-2</v>
      </c>
      <c r="K26" s="176">
        <v>4.3999999999999997E-2</v>
      </c>
      <c r="L26" s="176">
        <v>3.2000000000000001E-2</v>
      </c>
      <c r="M26" s="176">
        <v>4.7E-2</v>
      </c>
      <c r="N26" s="176">
        <v>4.2000000000000003E-2</v>
      </c>
      <c r="O26" s="176">
        <v>6.2E-2</v>
      </c>
      <c r="P26" s="176">
        <v>7.4999999999999997E-2</v>
      </c>
      <c r="Q26" s="176">
        <v>9.7000000000000003E-2</v>
      </c>
      <c r="R26" s="25" t="s">
        <v>142</v>
      </c>
      <c r="S26" s="25" t="s">
        <v>142</v>
      </c>
      <c r="T26" s="31" t="s">
        <v>142</v>
      </c>
    </row>
    <row r="27" spans="1:30" x14ac:dyDescent="0.25">
      <c r="A27" s="323"/>
      <c r="B27" s="177" t="s">
        <v>251</v>
      </c>
      <c r="C27" s="176">
        <v>3.5000000000000003E-2</v>
      </c>
      <c r="D27" s="176">
        <v>0.05</v>
      </c>
      <c r="E27" s="176">
        <v>5.7000000000000002E-2</v>
      </c>
      <c r="F27" s="244" t="s">
        <v>318</v>
      </c>
      <c r="G27" s="176">
        <v>4.1000000000000002E-2</v>
      </c>
      <c r="H27" s="176">
        <v>4.1000000000000002E-2</v>
      </c>
      <c r="I27" s="176">
        <v>0.05</v>
      </c>
      <c r="J27" s="176">
        <v>0.06</v>
      </c>
      <c r="K27" s="176">
        <v>3.3000000000000002E-2</v>
      </c>
      <c r="L27" s="176">
        <v>2.1999999999999999E-2</v>
      </c>
      <c r="M27" s="176">
        <v>2.4E-2</v>
      </c>
      <c r="N27" s="176">
        <v>3.5999999999999997E-2</v>
      </c>
      <c r="O27" s="176">
        <v>4.5999999999999999E-2</v>
      </c>
      <c r="P27" s="176">
        <v>9.9000000000000005E-2</v>
      </c>
      <c r="Q27" s="176">
        <v>0.14799999999999999</v>
      </c>
      <c r="R27" s="25" t="s">
        <v>142</v>
      </c>
      <c r="S27" s="25" t="s">
        <v>142</v>
      </c>
      <c r="T27" s="31" t="s">
        <v>142</v>
      </c>
    </row>
    <row r="28" spans="1:30" x14ac:dyDescent="0.25">
      <c r="A28" s="322"/>
      <c r="B28" s="177" t="s">
        <v>252</v>
      </c>
      <c r="C28" s="176">
        <v>5.3999999999999999E-2</v>
      </c>
      <c r="D28" s="176">
        <v>7.2999999999999995E-2</v>
      </c>
      <c r="E28" s="176">
        <v>8.6999999999999994E-2</v>
      </c>
      <c r="F28" s="244" t="s">
        <v>318</v>
      </c>
      <c r="G28" s="176">
        <v>0.09</v>
      </c>
      <c r="H28" s="176">
        <v>0.09</v>
      </c>
      <c r="I28" s="176">
        <v>0.109</v>
      </c>
      <c r="J28" s="176">
        <v>0.106</v>
      </c>
      <c r="K28" s="176">
        <v>5.6000000000000001E-2</v>
      </c>
      <c r="L28" s="176">
        <v>4.8000000000000001E-2</v>
      </c>
      <c r="M28" s="176">
        <v>6.2E-2</v>
      </c>
      <c r="N28" s="176">
        <v>7.6999999999999999E-2</v>
      </c>
      <c r="O28" s="176">
        <v>8.5999999999999993E-2</v>
      </c>
      <c r="P28" s="176">
        <v>0.113</v>
      </c>
      <c r="Q28" s="176">
        <v>0.154</v>
      </c>
      <c r="R28" s="25" t="s">
        <v>142</v>
      </c>
      <c r="S28" s="25" t="s">
        <v>142</v>
      </c>
      <c r="T28" s="31" t="s">
        <v>142</v>
      </c>
    </row>
    <row r="29" spans="1:30" x14ac:dyDescent="0.25">
      <c r="A29" s="322"/>
      <c r="B29" s="177" t="s">
        <v>253</v>
      </c>
      <c r="C29" s="176">
        <v>0.01</v>
      </c>
      <c r="D29" s="176">
        <v>1.4E-2</v>
      </c>
      <c r="E29" s="176">
        <v>0.02</v>
      </c>
      <c r="F29" s="244" t="s">
        <v>318</v>
      </c>
      <c r="G29" s="176">
        <v>8.0000000000000002E-3</v>
      </c>
      <c r="H29" s="176">
        <v>8.0000000000000002E-3</v>
      </c>
      <c r="I29" s="176">
        <v>1.4999999999999999E-2</v>
      </c>
      <c r="J29" s="176">
        <v>0.01</v>
      </c>
      <c r="K29" s="176">
        <v>1.0999999999999999E-2</v>
      </c>
      <c r="L29" s="176">
        <v>1.2999999999999999E-2</v>
      </c>
      <c r="M29" s="176">
        <v>1.9E-2</v>
      </c>
      <c r="N29" s="176">
        <v>1.2E-2</v>
      </c>
      <c r="O29" s="176">
        <v>1.4E-2</v>
      </c>
      <c r="P29" s="176">
        <v>3.3000000000000002E-2</v>
      </c>
      <c r="Q29" s="176">
        <v>2.8000000000000001E-2</v>
      </c>
      <c r="R29" s="25" t="s">
        <v>142</v>
      </c>
      <c r="S29" s="25" t="s">
        <v>142</v>
      </c>
      <c r="T29" s="31" t="s">
        <v>142</v>
      </c>
    </row>
    <row r="30" spans="1:30" x14ac:dyDescent="0.25">
      <c r="A30" s="322"/>
      <c r="B30" s="177" t="s">
        <v>254</v>
      </c>
      <c r="C30" s="176">
        <v>5.1999999999999998E-2</v>
      </c>
      <c r="D30" s="176">
        <v>6.0999999999999999E-2</v>
      </c>
      <c r="E30" s="176">
        <v>6.6000000000000003E-2</v>
      </c>
      <c r="F30" s="244" t="s">
        <v>318</v>
      </c>
      <c r="G30" s="176">
        <v>5.5E-2</v>
      </c>
      <c r="H30" s="176">
        <v>5.3999999999999999E-2</v>
      </c>
      <c r="I30" s="176">
        <v>6.0999999999999999E-2</v>
      </c>
      <c r="J30" s="176">
        <v>5.5E-2</v>
      </c>
      <c r="K30" s="176">
        <v>3.6999999999999998E-2</v>
      </c>
      <c r="L30" s="176">
        <v>3.2000000000000001E-2</v>
      </c>
      <c r="M30" s="176">
        <v>3.9E-2</v>
      </c>
      <c r="N30" s="176">
        <v>4.5999999999999999E-2</v>
      </c>
      <c r="O30" s="176">
        <v>5.0999999999999997E-2</v>
      </c>
      <c r="P30" s="176">
        <v>7.6999999999999999E-2</v>
      </c>
      <c r="Q30" s="176">
        <v>7.4999999999999997E-2</v>
      </c>
      <c r="R30" s="25" t="s">
        <v>142</v>
      </c>
      <c r="S30" s="25" t="s">
        <v>142</v>
      </c>
      <c r="T30" s="31" t="s">
        <v>142</v>
      </c>
    </row>
    <row r="31" spans="1:30" x14ac:dyDescent="0.25">
      <c r="A31" s="322"/>
      <c r="B31" s="177" t="s">
        <v>258</v>
      </c>
      <c r="C31" s="176">
        <v>6.9000000000000006E-2</v>
      </c>
      <c r="D31" s="176">
        <v>7.9000000000000001E-2</v>
      </c>
      <c r="E31" s="176">
        <v>9.4E-2</v>
      </c>
      <c r="F31" s="244" t="s">
        <v>318</v>
      </c>
      <c r="G31" s="176">
        <v>8.2000000000000003E-2</v>
      </c>
      <c r="H31" s="176">
        <v>7.9000000000000001E-2</v>
      </c>
      <c r="I31" s="176">
        <v>7.3999999999999996E-2</v>
      </c>
      <c r="J31" s="176">
        <v>4.2000000000000003E-2</v>
      </c>
      <c r="K31" s="176">
        <v>2.5999999999999999E-2</v>
      </c>
      <c r="L31" s="176">
        <v>3.5999999999999997E-2</v>
      </c>
      <c r="M31" s="176">
        <v>4.9000000000000002E-2</v>
      </c>
      <c r="N31" s="176">
        <v>4.9000000000000002E-2</v>
      </c>
      <c r="O31" s="176">
        <v>7.3999999999999996E-2</v>
      </c>
      <c r="P31" s="176">
        <v>8.7999999999999995E-2</v>
      </c>
      <c r="Q31" s="176">
        <v>7.6999999999999999E-2</v>
      </c>
      <c r="R31" s="25" t="s">
        <v>142</v>
      </c>
      <c r="S31" s="25" t="s">
        <v>142</v>
      </c>
      <c r="T31" s="31" t="s">
        <v>142</v>
      </c>
    </row>
    <row r="32" spans="1:30" x14ac:dyDescent="0.25">
      <c r="A32" s="322"/>
      <c r="B32" s="177" t="s">
        <v>255</v>
      </c>
      <c r="C32" s="176">
        <v>3.4000000000000002E-2</v>
      </c>
      <c r="D32" s="176">
        <v>3.5000000000000003E-2</v>
      </c>
      <c r="E32" s="176">
        <v>3.9E-2</v>
      </c>
      <c r="F32" s="244" t="s">
        <v>318</v>
      </c>
      <c r="G32" s="176">
        <v>5.7000000000000002E-2</v>
      </c>
      <c r="H32" s="176">
        <v>5.7000000000000002E-2</v>
      </c>
      <c r="I32" s="176">
        <v>3.6999999999999998E-2</v>
      </c>
      <c r="J32" s="176">
        <v>3.5999999999999997E-2</v>
      </c>
      <c r="K32" s="176">
        <v>2.5000000000000001E-2</v>
      </c>
      <c r="L32" s="176">
        <v>2.4E-2</v>
      </c>
      <c r="M32" s="176">
        <v>2.9000000000000001E-2</v>
      </c>
      <c r="N32" s="176">
        <v>3.6999999999999998E-2</v>
      </c>
      <c r="O32" s="176">
        <v>3.5000000000000003E-2</v>
      </c>
      <c r="P32" s="176">
        <v>4.8000000000000001E-2</v>
      </c>
      <c r="Q32" s="176">
        <v>6.5000000000000002E-2</v>
      </c>
      <c r="R32" s="25" t="s">
        <v>142</v>
      </c>
      <c r="S32" s="25" t="s">
        <v>142</v>
      </c>
      <c r="T32" s="31" t="s">
        <v>142</v>
      </c>
    </row>
    <row r="33" spans="1:67" x14ac:dyDescent="0.25">
      <c r="A33" s="322"/>
      <c r="B33" s="177" t="s">
        <v>257</v>
      </c>
      <c r="C33" s="176">
        <v>4.2000000000000003E-2</v>
      </c>
      <c r="D33" s="176">
        <v>4.8000000000000001E-2</v>
      </c>
      <c r="E33" s="176">
        <v>6.3E-2</v>
      </c>
      <c r="F33" s="244" t="s">
        <v>318</v>
      </c>
      <c r="G33" s="176">
        <v>3.5999999999999997E-2</v>
      </c>
      <c r="H33" s="176">
        <v>3.5999999999999997E-2</v>
      </c>
      <c r="I33" s="176">
        <v>3.5999999999999997E-2</v>
      </c>
      <c r="J33" s="176">
        <v>3.2000000000000001E-2</v>
      </c>
      <c r="K33" s="176">
        <v>2.1000000000000001E-2</v>
      </c>
      <c r="L33" s="176">
        <v>2.1999999999999999E-2</v>
      </c>
      <c r="M33" s="176">
        <v>2.1999999999999999E-2</v>
      </c>
      <c r="N33" s="176">
        <v>3.2000000000000001E-2</v>
      </c>
      <c r="O33" s="176">
        <v>3.6999999999999998E-2</v>
      </c>
      <c r="P33" s="176">
        <v>4.9000000000000002E-2</v>
      </c>
      <c r="Q33" s="176">
        <v>4.9000000000000002E-2</v>
      </c>
      <c r="R33" s="25" t="s">
        <v>142</v>
      </c>
      <c r="S33" s="25" t="s">
        <v>142</v>
      </c>
      <c r="T33" s="31" t="s">
        <v>142</v>
      </c>
    </row>
    <row r="34" spans="1:67" ht="15.75" thickBot="1" x14ac:dyDescent="0.3">
      <c r="A34" s="324"/>
      <c r="B34" s="126" t="s">
        <v>256</v>
      </c>
      <c r="C34" s="75">
        <v>0.13300000000000001</v>
      </c>
      <c r="D34" s="75">
        <v>0.107</v>
      </c>
      <c r="E34" s="75">
        <v>0.108</v>
      </c>
      <c r="F34" s="245" t="s">
        <v>318</v>
      </c>
      <c r="G34" s="75">
        <v>5.3999999999999999E-2</v>
      </c>
      <c r="H34" s="75">
        <v>4.7E-2</v>
      </c>
      <c r="I34" s="75">
        <v>4.8000000000000001E-2</v>
      </c>
      <c r="J34" s="75">
        <v>8.6999999999999994E-2</v>
      </c>
      <c r="K34" s="75">
        <v>4.8000000000000001E-2</v>
      </c>
      <c r="L34" s="75">
        <v>6.9000000000000006E-2</v>
      </c>
      <c r="M34" s="75">
        <v>4.2000000000000003E-2</v>
      </c>
      <c r="N34" s="75">
        <v>6.0999999999999999E-2</v>
      </c>
      <c r="O34" s="75">
        <v>7.0000000000000007E-2</v>
      </c>
      <c r="P34" s="75">
        <v>0.104</v>
      </c>
      <c r="Q34" s="75">
        <v>0.15</v>
      </c>
      <c r="R34" s="102" t="s">
        <v>142</v>
      </c>
      <c r="S34" s="102" t="s">
        <v>142</v>
      </c>
      <c r="T34" s="63" t="s">
        <v>142</v>
      </c>
    </row>
    <row r="35" spans="1:67" x14ac:dyDescent="0.25">
      <c r="A35" s="19"/>
      <c r="B35" s="40"/>
      <c r="C35" s="277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67" ht="15.75" x14ac:dyDescent="0.25">
      <c r="A36" s="94" t="s">
        <v>405</v>
      </c>
      <c r="B36" s="37" t="s">
        <v>44</v>
      </c>
      <c r="C36" s="37"/>
      <c r="E36" s="19"/>
      <c r="F36" s="20"/>
      <c r="G36" s="20"/>
      <c r="H36" s="20"/>
      <c r="I36" s="19"/>
      <c r="J36" s="19"/>
      <c r="K36" s="19"/>
      <c r="L36" s="19"/>
      <c r="M36" s="19"/>
      <c r="N36" s="19"/>
      <c r="O36" s="19"/>
      <c r="P36" s="19"/>
      <c r="Q36" s="19"/>
    </row>
    <row r="37" spans="1:67" ht="15.75" thickBot="1" x14ac:dyDescent="0.3">
      <c r="A37" s="20"/>
      <c r="B37" s="38" t="s">
        <v>1</v>
      </c>
      <c r="C37" s="38">
        <v>2016</v>
      </c>
      <c r="D37" s="20">
        <v>2015</v>
      </c>
      <c r="E37" s="20">
        <v>2014</v>
      </c>
      <c r="F37" s="20">
        <v>2013</v>
      </c>
      <c r="G37" s="20">
        <v>2012</v>
      </c>
      <c r="H37" s="20">
        <v>2011</v>
      </c>
      <c r="I37" s="20">
        <v>2010</v>
      </c>
      <c r="J37" s="20">
        <v>2009</v>
      </c>
      <c r="K37" s="20">
        <v>2008</v>
      </c>
      <c r="L37" s="20">
        <v>2007</v>
      </c>
      <c r="M37" s="20">
        <v>2006</v>
      </c>
      <c r="N37" s="20">
        <v>2005</v>
      </c>
      <c r="O37" s="20">
        <v>2004</v>
      </c>
      <c r="P37" s="20">
        <v>2003</v>
      </c>
      <c r="Q37" s="20">
        <v>2002</v>
      </c>
      <c r="R37" s="6">
        <v>2001</v>
      </c>
      <c r="S37" s="6">
        <v>2000</v>
      </c>
      <c r="T37" s="6">
        <v>1999</v>
      </c>
      <c r="U37" s="6">
        <v>1998</v>
      </c>
      <c r="V37" s="6">
        <v>1997</v>
      </c>
      <c r="W37" s="6">
        <v>1996</v>
      </c>
      <c r="X37" s="6">
        <v>1995</v>
      </c>
      <c r="Y37" s="6">
        <v>1994</v>
      </c>
      <c r="Z37" s="6">
        <v>1993</v>
      </c>
      <c r="AA37" s="6">
        <v>1992</v>
      </c>
      <c r="AB37" s="6">
        <v>1991</v>
      </c>
      <c r="AC37" s="6">
        <v>1990</v>
      </c>
      <c r="AD37" s="6">
        <v>1989</v>
      </c>
      <c r="AE37" s="6">
        <v>1988</v>
      </c>
      <c r="AF37" s="6">
        <v>1987</v>
      </c>
      <c r="AG37" s="6">
        <v>1986</v>
      </c>
      <c r="AH37" s="6">
        <v>1985</v>
      </c>
      <c r="AI37" s="6">
        <v>1984</v>
      </c>
      <c r="AJ37" s="6">
        <v>1983</v>
      </c>
      <c r="AK37" s="6">
        <v>1982</v>
      </c>
      <c r="AL37" s="6">
        <v>1981</v>
      </c>
      <c r="AM37" s="6">
        <v>1980</v>
      </c>
      <c r="AN37" s="6">
        <v>1979</v>
      </c>
      <c r="AO37" s="6">
        <v>1978</v>
      </c>
      <c r="AP37" s="6">
        <v>1977</v>
      </c>
      <c r="AQ37" s="6">
        <v>1976</v>
      </c>
      <c r="AR37" s="6">
        <v>1975</v>
      </c>
      <c r="AS37" s="6">
        <v>1974</v>
      </c>
      <c r="AT37" s="6">
        <v>1973</v>
      </c>
      <c r="AU37" s="6">
        <v>1972</v>
      </c>
      <c r="AV37" s="6">
        <v>1971</v>
      </c>
      <c r="AW37" s="6">
        <v>1970</v>
      </c>
      <c r="AX37" s="6">
        <v>1969</v>
      </c>
      <c r="AY37" s="6">
        <v>1968</v>
      </c>
      <c r="AZ37" s="6">
        <v>1967</v>
      </c>
      <c r="BA37" s="6">
        <v>1966</v>
      </c>
      <c r="BB37" s="6">
        <v>1965</v>
      </c>
      <c r="BC37" s="6">
        <v>1964</v>
      </c>
      <c r="BD37" s="6">
        <v>1963</v>
      </c>
      <c r="BE37" s="6">
        <v>1962</v>
      </c>
      <c r="BF37" s="6">
        <v>1961</v>
      </c>
      <c r="BG37" s="6">
        <v>1960</v>
      </c>
      <c r="BH37" s="6">
        <v>1959</v>
      </c>
      <c r="BI37" s="6">
        <v>1958</v>
      </c>
      <c r="BJ37" s="6">
        <v>1957</v>
      </c>
      <c r="BK37" s="6">
        <v>1956</v>
      </c>
      <c r="BL37" s="6">
        <v>1955</v>
      </c>
      <c r="BM37" s="6">
        <v>1954</v>
      </c>
      <c r="BN37" s="6">
        <v>1953</v>
      </c>
    </row>
    <row r="38" spans="1:67" ht="30" x14ac:dyDescent="0.25">
      <c r="A38" s="314" t="s">
        <v>345</v>
      </c>
      <c r="B38" s="279" t="s">
        <v>188</v>
      </c>
      <c r="C38" s="384"/>
      <c r="D38" s="68">
        <v>18.600000000000001</v>
      </c>
      <c r="E38" s="69">
        <f>347096/17848</f>
        <v>19.447333034513672</v>
      </c>
      <c r="F38" s="69">
        <f>368304/17510</f>
        <v>21.033923472301542</v>
      </c>
      <c r="G38" s="69">
        <f>381047/17236</f>
        <v>22.10762357855651</v>
      </c>
      <c r="H38" s="69">
        <f>392099/17045</f>
        <v>23.003754766793779</v>
      </c>
      <c r="I38" s="69">
        <f>395990/19289</f>
        <v>20.529317227435325</v>
      </c>
      <c r="J38" s="69">
        <f>389000/19363</f>
        <v>20.089862108144398</v>
      </c>
      <c r="K38" s="69">
        <f>368051/18200</f>
        <v>20.222582417582416</v>
      </c>
      <c r="L38" s="69">
        <f>343940/16526</f>
        <v>20.812053733510833</v>
      </c>
      <c r="M38" s="69">
        <f>316176/15525</f>
        <v>20.3656038647343</v>
      </c>
      <c r="N38" s="69">
        <f>289465/15016</f>
        <v>19.277104421949922</v>
      </c>
      <c r="O38" s="69">
        <f>264776/14623</f>
        <v>18.106818026396773</v>
      </c>
      <c r="P38" s="69">
        <f>243718/14220</f>
        <v>17.139099859353024</v>
      </c>
      <c r="Q38" s="69">
        <f>220176/13846</f>
        <v>15.901776686407628</v>
      </c>
      <c r="R38" s="69">
        <f>203453/13641.1</f>
        <v>14.914706292014573</v>
      </c>
      <c r="S38" s="69">
        <f>190207/12791.1</f>
        <v>14.870261353597423</v>
      </c>
      <c r="T38" s="69">
        <f>193493/13578.8</f>
        <v>14.249639143370549</v>
      </c>
      <c r="U38" s="69">
        <f>182745/13292</f>
        <v>13.748495335540175</v>
      </c>
      <c r="V38" s="69">
        <f>173826/13216</f>
        <v>13.152693704600484</v>
      </c>
      <c r="W38" s="69">
        <v>12.52</v>
      </c>
      <c r="X38" s="69">
        <v>11.26</v>
      </c>
      <c r="Y38" s="69">
        <v>10.56</v>
      </c>
      <c r="Z38" s="69">
        <v>9.83</v>
      </c>
      <c r="AA38" s="69">
        <v>9.51</v>
      </c>
      <c r="AB38" s="69">
        <v>9.27</v>
      </c>
      <c r="AC38" s="69">
        <v>9.7200000000000006</v>
      </c>
      <c r="AD38" s="69">
        <v>9.4499999999999993</v>
      </c>
      <c r="AE38" s="210">
        <v>10.352770645241447</v>
      </c>
      <c r="AF38" s="210">
        <v>9.8033592140706709</v>
      </c>
      <c r="AG38" s="210">
        <v>10.320583031426406</v>
      </c>
      <c r="AH38" s="210">
        <v>10.472507552870091</v>
      </c>
      <c r="AI38" s="210">
        <v>10.542734307824592</v>
      </c>
      <c r="AJ38" s="210">
        <v>11.456377691882938</v>
      </c>
      <c r="AK38" s="210">
        <v>11.553032351085879</v>
      </c>
      <c r="AL38" s="210">
        <v>11.758790307888503</v>
      </c>
      <c r="AM38" s="210">
        <v>11.723279648609077</v>
      </c>
      <c r="AN38" s="210">
        <v>11.806208053691275</v>
      </c>
      <c r="AO38" s="210">
        <v>11.500419189566838</v>
      </c>
      <c r="AP38" s="210">
        <v>11.262023677395486</v>
      </c>
      <c r="AQ38" s="210">
        <v>10.84409567930415</v>
      </c>
      <c r="AR38" s="210">
        <v>10.027246653919693</v>
      </c>
      <c r="AS38" s="210">
        <v>9.4489265427938776</v>
      </c>
      <c r="AT38" s="210">
        <v>8.8547709923664115</v>
      </c>
      <c r="AU38" s="210">
        <v>8.215978845972236</v>
      </c>
      <c r="AV38" s="210">
        <v>8.3231784224313579</v>
      </c>
      <c r="AW38" s="210">
        <v>8.604893778452201</v>
      </c>
      <c r="AX38" s="210">
        <v>8.5468522561863178</v>
      </c>
      <c r="AY38" s="210">
        <v>9.0075292805354152</v>
      </c>
      <c r="AZ38" s="210">
        <v>8.9625698853406615</v>
      </c>
      <c r="BA38" s="210">
        <v>9.5293891663465224</v>
      </c>
      <c r="BB38" s="210">
        <v>9.8979905778290558</v>
      </c>
      <c r="BC38" s="210">
        <v>10.062677226948274</v>
      </c>
      <c r="BD38" s="210">
        <v>10.753635585970915</v>
      </c>
      <c r="BE38" s="210">
        <v>10.474861597559597</v>
      </c>
      <c r="BF38" s="210">
        <v>10.136079440970946</v>
      </c>
      <c r="BG38" s="210">
        <v>9.1348373557187834</v>
      </c>
      <c r="BH38" s="210">
        <v>8.4708833814809186</v>
      </c>
      <c r="BI38" s="210">
        <v>8.1577460367289287</v>
      </c>
      <c r="BJ38" s="210">
        <v>8.8850016196954975</v>
      </c>
      <c r="BK38" s="210">
        <v>9.5087204282507347</v>
      </c>
      <c r="BL38" s="210">
        <v>9.762437331276514</v>
      </c>
      <c r="BM38" s="210">
        <v>11.839611740235728</v>
      </c>
      <c r="BN38" s="211">
        <v>10.395889003083248</v>
      </c>
      <c r="BO38" s="152"/>
    </row>
    <row r="39" spans="1:67" ht="45" x14ac:dyDescent="0.25">
      <c r="A39" s="316" t="s">
        <v>346</v>
      </c>
      <c r="B39" s="277" t="s">
        <v>190</v>
      </c>
      <c r="C39" s="207"/>
      <c r="D39" s="18">
        <f>2049/17588</f>
        <v>0.11649988628610417</v>
      </c>
      <c r="E39" s="55">
        <f>2061/17848</f>
        <v>0.11547512326311071</v>
      </c>
      <c r="F39" s="55">
        <f>2042/17510</f>
        <v>0.11661907481439178</v>
      </c>
      <c r="G39" s="21">
        <f>2034/17236</f>
        <v>0.11800881875145046</v>
      </c>
      <c r="H39" s="17">
        <f>2044/17045</f>
        <v>0.11991786447638604</v>
      </c>
      <c r="I39" s="18">
        <f>2057/19283</f>
        <v>0.10667427267541357</v>
      </c>
      <c r="J39" s="18">
        <f>2048/19363</f>
        <v>0.10576873418375252</v>
      </c>
      <c r="K39" s="18">
        <f>1971/18200</f>
        <v>0.10829670329670329</v>
      </c>
      <c r="L39" s="18">
        <f>1831/16526</f>
        <v>0.11079511073460002</v>
      </c>
      <c r="M39" s="18">
        <f>1780/15525</f>
        <v>0.11465378421900162</v>
      </c>
      <c r="N39" s="18">
        <f>1708/15016</f>
        <v>0.11374533830580714</v>
      </c>
      <c r="O39" s="18">
        <f>1640/14623</f>
        <v>0.11215208917458798</v>
      </c>
      <c r="P39" s="18">
        <f>1524/14220</f>
        <v>0.10717299578059072</v>
      </c>
      <c r="Q39" s="193">
        <f>1415.1/13846.1</f>
        <v>0.10220206411913824</v>
      </c>
      <c r="R39" s="286">
        <f>1336.3/13641.1</f>
        <v>9.7961308105651304E-2</v>
      </c>
      <c r="S39" s="286">
        <f>1168.9/12791.1</f>
        <v>9.1383852835174459E-2</v>
      </c>
      <c r="T39" s="286">
        <f>1250.7/13578.8</f>
        <v>9.2106813562317744E-2</v>
      </c>
      <c r="U39" s="287" t="s">
        <v>318</v>
      </c>
      <c r="V39" s="367">
        <f>4290/13216</f>
        <v>0.32460653753026636</v>
      </c>
      <c r="W39" s="367">
        <f>4220/12969</f>
        <v>0.32539131775772995</v>
      </c>
      <c r="X39" s="367">
        <f>4177/12890</f>
        <v>0.32404965089216448</v>
      </c>
      <c r="Y39" s="367">
        <f>4169/12625</f>
        <v>0.33021782178217823</v>
      </c>
      <c r="Z39" s="367">
        <f>4437/12561</f>
        <v>0.35323620730833533</v>
      </c>
      <c r="AA39" s="367">
        <f>4307/12105</f>
        <v>0.35580338703015285</v>
      </c>
      <c r="AB39" s="367">
        <f>4219/11958</f>
        <v>0.3528181970229135</v>
      </c>
      <c r="AC39" s="367">
        <f>4026/11839</f>
        <v>0.3400625052791621</v>
      </c>
      <c r="AD39" s="367">
        <f>4020/11644</f>
        <v>0.34524218481621438</v>
      </c>
      <c r="AE39" s="368">
        <v>0.31839642176758054</v>
      </c>
      <c r="AF39" s="368">
        <v>0.30399302804626843</v>
      </c>
      <c r="AG39" s="368">
        <v>0.29935125115848005</v>
      </c>
      <c r="AH39" s="368">
        <v>0.29520932239965475</v>
      </c>
      <c r="AI39" s="368">
        <v>0.29234737747205503</v>
      </c>
      <c r="AJ39" s="368">
        <v>0.28925087428676605</v>
      </c>
      <c r="AK39" s="368">
        <v>0.27647111832026672</v>
      </c>
      <c r="AL39" s="368">
        <v>0.27008562579704865</v>
      </c>
      <c r="AM39" s="368">
        <v>0.26271961932650073</v>
      </c>
      <c r="AN39" s="368">
        <v>0.24487322893363161</v>
      </c>
      <c r="AO39" s="368">
        <v>0.23353516534699581</v>
      </c>
      <c r="AP39" s="368">
        <v>0.22271550129485757</v>
      </c>
      <c r="AQ39" s="368">
        <v>0.22454382149948002</v>
      </c>
      <c r="AR39" s="368">
        <v>0.2251434034416826</v>
      </c>
      <c r="AS39" s="368">
        <v>0.21757966689130645</v>
      </c>
      <c r="AT39" s="368">
        <v>0.21593511450381681</v>
      </c>
      <c r="AU39" s="368">
        <v>0.21994522617810935</v>
      </c>
      <c r="AV39" s="368">
        <v>0.23042592412923257</v>
      </c>
      <c r="AW39" s="368">
        <v>0.22031487101669195</v>
      </c>
      <c r="AX39" s="368">
        <v>0.24754366812227074</v>
      </c>
      <c r="AY39" s="368">
        <v>0.23656813534114149</v>
      </c>
      <c r="AZ39" s="368">
        <v>0.22723396190656686</v>
      </c>
      <c r="BA39" s="368">
        <v>0.21388782174414137</v>
      </c>
      <c r="BB39" s="368">
        <v>0.19555811941159504</v>
      </c>
      <c r="BC39" s="368">
        <v>0.18138261464750172</v>
      </c>
      <c r="BD39" s="368">
        <v>0.16926860564585117</v>
      </c>
      <c r="BE39" s="368">
        <v>0.15840018077053442</v>
      </c>
      <c r="BF39" s="368">
        <v>0.15618487188917493</v>
      </c>
      <c r="BG39" s="368">
        <v>0.16671038824763904</v>
      </c>
      <c r="BH39" s="368">
        <v>0.18625513151892961</v>
      </c>
      <c r="BI39" s="368">
        <v>0.19337623606969079</v>
      </c>
      <c r="BJ39" s="368">
        <v>0.19825072886297376</v>
      </c>
      <c r="BK39" s="368">
        <v>0.2063546883094457</v>
      </c>
      <c r="BL39" s="368">
        <v>0.21037408407250288</v>
      </c>
      <c r="BM39" s="368">
        <v>0.22879593251675526</v>
      </c>
      <c r="BN39" s="365">
        <v>0.18622816032887976</v>
      </c>
      <c r="BO39" s="152"/>
    </row>
    <row r="40" spans="1:67" ht="30" x14ac:dyDescent="0.25">
      <c r="A40" s="316" t="s">
        <v>347</v>
      </c>
      <c r="B40" s="277" t="s">
        <v>202</v>
      </c>
      <c r="C40" s="207"/>
      <c r="D40" s="18">
        <f>3769/17588</f>
        <v>0.21429383670684557</v>
      </c>
      <c r="E40" s="55">
        <f>3729/17848</f>
        <v>0.2089309726580009</v>
      </c>
      <c r="F40" s="55">
        <f>3623/17510</f>
        <v>0.20691033695031411</v>
      </c>
      <c r="G40" s="21">
        <f>3583/17236</f>
        <v>0.20787885820375956</v>
      </c>
      <c r="H40" s="193">
        <f>3611/17045</f>
        <v>0.21185098269287181</v>
      </c>
      <c r="I40" s="17">
        <f>3501/19283</f>
        <v>0.18155888606544623</v>
      </c>
      <c r="J40" s="18">
        <f>3537/19363</f>
        <v>0.18266797500387336</v>
      </c>
      <c r="K40" s="18">
        <f>3502/18200</f>
        <v>0.19241758241758242</v>
      </c>
      <c r="L40" s="18">
        <f>3358/16526</f>
        <v>0.20319496550889507</v>
      </c>
      <c r="M40" s="18">
        <f>3330/15525</f>
        <v>0.2144927536231884</v>
      </c>
      <c r="N40" s="18">
        <f>3272/15016</f>
        <v>0.21790090570058604</v>
      </c>
      <c r="O40" s="18">
        <f>3233/14623</f>
        <v>0.2210900635984408</v>
      </c>
      <c r="P40" s="18">
        <f>3233/14220</f>
        <v>0.22735583684950775</v>
      </c>
      <c r="Q40" s="193">
        <f>3219.7/13846.1</f>
        <v>0.2325347931908624</v>
      </c>
      <c r="R40" s="286">
        <f>3200.9/13641.1</f>
        <v>0.23465116449553189</v>
      </c>
      <c r="S40" s="286">
        <f>3044.2/12791.1</f>
        <v>0.23799360492842678</v>
      </c>
      <c r="T40" s="286">
        <f>3299.3/13578.8</f>
        <v>0.24297434235720392</v>
      </c>
      <c r="U40" s="287" t="s">
        <v>318</v>
      </c>
      <c r="V40" s="367"/>
      <c r="W40" s="367"/>
      <c r="X40" s="367"/>
      <c r="Y40" s="367"/>
      <c r="Z40" s="367"/>
      <c r="AA40" s="367"/>
      <c r="AB40" s="367"/>
      <c r="AC40" s="367"/>
      <c r="AD40" s="367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  <c r="BC40" s="368"/>
      <c r="BD40" s="368"/>
      <c r="BE40" s="368"/>
      <c r="BF40" s="368"/>
      <c r="BG40" s="368"/>
      <c r="BH40" s="368"/>
      <c r="BI40" s="368"/>
      <c r="BJ40" s="368"/>
      <c r="BK40" s="368"/>
      <c r="BL40" s="368"/>
      <c r="BM40" s="368"/>
      <c r="BN40" s="365"/>
      <c r="BO40" s="152"/>
    </row>
    <row r="41" spans="1:67" ht="30" customHeight="1" x14ac:dyDescent="0.25">
      <c r="A41" s="316" t="s">
        <v>348</v>
      </c>
      <c r="B41" s="281" t="s">
        <v>261</v>
      </c>
      <c r="C41" s="207"/>
      <c r="D41" s="53">
        <v>17588</v>
      </c>
      <c r="E41" s="23">
        <v>17848</v>
      </c>
      <c r="F41" s="23">
        <v>17510</v>
      </c>
      <c r="G41" s="23">
        <v>17236</v>
      </c>
      <c r="H41" s="23">
        <v>16971</v>
      </c>
      <c r="I41" s="23">
        <v>16991</v>
      </c>
      <c r="J41" s="23">
        <v>17272</v>
      </c>
      <c r="K41" s="23">
        <v>16976.599999999999</v>
      </c>
      <c r="L41" s="23">
        <v>16525.900000000001</v>
      </c>
      <c r="M41" s="23">
        <v>15524.2</v>
      </c>
      <c r="N41" s="23">
        <v>15015.9</v>
      </c>
      <c r="O41" s="23">
        <v>14622.8</v>
      </c>
      <c r="P41" s="23">
        <v>14220.4</v>
      </c>
      <c r="Q41" s="23">
        <v>13846.1</v>
      </c>
      <c r="R41" s="23">
        <v>13641.1</v>
      </c>
      <c r="S41" s="23">
        <v>12791.1</v>
      </c>
      <c r="T41" s="23">
        <v>13578.8</v>
      </c>
      <c r="U41" s="23">
        <v>13292</v>
      </c>
      <c r="V41" s="23">
        <v>13216</v>
      </c>
      <c r="W41" s="23">
        <v>12969</v>
      </c>
      <c r="X41" s="23">
        <v>12890</v>
      </c>
      <c r="Y41" s="23">
        <v>12625</v>
      </c>
      <c r="Z41" s="288">
        <v>12561</v>
      </c>
      <c r="AA41" s="288">
        <v>12105</v>
      </c>
      <c r="AB41" s="288">
        <v>11958</v>
      </c>
      <c r="AC41" s="288">
        <v>11839</v>
      </c>
      <c r="AD41" s="288">
        <v>11644</v>
      </c>
      <c r="AE41" s="16">
        <v>12073</v>
      </c>
      <c r="AF41" s="16">
        <v>12622</v>
      </c>
      <c r="AG41" s="16">
        <v>11869</v>
      </c>
      <c r="AH41" s="16">
        <v>11585</v>
      </c>
      <c r="AI41" s="16">
        <v>11630</v>
      </c>
      <c r="AJ41" s="16">
        <v>10866</v>
      </c>
      <c r="AK41" s="16">
        <v>11097</v>
      </c>
      <c r="AL41" s="16">
        <v>10978</v>
      </c>
      <c r="AM41" s="16">
        <v>10928</v>
      </c>
      <c r="AN41" s="16">
        <v>10728</v>
      </c>
      <c r="AO41" s="16">
        <v>10735</v>
      </c>
      <c r="AP41" s="16">
        <v>10812</v>
      </c>
      <c r="AQ41" s="16">
        <v>10577</v>
      </c>
      <c r="AR41" s="16">
        <v>10460</v>
      </c>
      <c r="AS41" s="16">
        <v>10387</v>
      </c>
      <c r="AT41" s="16">
        <v>10480</v>
      </c>
      <c r="AU41" s="16">
        <v>10589</v>
      </c>
      <c r="AV41" s="16">
        <v>10307</v>
      </c>
      <c r="AW41" s="16">
        <v>10544</v>
      </c>
      <c r="AX41" s="16">
        <v>10992</v>
      </c>
      <c r="AY41" s="16">
        <v>10758</v>
      </c>
      <c r="AZ41" s="16">
        <v>10553</v>
      </c>
      <c r="BA41" s="16">
        <v>10412</v>
      </c>
      <c r="BB41" s="16">
        <v>10401</v>
      </c>
      <c r="BC41" s="16">
        <v>10227</v>
      </c>
      <c r="BD41" s="16">
        <v>9352</v>
      </c>
      <c r="BE41" s="16">
        <v>8851</v>
      </c>
      <c r="BF41" s="16">
        <v>8157</v>
      </c>
      <c r="BG41" s="16">
        <v>7624</v>
      </c>
      <c r="BH41" s="16">
        <v>6577</v>
      </c>
      <c r="BI41" s="16">
        <v>6371</v>
      </c>
      <c r="BJ41" s="16">
        <v>6174</v>
      </c>
      <c r="BK41" s="16">
        <v>5791</v>
      </c>
      <c r="BL41" s="16">
        <v>5186</v>
      </c>
      <c r="BM41" s="16">
        <v>4327</v>
      </c>
      <c r="BN41" s="28">
        <v>4865</v>
      </c>
    </row>
    <row r="42" spans="1:67" ht="30" customHeight="1" thickBot="1" x14ac:dyDescent="0.3">
      <c r="A42" s="319" t="s">
        <v>264</v>
      </c>
      <c r="B42" s="278" t="s">
        <v>262</v>
      </c>
      <c r="C42" s="385"/>
      <c r="D42" s="78">
        <v>2936</v>
      </c>
      <c r="E42" s="101">
        <v>3073</v>
      </c>
      <c r="F42" s="101">
        <v>2819</v>
      </c>
      <c r="G42" s="101">
        <v>2248</v>
      </c>
      <c r="H42" s="101">
        <v>2390</v>
      </c>
      <c r="I42" s="101">
        <v>1720</v>
      </c>
      <c r="J42" s="101">
        <v>1807</v>
      </c>
      <c r="K42" s="101">
        <v>1755.6</v>
      </c>
      <c r="L42" s="101">
        <v>1758.9</v>
      </c>
      <c r="M42" s="101">
        <v>1935.6</v>
      </c>
      <c r="N42" s="101">
        <v>1704.8</v>
      </c>
      <c r="O42" s="101">
        <v>1422.4</v>
      </c>
      <c r="P42" s="101">
        <v>1478.3</v>
      </c>
      <c r="Q42" s="101">
        <v>1428.3</v>
      </c>
      <c r="R42" s="240">
        <v>1321.7</v>
      </c>
      <c r="S42" s="240">
        <v>2099.3000000000002</v>
      </c>
      <c r="T42" s="240">
        <v>856.1</v>
      </c>
      <c r="U42" s="201" t="s">
        <v>142</v>
      </c>
      <c r="V42" s="201" t="s">
        <v>142</v>
      </c>
      <c r="W42" s="201" t="s">
        <v>142</v>
      </c>
      <c r="X42" s="201" t="s">
        <v>142</v>
      </c>
      <c r="Y42" s="201" t="s">
        <v>142</v>
      </c>
      <c r="Z42" s="201" t="s">
        <v>142</v>
      </c>
      <c r="AA42" s="201" t="s">
        <v>142</v>
      </c>
      <c r="AB42" s="201" t="s">
        <v>142</v>
      </c>
      <c r="AC42" s="201" t="s">
        <v>142</v>
      </c>
      <c r="AD42" s="201" t="s">
        <v>142</v>
      </c>
      <c r="AE42" s="201" t="s">
        <v>142</v>
      </c>
      <c r="AF42" s="201" t="s">
        <v>142</v>
      </c>
      <c r="AG42" s="201" t="s">
        <v>142</v>
      </c>
      <c r="AH42" s="201" t="s">
        <v>142</v>
      </c>
      <c r="AI42" s="201" t="s">
        <v>142</v>
      </c>
      <c r="AJ42" s="201" t="s">
        <v>142</v>
      </c>
      <c r="AK42" s="201" t="s">
        <v>142</v>
      </c>
      <c r="AL42" s="201" t="s">
        <v>142</v>
      </c>
      <c r="AM42" s="201" t="s">
        <v>142</v>
      </c>
      <c r="AN42" s="201" t="s">
        <v>142</v>
      </c>
      <c r="AO42" s="201" t="s">
        <v>142</v>
      </c>
      <c r="AP42" s="201" t="s">
        <v>142</v>
      </c>
      <c r="AQ42" s="201" t="s">
        <v>142</v>
      </c>
      <c r="AR42" s="201" t="s">
        <v>142</v>
      </c>
      <c r="AS42" s="201" t="s">
        <v>142</v>
      </c>
      <c r="AT42" s="201" t="s">
        <v>142</v>
      </c>
      <c r="AU42" s="201" t="s">
        <v>142</v>
      </c>
      <c r="AV42" s="201" t="s">
        <v>142</v>
      </c>
      <c r="AW42" s="201" t="s">
        <v>142</v>
      </c>
      <c r="AX42" s="201" t="s">
        <v>142</v>
      </c>
      <c r="AY42" s="201" t="s">
        <v>142</v>
      </c>
      <c r="AZ42" s="201" t="s">
        <v>142</v>
      </c>
      <c r="BA42" s="201" t="s">
        <v>142</v>
      </c>
      <c r="BB42" s="201" t="s">
        <v>142</v>
      </c>
      <c r="BC42" s="201" t="s">
        <v>142</v>
      </c>
      <c r="BD42" s="201" t="s">
        <v>142</v>
      </c>
      <c r="BE42" s="201" t="s">
        <v>142</v>
      </c>
      <c r="BF42" s="201" t="s">
        <v>142</v>
      </c>
      <c r="BG42" s="201" t="s">
        <v>142</v>
      </c>
      <c r="BH42" s="201" t="s">
        <v>142</v>
      </c>
      <c r="BI42" s="201" t="s">
        <v>142</v>
      </c>
      <c r="BJ42" s="201" t="s">
        <v>142</v>
      </c>
      <c r="BK42" s="201" t="s">
        <v>142</v>
      </c>
      <c r="BL42" s="201" t="s">
        <v>142</v>
      </c>
      <c r="BM42" s="201" t="s">
        <v>142</v>
      </c>
      <c r="BN42" s="202" t="s">
        <v>142</v>
      </c>
    </row>
    <row r="43" spans="1:67" x14ac:dyDescent="0.25">
      <c r="B43" s="157"/>
      <c r="C43" s="157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Z43" s="152"/>
      <c r="AA43" s="152"/>
      <c r="AB43" s="152"/>
      <c r="AC43" s="152"/>
      <c r="AD43" s="152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68"/>
    </row>
    <row r="44" spans="1:67" x14ac:dyDescent="0.25">
      <c r="A44" s="146" t="s">
        <v>324</v>
      </c>
      <c r="C44" s="14"/>
      <c r="H44" s="3"/>
      <c r="O44" s="118"/>
      <c r="P44" s="118"/>
      <c r="Z44" s="166"/>
    </row>
    <row r="45" spans="1:67" ht="30" x14ac:dyDescent="0.25">
      <c r="A45" s="200" t="s">
        <v>28</v>
      </c>
      <c r="B45" s="5" t="s">
        <v>359</v>
      </c>
      <c r="C45" s="14"/>
      <c r="H45" s="3"/>
      <c r="P45" s="118"/>
    </row>
    <row r="46" spans="1:67" ht="30" x14ac:dyDescent="0.25">
      <c r="A46" s="216" t="s">
        <v>29</v>
      </c>
      <c r="B46" s="14" t="s">
        <v>360</v>
      </c>
      <c r="C46" s="14"/>
      <c r="P46" s="118"/>
    </row>
    <row r="47" spans="1:67" ht="30" x14ac:dyDescent="0.25">
      <c r="A47" s="200" t="s">
        <v>30</v>
      </c>
      <c r="B47" s="14" t="s">
        <v>361</v>
      </c>
      <c r="C47" s="14"/>
    </row>
    <row r="48" spans="1:67" ht="30" x14ac:dyDescent="0.25">
      <c r="A48" s="216" t="s">
        <v>40</v>
      </c>
      <c r="B48" s="5" t="s">
        <v>271</v>
      </c>
      <c r="C48" s="14"/>
    </row>
    <row r="49" spans="1:3" s="166" customFormat="1" ht="41.25" customHeight="1" x14ac:dyDescent="0.25">
      <c r="A49" s="216" t="s">
        <v>394</v>
      </c>
      <c r="B49" s="14" t="s">
        <v>319</v>
      </c>
      <c r="C49" s="14"/>
    </row>
    <row r="50" spans="1:3" s="166" customFormat="1" ht="15" customHeight="1" x14ac:dyDescent="0.25">
      <c r="A50" s="216" t="s">
        <v>105</v>
      </c>
      <c r="B50" s="14" t="s">
        <v>189</v>
      </c>
      <c r="C50" s="14"/>
    </row>
    <row r="51" spans="1:3" ht="30" x14ac:dyDescent="0.25">
      <c r="A51" s="216" t="s">
        <v>106</v>
      </c>
      <c r="B51" s="5" t="s">
        <v>363</v>
      </c>
      <c r="C51" s="14"/>
    </row>
    <row r="52" spans="1:3" ht="30" x14ac:dyDescent="0.25">
      <c r="A52" s="216"/>
      <c r="B52" s="5" t="s">
        <v>301</v>
      </c>
      <c r="C52" s="14"/>
    </row>
    <row r="53" spans="1:3" ht="30" x14ac:dyDescent="0.25">
      <c r="A53" s="216" t="s">
        <v>272</v>
      </c>
      <c r="B53" s="5" t="s">
        <v>302</v>
      </c>
      <c r="C53" s="14"/>
    </row>
    <row r="54" spans="1:3" x14ac:dyDescent="0.25">
      <c r="A54" s="216" t="s">
        <v>263</v>
      </c>
      <c r="B54" s="5" t="s">
        <v>303</v>
      </c>
      <c r="C54" s="14"/>
    </row>
  </sheetData>
  <mergeCells count="45">
    <mergeCell ref="BL39:BL40"/>
    <mergeCell ref="BM39:BM40"/>
    <mergeCell ref="BN39:BN40"/>
    <mergeCell ref="BF39:BF40"/>
    <mergeCell ref="BG39:BG40"/>
    <mergeCell ref="BH39:BH40"/>
    <mergeCell ref="BI39:BI40"/>
    <mergeCell ref="BJ39:BJ40"/>
    <mergeCell ref="BK39:BK40"/>
    <mergeCell ref="AP39:AP40"/>
    <mergeCell ref="AQ39:AQ40"/>
    <mergeCell ref="AR39:AR40"/>
    <mergeCell ref="BE39:BE40"/>
    <mergeCell ref="AT39:AT40"/>
    <mergeCell ref="AU39:AU40"/>
    <mergeCell ref="AV39:AV40"/>
    <mergeCell ref="AW39:AW40"/>
    <mergeCell ref="AX39:AX40"/>
    <mergeCell ref="AY39:AY40"/>
    <mergeCell ref="AZ39:AZ40"/>
    <mergeCell ref="BA39:BA40"/>
    <mergeCell ref="BB39:BB40"/>
    <mergeCell ref="BC39:BC40"/>
    <mergeCell ref="BD39:BD40"/>
    <mergeCell ref="V39:V40"/>
    <mergeCell ref="W39:W40"/>
    <mergeCell ref="X39:X40"/>
    <mergeCell ref="Y39:Y40"/>
    <mergeCell ref="AS39:AS40"/>
    <mergeCell ref="AE39:AE40"/>
    <mergeCell ref="AF39:AF40"/>
    <mergeCell ref="AG39:AG40"/>
    <mergeCell ref="AH39:AH40"/>
    <mergeCell ref="AI39:AI40"/>
    <mergeCell ref="AJ39:AJ40"/>
    <mergeCell ref="AK39:AK40"/>
    <mergeCell ref="AL39:AL40"/>
    <mergeCell ref="AM39:AM40"/>
    <mergeCell ref="AN39:AN40"/>
    <mergeCell ref="AO39:AO40"/>
    <mergeCell ref="Z39:Z40"/>
    <mergeCell ref="AA39:AA40"/>
    <mergeCell ref="AB39:AB40"/>
    <mergeCell ref="AC39:AC40"/>
    <mergeCell ref="AD39:AD40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BO36"/>
  <sheetViews>
    <sheetView workbookViewId="0">
      <selection activeCell="G8" sqref="G8"/>
    </sheetView>
  </sheetViews>
  <sheetFormatPr defaultRowHeight="15" x14ac:dyDescent="0.25"/>
  <cols>
    <col min="1" max="1" width="18.5703125" customWidth="1"/>
    <col min="2" max="2" width="28.7109375" style="5" customWidth="1"/>
    <col min="3" max="3" width="29.42578125" customWidth="1"/>
    <col min="4" max="4" width="9.140625" customWidth="1"/>
    <col min="5" max="5" width="9.140625" style="166" customWidth="1"/>
    <col min="6" max="6" width="10.140625" bestFit="1" customWidth="1"/>
    <col min="11" max="11" width="10.140625" bestFit="1" customWidth="1"/>
    <col min="18" max="18" width="10.140625" bestFit="1" customWidth="1"/>
    <col min="19" max="19" width="11.140625" bestFit="1" customWidth="1"/>
    <col min="21" max="21" width="10.140625" bestFit="1" customWidth="1"/>
  </cols>
  <sheetData>
    <row r="1" spans="1:31" ht="18.75" x14ac:dyDescent="0.3">
      <c r="A1" s="9">
        <v>5</v>
      </c>
      <c r="B1" s="9" t="s">
        <v>103</v>
      </c>
      <c r="D1" s="166"/>
      <c r="E1"/>
      <c r="F1" s="166"/>
    </row>
    <row r="2" spans="1:31" x14ac:dyDescent="0.25">
      <c r="D2" s="166"/>
      <c r="E2"/>
      <c r="F2" s="166"/>
    </row>
    <row r="3" spans="1:31" ht="31.5" x14ac:dyDescent="0.25">
      <c r="A3" s="10" t="s">
        <v>48</v>
      </c>
      <c r="B3" s="8" t="s">
        <v>45</v>
      </c>
      <c r="C3" s="6"/>
      <c r="D3" s="6"/>
      <c r="E3" s="6"/>
      <c r="F3" s="6"/>
      <c r="G3" s="6"/>
    </row>
    <row r="4" spans="1:31" ht="15.75" thickBot="1" x14ac:dyDescent="0.3">
      <c r="A4" s="6"/>
      <c r="B4" s="7" t="s">
        <v>1</v>
      </c>
      <c r="D4" s="6">
        <v>2016</v>
      </c>
      <c r="E4" s="6">
        <v>2015</v>
      </c>
      <c r="F4" s="6">
        <v>2014</v>
      </c>
      <c r="G4" s="6">
        <v>2013</v>
      </c>
      <c r="H4" s="6">
        <v>2012</v>
      </c>
      <c r="I4" s="6">
        <v>2011</v>
      </c>
      <c r="J4" s="6">
        <v>2010</v>
      </c>
      <c r="K4" s="6">
        <v>2009</v>
      </c>
      <c r="L4" s="6">
        <v>2008</v>
      </c>
      <c r="M4" s="6">
        <v>2007</v>
      </c>
      <c r="N4" s="6">
        <v>2006</v>
      </c>
      <c r="O4" s="6">
        <v>2005</v>
      </c>
      <c r="P4" s="6">
        <v>2004</v>
      </c>
      <c r="Q4" s="6">
        <v>2003</v>
      </c>
      <c r="R4" s="6">
        <v>2002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5" customHeight="1" x14ac:dyDescent="0.25">
      <c r="A5" s="123" t="s">
        <v>412</v>
      </c>
      <c r="B5" s="351" t="s">
        <v>62</v>
      </c>
      <c r="C5" s="351"/>
      <c r="D5" s="390"/>
      <c r="E5" s="80">
        <v>13645</v>
      </c>
      <c r="F5" s="80">
        <v>12590</v>
      </c>
      <c r="G5" s="80">
        <v>12769</v>
      </c>
      <c r="H5" s="80">
        <v>12791</v>
      </c>
      <c r="I5" s="80">
        <v>11867</v>
      </c>
      <c r="J5" s="80">
        <v>10959</v>
      </c>
      <c r="K5" s="80">
        <v>9293</v>
      </c>
      <c r="L5" s="80">
        <f>7553+56+127+168+52+180</f>
        <v>8136</v>
      </c>
      <c r="M5" s="80">
        <f>7462+10+7+2+137+3+136+88+344</f>
        <v>8189</v>
      </c>
      <c r="N5" s="80">
        <v>8525</v>
      </c>
      <c r="O5" s="81" t="s">
        <v>142</v>
      </c>
      <c r="P5" s="81" t="s">
        <v>142</v>
      </c>
      <c r="Q5" s="81" t="s">
        <v>142</v>
      </c>
      <c r="R5" s="198" t="s">
        <v>142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199"/>
    </row>
    <row r="6" spans="1:31" ht="30" customHeight="1" x14ac:dyDescent="0.25">
      <c r="A6" s="221" t="s">
        <v>413</v>
      </c>
      <c r="B6" s="347" t="s">
        <v>63</v>
      </c>
      <c r="C6" s="347"/>
      <c r="D6" s="391"/>
      <c r="E6" s="23">
        <v>14405</v>
      </c>
      <c r="F6" s="23">
        <v>12676</v>
      </c>
      <c r="G6" s="23">
        <v>10985</v>
      </c>
      <c r="H6" s="23">
        <v>10155</v>
      </c>
      <c r="I6" s="23">
        <v>8874</v>
      </c>
      <c r="J6" s="23">
        <v>7902</v>
      </c>
      <c r="K6" s="23">
        <v>6450</v>
      </c>
      <c r="L6" s="23">
        <f>5172+85+223+56+426</f>
        <v>5962</v>
      </c>
      <c r="M6" s="23">
        <f>4783+29+207+132+359</f>
        <v>5510</v>
      </c>
      <c r="N6" s="23">
        <v>5623</v>
      </c>
      <c r="O6" s="83" t="s">
        <v>142</v>
      </c>
      <c r="P6" s="83" t="s">
        <v>142</v>
      </c>
      <c r="Q6" s="83" t="s">
        <v>142</v>
      </c>
      <c r="R6" s="84" t="s">
        <v>142</v>
      </c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</row>
    <row r="7" spans="1:31" ht="45" customHeight="1" x14ac:dyDescent="0.25">
      <c r="A7" s="221" t="s">
        <v>414</v>
      </c>
      <c r="B7" s="347" t="s">
        <v>64</v>
      </c>
      <c r="C7" s="347"/>
      <c r="D7" s="325"/>
      <c r="E7" s="74">
        <f>3622/17588</f>
        <v>0.20593586536274733</v>
      </c>
      <c r="F7" s="176">
        <f>4951/20922</f>
        <v>0.23664085651467354</v>
      </c>
      <c r="G7" s="21">
        <f>3488/20329</f>
        <v>0.17157754931378819</v>
      </c>
      <c r="H7" s="55">
        <f>3601/19484</f>
        <v>0.18481831246150687</v>
      </c>
      <c r="I7" s="55">
        <v>0.159</v>
      </c>
      <c r="J7" s="83" t="s">
        <v>142</v>
      </c>
      <c r="K7" s="83" t="s">
        <v>142</v>
      </c>
      <c r="L7" s="83" t="s">
        <v>142</v>
      </c>
      <c r="M7" s="83" t="s">
        <v>142</v>
      </c>
      <c r="N7" s="83" t="s">
        <v>142</v>
      </c>
      <c r="O7" s="83" t="s">
        <v>142</v>
      </c>
      <c r="P7" s="83" t="s">
        <v>142</v>
      </c>
      <c r="Q7" s="83" t="s">
        <v>142</v>
      </c>
      <c r="R7" s="84" t="s">
        <v>142</v>
      </c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1:31" ht="45" customHeight="1" x14ac:dyDescent="0.25">
      <c r="A8" s="221" t="s">
        <v>415</v>
      </c>
      <c r="B8" s="347" t="s">
        <v>102</v>
      </c>
      <c r="C8" s="347"/>
      <c r="D8" s="325"/>
      <c r="E8" s="74">
        <f>2596/17588</f>
        <v>0.14760063679781668</v>
      </c>
      <c r="F8" s="176">
        <f>2433/20922</f>
        <v>0.11628907370232291</v>
      </c>
      <c r="G8" s="21">
        <f>1939/20329</f>
        <v>9.538098283240691E-2</v>
      </c>
      <c r="H8" s="55">
        <f>1790/19484</f>
        <v>9.187025251488401E-2</v>
      </c>
      <c r="I8" s="55">
        <v>0.1</v>
      </c>
      <c r="J8" s="83" t="s">
        <v>142</v>
      </c>
      <c r="K8" s="83" t="s">
        <v>142</v>
      </c>
      <c r="L8" s="83" t="s">
        <v>142</v>
      </c>
      <c r="M8" s="83" t="s">
        <v>142</v>
      </c>
      <c r="N8" s="83" t="s">
        <v>142</v>
      </c>
      <c r="O8" s="83" t="s">
        <v>142</v>
      </c>
      <c r="P8" s="83" t="s">
        <v>142</v>
      </c>
      <c r="Q8" s="83" t="s">
        <v>142</v>
      </c>
      <c r="R8" s="84" t="s">
        <v>142</v>
      </c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31" ht="45" customHeight="1" thickBot="1" x14ac:dyDescent="0.3">
      <c r="A9" s="308" t="s">
        <v>66</v>
      </c>
      <c r="B9" s="373" t="s">
        <v>65</v>
      </c>
      <c r="C9" s="373"/>
      <c r="D9" s="332">
        <f>5050/77834</f>
        <v>6.4881671249068532E-2</v>
      </c>
      <c r="E9" s="75">
        <v>6.0400000000000002E-2</v>
      </c>
      <c r="F9" s="75">
        <v>5.2858367549519468E-2</v>
      </c>
      <c r="G9" s="61">
        <v>4.6832822002753599E-2</v>
      </c>
      <c r="H9" s="87">
        <v>4.4596440331614556E-2</v>
      </c>
      <c r="I9" s="87">
        <v>3.9368815191227598E-2</v>
      </c>
      <c r="J9" s="60">
        <v>3.2696716775279251E-2</v>
      </c>
      <c r="K9" s="60">
        <v>2.9770305124336951E-2</v>
      </c>
      <c r="L9" s="60">
        <v>2.5703761095026437E-2</v>
      </c>
      <c r="M9" s="60">
        <v>1.7806701312483419E-2</v>
      </c>
      <c r="N9" s="60">
        <v>5.5686522005457279E-3</v>
      </c>
      <c r="O9" s="88" t="s">
        <v>142</v>
      </c>
      <c r="P9" s="88" t="s">
        <v>142</v>
      </c>
      <c r="Q9" s="88" t="s">
        <v>142</v>
      </c>
      <c r="R9" s="89" t="s">
        <v>142</v>
      </c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31" x14ac:dyDescent="0.25">
      <c r="A10" s="93"/>
      <c r="B10" s="113"/>
      <c r="C10" s="19"/>
      <c r="D10" s="53"/>
      <c r="E10" s="19"/>
      <c r="F10" s="19"/>
      <c r="G10" s="19"/>
      <c r="H10" s="19"/>
      <c r="I10" s="16"/>
      <c r="J10" s="19"/>
      <c r="K10" s="19"/>
      <c r="L10" s="19"/>
      <c r="M10" s="19"/>
      <c r="N10" s="19"/>
      <c r="O10" s="19"/>
      <c r="P10" s="19"/>
      <c r="Q10" s="19"/>
      <c r="R10" s="19"/>
    </row>
    <row r="11" spans="1:31" ht="31.5" x14ac:dyDescent="0.25">
      <c r="A11" s="94" t="s">
        <v>53</v>
      </c>
      <c r="B11" s="37" t="s">
        <v>46</v>
      </c>
      <c r="C11" s="19"/>
      <c r="D11" s="53"/>
      <c r="E11" s="19"/>
      <c r="F11" s="19"/>
      <c r="G11" s="20"/>
      <c r="H11" s="20"/>
      <c r="I11" s="20"/>
      <c r="J11" s="19"/>
      <c r="K11" s="19"/>
      <c r="L11" s="19"/>
      <c r="M11" s="19"/>
      <c r="N11" s="19"/>
      <c r="O11" s="19"/>
      <c r="P11" s="19"/>
      <c r="Q11" s="19"/>
      <c r="R11" s="19"/>
    </row>
    <row r="12" spans="1:31" ht="15.75" thickBot="1" x14ac:dyDescent="0.3">
      <c r="A12" s="20"/>
      <c r="B12" s="38" t="s">
        <v>1</v>
      </c>
      <c r="C12" s="19"/>
      <c r="D12" s="392">
        <v>2016</v>
      </c>
      <c r="E12" s="20">
        <v>2015</v>
      </c>
      <c r="F12" s="20">
        <v>2014</v>
      </c>
      <c r="G12" s="20">
        <v>2013</v>
      </c>
      <c r="H12" s="20">
        <v>2012</v>
      </c>
      <c r="I12" s="20">
        <v>2011</v>
      </c>
      <c r="J12" s="20">
        <v>2010</v>
      </c>
      <c r="K12" s="20">
        <v>2009</v>
      </c>
      <c r="L12" s="20">
        <v>2008</v>
      </c>
      <c r="M12" s="20">
        <v>2007</v>
      </c>
      <c r="N12" s="20">
        <v>2006</v>
      </c>
      <c r="O12" s="20">
        <v>2005</v>
      </c>
      <c r="P12" s="20">
        <v>2004</v>
      </c>
      <c r="Q12" s="20">
        <v>2003</v>
      </c>
      <c r="R12" s="20">
        <v>2002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x14ac:dyDescent="0.25">
      <c r="A13" s="33" t="s">
        <v>54</v>
      </c>
      <c r="B13" s="351" t="s">
        <v>67</v>
      </c>
      <c r="C13" s="351"/>
      <c r="D13" s="239">
        <v>12</v>
      </c>
      <c r="E13" s="79">
        <v>12</v>
      </c>
      <c r="F13" s="79">
        <v>12</v>
      </c>
      <c r="G13" s="90">
        <v>12</v>
      </c>
      <c r="H13" s="90">
        <v>10</v>
      </c>
      <c r="I13" s="90">
        <v>5</v>
      </c>
      <c r="J13" s="91">
        <v>3</v>
      </c>
      <c r="K13" s="91">
        <v>2</v>
      </c>
      <c r="L13" s="92" t="s">
        <v>142</v>
      </c>
      <c r="M13" s="92" t="s">
        <v>142</v>
      </c>
      <c r="N13" s="92" t="s">
        <v>142</v>
      </c>
      <c r="O13" s="92" t="s">
        <v>142</v>
      </c>
      <c r="P13" s="92" t="s">
        <v>142</v>
      </c>
      <c r="Q13" s="81" t="s">
        <v>142</v>
      </c>
      <c r="R13" s="198" t="s">
        <v>142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199"/>
    </row>
    <row r="14" spans="1:31" ht="30" customHeight="1" x14ac:dyDescent="0.25">
      <c r="A14" s="35" t="s">
        <v>411</v>
      </c>
      <c r="B14" s="347" t="s">
        <v>68</v>
      </c>
      <c r="C14" s="347"/>
      <c r="D14" s="325"/>
      <c r="E14" s="176">
        <f>872/2774</f>
        <v>0.31434751261715932</v>
      </c>
      <c r="F14" s="176">
        <f>804/2622</f>
        <v>0.30663615560640733</v>
      </c>
      <c r="G14" s="55">
        <v>0.24245985115550334</v>
      </c>
      <c r="H14" s="17">
        <v>0.23070957735556416</v>
      </c>
      <c r="I14" s="17">
        <v>0.21572580645161291</v>
      </c>
      <c r="J14" s="83" t="s">
        <v>142</v>
      </c>
      <c r="K14" s="83" t="s">
        <v>142</v>
      </c>
      <c r="L14" s="83" t="s">
        <v>142</v>
      </c>
      <c r="M14" s="83" t="s">
        <v>142</v>
      </c>
      <c r="N14" s="83" t="s">
        <v>142</v>
      </c>
      <c r="O14" s="83" t="s">
        <v>142</v>
      </c>
      <c r="P14" s="83" t="s">
        <v>142</v>
      </c>
      <c r="Q14" s="83" t="s">
        <v>142</v>
      </c>
      <c r="R14" s="84" t="s">
        <v>142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31" ht="45" customHeight="1" x14ac:dyDescent="0.25">
      <c r="A15" s="221" t="s">
        <v>56</v>
      </c>
      <c r="B15" s="371" t="s">
        <v>69</v>
      </c>
      <c r="C15" s="371"/>
      <c r="D15" s="325">
        <f>6710/311367</f>
        <v>2.1550132159156236E-2</v>
      </c>
      <c r="E15" s="176">
        <f>5974/326551</f>
        <v>1.8294232753842433E-2</v>
      </c>
      <c r="F15" s="176">
        <v>1.4890352076789499E-2</v>
      </c>
      <c r="G15" s="21">
        <v>1.29571140454355E-2</v>
      </c>
      <c r="H15" s="21">
        <v>1.1290479202370401E-2</v>
      </c>
      <c r="I15" s="21">
        <v>9.9487642466763067E-3</v>
      </c>
      <c r="J15" s="55">
        <v>8.7199171696254948E-3</v>
      </c>
      <c r="K15" s="55">
        <v>8.3676092544987153E-3</v>
      </c>
      <c r="L15" s="55">
        <v>7.262580457599626E-3</v>
      </c>
      <c r="M15" s="55">
        <v>6.8325870791417108E-3</v>
      </c>
      <c r="N15" s="55">
        <v>6.1263346996609487E-3</v>
      </c>
      <c r="O15" s="134">
        <v>5.6932617069421175E-3</v>
      </c>
      <c r="P15" s="134">
        <v>5.0684352056077587E-3</v>
      </c>
      <c r="Q15" s="134">
        <v>4.5216192484756976E-3</v>
      </c>
      <c r="R15" s="85">
        <v>4.8006612831436382E-3</v>
      </c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</row>
    <row r="16" spans="1:31" ht="45" customHeight="1" thickBot="1" x14ac:dyDescent="0.3">
      <c r="A16" s="39" t="s">
        <v>410</v>
      </c>
      <c r="B16" s="372" t="s">
        <v>362</v>
      </c>
      <c r="C16" s="372"/>
      <c r="D16" s="393"/>
      <c r="E16" s="60">
        <f>108/2774</f>
        <v>3.8932948810382118E-2</v>
      </c>
      <c r="F16" s="60">
        <f>104/2622</f>
        <v>3.9664378337147213E-2</v>
      </c>
      <c r="G16" s="60">
        <f>93/2553</f>
        <v>3.6427732079905996E-2</v>
      </c>
      <c r="H16" s="62">
        <f>89/2579</f>
        <v>3.4509499806126408E-2</v>
      </c>
      <c r="I16" s="62">
        <v>3.1E-2</v>
      </c>
      <c r="J16" s="88" t="s">
        <v>142</v>
      </c>
      <c r="K16" s="88" t="s">
        <v>142</v>
      </c>
      <c r="L16" s="88" t="s">
        <v>142</v>
      </c>
      <c r="M16" s="88" t="s">
        <v>142</v>
      </c>
      <c r="N16" s="88" t="s">
        <v>142</v>
      </c>
      <c r="O16" s="88" t="s">
        <v>142</v>
      </c>
      <c r="P16" s="88" t="s">
        <v>142</v>
      </c>
      <c r="Q16" s="88" t="s">
        <v>142</v>
      </c>
      <c r="R16" s="89" t="s">
        <v>142</v>
      </c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67" x14ac:dyDescent="0.25">
      <c r="A17" s="93"/>
      <c r="B17" s="113"/>
      <c r="C17" s="19"/>
      <c r="D17" s="19"/>
      <c r="E17" s="19"/>
      <c r="F17" s="19"/>
      <c r="G17" s="19"/>
      <c r="H17" s="19"/>
      <c r="I17" s="17"/>
      <c r="J17" s="19"/>
      <c r="K17" s="19"/>
      <c r="L17" s="19"/>
      <c r="M17" s="19"/>
      <c r="N17" s="19"/>
      <c r="O17" s="19"/>
      <c r="P17" s="19"/>
      <c r="Q17" s="19"/>
      <c r="R17" s="19"/>
    </row>
    <row r="18" spans="1:67" ht="15.75" x14ac:dyDescent="0.25">
      <c r="A18" s="94" t="s">
        <v>57</v>
      </c>
      <c r="B18" s="37" t="s">
        <v>47</v>
      </c>
      <c r="C18" s="19"/>
      <c r="D18" s="19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67" ht="15.75" thickBot="1" x14ac:dyDescent="0.3">
      <c r="A19" s="20"/>
      <c r="B19" s="38" t="s">
        <v>1</v>
      </c>
      <c r="C19" s="19"/>
      <c r="D19" s="20">
        <v>2016</v>
      </c>
      <c r="E19" s="20">
        <v>2015</v>
      </c>
      <c r="F19" s="20">
        <v>2014</v>
      </c>
      <c r="G19" s="20">
        <v>2013</v>
      </c>
      <c r="H19" s="20">
        <v>2012</v>
      </c>
      <c r="I19" s="20">
        <v>2011</v>
      </c>
      <c r="J19" s="20">
        <v>2010</v>
      </c>
      <c r="K19" s="20">
        <v>2009</v>
      </c>
      <c r="L19" s="20">
        <v>2008</v>
      </c>
      <c r="M19" s="20">
        <v>2007</v>
      </c>
      <c r="N19" s="20">
        <v>2006</v>
      </c>
      <c r="O19" s="20">
        <v>2005</v>
      </c>
      <c r="P19" s="20">
        <v>2004</v>
      </c>
      <c r="Q19" s="20">
        <v>2003</v>
      </c>
      <c r="R19" s="20">
        <v>2002</v>
      </c>
      <c r="S19" s="6">
        <v>2001</v>
      </c>
      <c r="T19" s="6">
        <v>2000</v>
      </c>
      <c r="U19" s="6">
        <v>1999</v>
      </c>
      <c r="V19" s="6">
        <v>1998</v>
      </c>
      <c r="W19" s="6">
        <v>1997</v>
      </c>
      <c r="X19" s="6">
        <v>1996</v>
      </c>
      <c r="Y19" s="6">
        <v>1995</v>
      </c>
      <c r="Z19" s="6">
        <v>1994</v>
      </c>
      <c r="AA19" s="6">
        <v>1993</v>
      </c>
      <c r="AB19" s="6">
        <v>1992</v>
      </c>
      <c r="AC19" s="6">
        <v>1991</v>
      </c>
      <c r="AD19" s="6">
        <v>1990</v>
      </c>
      <c r="AE19" s="6">
        <v>1989</v>
      </c>
      <c r="AF19" s="6">
        <v>1988</v>
      </c>
      <c r="AG19" s="6">
        <v>1987</v>
      </c>
      <c r="AH19" s="6">
        <v>1986</v>
      </c>
      <c r="AI19" s="6">
        <v>1985</v>
      </c>
      <c r="AJ19" s="6">
        <v>1984</v>
      </c>
      <c r="AK19" s="6">
        <v>1983</v>
      </c>
      <c r="AL19" s="6">
        <v>1982</v>
      </c>
      <c r="AM19" s="6">
        <v>1981</v>
      </c>
      <c r="AN19" s="6">
        <v>1980</v>
      </c>
      <c r="AO19" s="6">
        <v>1979</v>
      </c>
      <c r="AP19" s="6">
        <v>1978</v>
      </c>
      <c r="AQ19" s="6">
        <v>1977</v>
      </c>
      <c r="AR19" s="6">
        <v>1976</v>
      </c>
      <c r="AS19" s="6">
        <v>1975</v>
      </c>
      <c r="AT19" s="6">
        <v>1974</v>
      </c>
      <c r="AU19" s="6">
        <v>1973</v>
      </c>
      <c r="AV19" s="6">
        <v>1972</v>
      </c>
      <c r="AW19" s="6">
        <v>1971</v>
      </c>
      <c r="AX19" s="6">
        <v>1970</v>
      </c>
      <c r="AY19" s="6">
        <v>1969</v>
      </c>
      <c r="AZ19" s="6">
        <v>1968</v>
      </c>
      <c r="BA19" s="6">
        <v>1967</v>
      </c>
      <c r="BB19" s="6">
        <v>1966</v>
      </c>
      <c r="BC19" s="6">
        <v>1965</v>
      </c>
      <c r="BD19" s="6">
        <v>1964</v>
      </c>
      <c r="BE19" s="6">
        <v>1963</v>
      </c>
      <c r="BF19" s="6">
        <v>1962</v>
      </c>
      <c r="BG19" s="6">
        <v>1961</v>
      </c>
      <c r="BH19" s="6">
        <v>1960</v>
      </c>
      <c r="BI19" s="6">
        <v>1959</v>
      </c>
      <c r="BJ19" s="6">
        <v>1958</v>
      </c>
      <c r="BK19" s="6">
        <v>1957</v>
      </c>
      <c r="BL19" s="6">
        <v>1956</v>
      </c>
      <c r="BM19" s="6">
        <v>1955</v>
      </c>
      <c r="BN19" s="6">
        <v>1954</v>
      </c>
      <c r="BO19" s="6">
        <v>1953</v>
      </c>
    </row>
    <row r="20" spans="1:67" ht="30" customHeight="1" x14ac:dyDescent="0.25">
      <c r="A20" s="123" t="s">
        <v>349</v>
      </c>
      <c r="B20" s="351" t="s">
        <v>134</v>
      </c>
      <c r="C20" s="351"/>
      <c r="D20" s="292">
        <f>43622/311367</f>
        <v>0.14009834054347442</v>
      </c>
      <c r="E20" s="46">
        <v>0.12908791131476999</v>
      </c>
      <c r="F20" s="46">
        <f>41179/347339</f>
        <v>0.11855564736467832</v>
      </c>
      <c r="G20" s="46">
        <f>40442/368304</f>
        <v>0.10980602980146835</v>
      </c>
      <c r="H20" s="46">
        <f>39484/381047</f>
        <v>0.10361976344125527</v>
      </c>
      <c r="I20" s="46">
        <f>38742/392099</f>
        <v>9.8806678925475455E-2</v>
      </c>
      <c r="J20" s="46">
        <v>9.4759968686077931E-2</v>
      </c>
      <c r="K20" s="46">
        <v>8.8570694087403604E-2</v>
      </c>
      <c r="L20" s="46">
        <v>8.1879956853805586E-2</v>
      </c>
      <c r="M20" s="46">
        <v>7.8650345990579754E-2</v>
      </c>
      <c r="N20" s="46">
        <v>7.550857750113861E-2</v>
      </c>
      <c r="O20" s="46">
        <v>7.2160710275853732E-2</v>
      </c>
      <c r="P20" s="46">
        <v>6.4473366166117776E-2</v>
      </c>
      <c r="Q20" s="46">
        <v>5.3656274875060521E-2</v>
      </c>
      <c r="R20" s="46">
        <v>5.0272960967944119E-2</v>
      </c>
      <c r="S20" s="51">
        <f>8778/223013</f>
        <v>3.9360934115948397E-2</v>
      </c>
      <c r="T20" s="51">
        <f>7021/190207</f>
        <v>3.6912416472579875E-2</v>
      </c>
      <c r="U20" s="51">
        <f>5468/198961</f>
        <v>2.748277300576495E-2</v>
      </c>
      <c r="V20" s="51">
        <f>4403/187148</f>
        <v>2.3526834377070555E-2</v>
      </c>
      <c r="W20" s="51">
        <f>3897/177723</f>
        <v>2.1927381374385983E-2</v>
      </c>
      <c r="X20" s="51">
        <f>3266/166123</f>
        <v>1.9660131348458672E-2</v>
      </c>
      <c r="Y20" s="51">
        <f>2885/148433</f>
        <v>1.9436378702849096E-2</v>
      </c>
      <c r="Z20" s="51">
        <f>2871/136566</f>
        <v>2.1022802161592198E-2</v>
      </c>
      <c r="AA20" s="51">
        <f>3417/127137</f>
        <v>2.6876519030651976E-2</v>
      </c>
      <c r="AB20" s="51">
        <f>2505/117637</f>
        <v>2.1294320664416808E-2</v>
      </c>
      <c r="AC20" s="51">
        <f>2771/113654</f>
        <v>2.4381016066306511E-2</v>
      </c>
      <c r="AD20" s="51">
        <f>3122/118194</f>
        <v>2.6414200382422121E-2</v>
      </c>
      <c r="AE20" s="51">
        <f>3396/113417</f>
        <v>2.9942601197351367E-2</v>
      </c>
      <c r="AF20" s="195">
        <v>2.6898367056300953E-2</v>
      </c>
      <c r="AG20" s="188">
        <v>2.6079296578254054E-2</v>
      </c>
      <c r="AH20" s="188">
        <v>2.4735703498101964E-2</v>
      </c>
      <c r="AI20" s="188">
        <v>2.3713362566351259E-2</v>
      </c>
      <c r="AJ20" s="188">
        <v>2.3341924118357095E-2</v>
      </c>
      <c r="AK20" s="188">
        <v>2.1649194682090211E-2</v>
      </c>
      <c r="AL20" s="188">
        <v>2.1286387320208419E-2</v>
      </c>
      <c r="AM20" s="188">
        <v>2.0915964303420922E-2</v>
      </c>
      <c r="AN20" s="188">
        <v>1.9217559635319095E-2</v>
      </c>
      <c r="AO20" s="188">
        <v>1.7875048358953708E-2</v>
      </c>
      <c r="AP20" s="188">
        <v>1.8581368411673699E-2</v>
      </c>
      <c r="AQ20" s="188">
        <v>1.8814930398718843E-2</v>
      </c>
      <c r="AR20" s="188">
        <v>2.0828610786587386E-2</v>
      </c>
      <c r="AS20" s="188">
        <v>2.2777327549220575E-2</v>
      </c>
      <c r="AT20" s="188">
        <v>2.4769221364090235E-2</v>
      </c>
      <c r="AU20" s="188">
        <v>3.2694670143753095E-2</v>
      </c>
      <c r="AV20" s="188">
        <v>3.2942907389740109E-2</v>
      </c>
      <c r="AW20" s="188">
        <v>3.5331693613251426E-2</v>
      </c>
      <c r="AX20" s="188">
        <v>3.1819684779014659E-2</v>
      </c>
      <c r="AY20" s="188">
        <v>2.9835971345545893E-2</v>
      </c>
      <c r="AZ20" s="188">
        <v>2.9328297369534483E-2</v>
      </c>
      <c r="BA20" s="188">
        <v>3.0893827578186123E-2</v>
      </c>
      <c r="BB20" s="188">
        <v>2.8038701874622051E-2</v>
      </c>
      <c r="BC20" s="188">
        <v>2.6945380722493664E-2</v>
      </c>
      <c r="BD20" s="188">
        <v>2.5060489160536773E-2</v>
      </c>
      <c r="BE20" s="188">
        <v>2.6469652374512768E-2</v>
      </c>
      <c r="BF20" s="188">
        <v>3.1106748783881439E-2</v>
      </c>
      <c r="BG20" s="188">
        <v>2.4661344944363811E-2</v>
      </c>
      <c r="BH20" s="188">
        <v>2.3734995118028832E-2</v>
      </c>
      <c r="BI20" s="188">
        <v>2.6403173406565793E-2</v>
      </c>
      <c r="BJ20" s="188">
        <v>2.5686414099628654E-2</v>
      </c>
      <c r="BK20" s="188">
        <v>2.2294735306985562E-2</v>
      </c>
      <c r="BL20" s="188">
        <v>1.6816489603196223E-2</v>
      </c>
      <c r="BM20" s="188">
        <v>1.7737220510389506E-2</v>
      </c>
      <c r="BN20" s="188">
        <v>1.3546749951200468E-2</v>
      </c>
      <c r="BO20" s="189">
        <v>8.77886744701044E-3</v>
      </c>
    </row>
    <row r="21" spans="1:67" ht="30" customHeight="1" x14ac:dyDescent="0.25">
      <c r="A21" s="221" t="s">
        <v>59</v>
      </c>
      <c r="B21" s="347" t="s">
        <v>135</v>
      </c>
      <c r="C21" s="347"/>
      <c r="D21" s="97">
        <f>22200/43622</f>
        <v>0.50891751868323321</v>
      </c>
      <c r="E21" s="18">
        <v>0.52727000000000002</v>
      </c>
      <c r="F21" s="18">
        <v>0.55114092002624482</v>
      </c>
      <c r="G21" s="18">
        <v>0.57861012839860471</v>
      </c>
      <c r="H21" s="18">
        <v>0.60948784876206885</v>
      </c>
      <c r="I21" s="18">
        <v>0.63427863009452967</v>
      </c>
      <c r="J21" s="21">
        <v>0.64870413822525597</v>
      </c>
      <c r="K21" s="21">
        <v>0.64587449157466592</v>
      </c>
      <c r="L21" s="21">
        <v>0.65971507322418887</v>
      </c>
      <c r="M21" s="21">
        <v>0.66953980467593965</v>
      </c>
      <c r="N21" s="21">
        <v>0.68056836281331212</v>
      </c>
      <c r="O21" s="21">
        <v>0.69207916047726292</v>
      </c>
      <c r="P21" s="21">
        <v>0.68228739002932548</v>
      </c>
      <c r="Q21" s="21">
        <v>0.64811270193706449</v>
      </c>
      <c r="R21" s="21">
        <v>0.63128390596745032</v>
      </c>
      <c r="S21" s="21">
        <f>4918/7743</f>
        <v>0.63515433294588663</v>
      </c>
      <c r="T21" s="118">
        <f>3501/6176</f>
        <v>0.5668717616580311</v>
      </c>
      <c r="U21" s="118">
        <f>1771/4337</f>
        <v>0.40834678349089232</v>
      </c>
      <c r="V21" s="196" t="s">
        <v>142</v>
      </c>
      <c r="W21" s="196" t="s">
        <v>142</v>
      </c>
      <c r="X21" s="196" t="s">
        <v>142</v>
      </c>
      <c r="Y21" s="196" t="s">
        <v>142</v>
      </c>
      <c r="Z21" s="196" t="s">
        <v>142</v>
      </c>
      <c r="AA21" s="196" t="s">
        <v>142</v>
      </c>
      <c r="AB21" s="196" t="s">
        <v>142</v>
      </c>
      <c r="AC21" s="196" t="s">
        <v>142</v>
      </c>
      <c r="AD21" s="196" t="s">
        <v>142</v>
      </c>
      <c r="AE21" s="196" t="s">
        <v>142</v>
      </c>
      <c r="AF21" s="196" t="s">
        <v>142</v>
      </c>
      <c r="AG21" s="196" t="s">
        <v>142</v>
      </c>
      <c r="AH21" s="196" t="s">
        <v>142</v>
      </c>
      <c r="AI21" s="196" t="s">
        <v>142</v>
      </c>
      <c r="AJ21" s="196" t="s">
        <v>142</v>
      </c>
      <c r="AK21" s="196" t="s">
        <v>142</v>
      </c>
      <c r="AL21" s="196" t="s">
        <v>142</v>
      </c>
      <c r="AM21" s="196" t="s">
        <v>142</v>
      </c>
      <c r="AN21" s="196" t="s">
        <v>142</v>
      </c>
      <c r="AO21" s="196" t="s">
        <v>142</v>
      </c>
      <c r="AP21" s="196" t="s">
        <v>142</v>
      </c>
      <c r="AQ21" s="196" t="s">
        <v>142</v>
      </c>
      <c r="AR21" s="196" t="s">
        <v>142</v>
      </c>
      <c r="AS21" s="196" t="s">
        <v>142</v>
      </c>
      <c r="AT21" s="196" t="s">
        <v>142</v>
      </c>
      <c r="AU21" s="196" t="s">
        <v>142</v>
      </c>
      <c r="AV21" s="196" t="s">
        <v>142</v>
      </c>
      <c r="AW21" s="196" t="s">
        <v>142</v>
      </c>
      <c r="AX21" s="196" t="s">
        <v>142</v>
      </c>
      <c r="AY21" s="196" t="s">
        <v>142</v>
      </c>
      <c r="AZ21" s="196" t="s">
        <v>142</v>
      </c>
      <c r="BA21" s="196" t="s">
        <v>142</v>
      </c>
      <c r="BB21" s="196" t="s">
        <v>142</v>
      </c>
      <c r="BC21" s="196" t="s">
        <v>142</v>
      </c>
      <c r="BD21" s="196" t="s">
        <v>142</v>
      </c>
      <c r="BE21" s="196" t="s">
        <v>142</v>
      </c>
      <c r="BF21" s="196" t="s">
        <v>142</v>
      </c>
      <c r="BG21" s="196" t="s">
        <v>142</v>
      </c>
      <c r="BH21" s="196" t="s">
        <v>142</v>
      </c>
      <c r="BI21" s="196" t="s">
        <v>142</v>
      </c>
      <c r="BJ21" s="196" t="s">
        <v>142</v>
      </c>
      <c r="BK21" s="196" t="s">
        <v>142</v>
      </c>
      <c r="BL21" s="196" t="s">
        <v>142</v>
      </c>
      <c r="BM21" s="196" t="s">
        <v>142</v>
      </c>
      <c r="BN21" s="196" t="s">
        <v>142</v>
      </c>
      <c r="BO21" s="197" t="s">
        <v>142</v>
      </c>
    </row>
    <row r="22" spans="1:67" ht="30" x14ac:dyDescent="0.25">
      <c r="A22" s="221" t="s">
        <v>60</v>
      </c>
      <c r="B22" s="353" t="s">
        <v>134</v>
      </c>
      <c r="C22" s="113" t="s">
        <v>192</v>
      </c>
      <c r="D22" s="97">
        <f>22460/180893</f>
        <v>0.12416179730558949</v>
      </c>
      <c r="E22" s="18">
        <v>0.114882546957989</v>
      </c>
      <c r="F22" s="18">
        <f>21995/208799</f>
        <v>0.10534054281869167</v>
      </c>
      <c r="G22" s="18">
        <f>21786/224957</f>
        <v>9.684517485563908E-2</v>
      </c>
      <c r="H22" s="18">
        <f>21347/235483</f>
        <v>9.06519791237584E-2</v>
      </c>
      <c r="I22" s="18">
        <f>20750/243999</f>
        <v>8.5041332136607112E-2</v>
      </c>
      <c r="J22" s="18">
        <v>8.1079242080995192E-2</v>
      </c>
      <c r="K22" s="18">
        <v>7.5655641452196887E-2</v>
      </c>
      <c r="L22" s="18">
        <v>7.0483186899919337E-2</v>
      </c>
      <c r="M22" s="18">
        <v>7.0229175427195228E-2</v>
      </c>
      <c r="N22" s="18">
        <v>6.9670047292310217E-2</v>
      </c>
      <c r="O22" s="18">
        <v>6.7871081129978542E-2</v>
      </c>
      <c r="P22" s="18">
        <v>6.1305809705473474E-2</v>
      </c>
      <c r="Q22" s="18">
        <v>4.961967097116575E-2</v>
      </c>
      <c r="R22" s="18">
        <v>4.4183949504057712E-2</v>
      </c>
      <c r="S22" s="175">
        <f>1363/43119</f>
        <v>3.1610195041628979E-2</v>
      </c>
      <c r="T22" s="175">
        <f>747/34794</f>
        <v>2.1469218830832901E-2</v>
      </c>
      <c r="U22" s="175">
        <f>581/33872</f>
        <v>1.7152810581010865E-2</v>
      </c>
      <c r="V22" s="175">
        <f>624/41433</f>
        <v>1.5060459054376946E-2</v>
      </c>
      <c r="W22" s="175">
        <f>546/39956</f>
        <v>1.3665031534688158E-2</v>
      </c>
      <c r="X22" s="175">
        <f>523/36668</f>
        <v>1.4263117704810735E-2</v>
      </c>
      <c r="Y22" s="175">
        <f>407/34821</f>
        <v>1.1688348984808018E-2</v>
      </c>
      <c r="Z22" s="175">
        <f>342/28147</f>
        <v>1.215049561232103E-2</v>
      </c>
      <c r="AA22" s="175">
        <f>262/15886</f>
        <v>1.6492509127533677E-2</v>
      </c>
      <c r="AB22" s="175">
        <f>160/12355</f>
        <v>1.2950222581950627E-2</v>
      </c>
      <c r="AC22" s="369">
        <f>2771/111990</f>
        <v>2.4743280650058042E-2</v>
      </c>
      <c r="AD22" s="369">
        <f>3122/118194</f>
        <v>2.6414200382422121E-2</v>
      </c>
      <c r="AE22" s="369">
        <f>3396/113417</f>
        <v>2.9942601197351367E-2</v>
      </c>
      <c r="AF22" s="156" t="s">
        <v>142</v>
      </c>
      <c r="AG22" s="156" t="s">
        <v>142</v>
      </c>
      <c r="AH22" s="156" t="s">
        <v>142</v>
      </c>
      <c r="AI22" s="156" t="s">
        <v>142</v>
      </c>
      <c r="AJ22" s="156" t="s">
        <v>142</v>
      </c>
      <c r="AK22" s="156" t="s">
        <v>142</v>
      </c>
      <c r="AL22" s="156" t="s">
        <v>142</v>
      </c>
      <c r="AM22" s="156" t="s">
        <v>142</v>
      </c>
      <c r="AN22" s="156" t="s">
        <v>142</v>
      </c>
      <c r="AO22" s="156" t="s">
        <v>142</v>
      </c>
      <c r="AP22" s="156" t="s">
        <v>142</v>
      </c>
      <c r="AQ22" s="156" t="s">
        <v>142</v>
      </c>
      <c r="AR22" s="156" t="s">
        <v>142</v>
      </c>
      <c r="AS22" s="156" t="s">
        <v>142</v>
      </c>
      <c r="AT22" s="156" t="s">
        <v>142</v>
      </c>
      <c r="AU22" s="156" t="s">
        <v>142</v>
      </c>
      <c r="AV22" s="156" t="s">
        <v>142</v>
      </c>
      <c r="AW22" s="156" t="s">
        <v>142</v>
      </c>
      <c r="AX22" s="156" t="s">
        <v>142</v>
      </c>
      <c r="AY22" s="156" t="s">
        <v>142</v>
      </c>
      <c r="AZ22" s="156" t="s">
        <v>142</v>
      </c>
      <c r="BA22" s="156" t="s">
        <v>142</v>
      </c>
      <c r="BB22" s="156" t="s">
        <v>142</v>
      </c>
      <c r="BC22" s="156" t="s">
        <v>142</v>
      </c>
      <c r="BD22" s="156" t="s">
        <v>142</v>
      </c>
      <c r="BE22" s="156" t="s">
        <v>142</v>
      </c>
      <c r="BF22" s="156" t="s">
        <v>142</v>
      </c>
      <c r="BG22" s="156" t="s">
        <v>142</v>
      </c>
      <c r="BH22" s="156" t="s">
        <v>142</v>
      </c>
      <c r="BI22" s="156" t="s">
        <v>142</v>
      </c>
      <c r="BJ22" s="156" t="s">
        <v>142</v>
      </c>
      <c r="BK22" s="156" t="s">
        <v>142</v>
      </c>
      <c r="BL22" s="156" t="s">
        <v>142</v>
      </c>
      <c r="BM22" s="156" t="s">
        <v>142</v>
      </c>
      <c r="BN22" s="156" t="s">
        <v>142</v>
      </c>
      <c r="BO22" s="197" t="s">
        <v>142</v>
      </c>
    </row>
    <row r="23" spans="1:67" ht="30" x14ac:dyDescent="0.25">
      <c r="A23" s="221" t="s">
        <v>61</v>
      </c>
      <c r="B23" s="353"/>
      <c r="C23" s="113" t="s">
        <v>193</v>
      </c>
      <c r="D23" s="97">
        <f>7603/31228</f>
        <v>0.24346740105033943</v>
      </c>
      <c r="E23" s="18">
        <f>(7214/31803)</f>
        <v>0.2268339464830362</v>
      </c>
      <c r="F23" s="18">
        <f>6927/32589</f>
        <v>0.2125563840559698</v>
      </c>
      <c r="G23" s="18">
        <f>6813/33218</f>
        <v>0.20509964477090734</v>
      </c>
      <c r="H23" s="18">
        <f>6625/34497</f>
        <v>0.19204568513204046</v>
      </c>
      <c r="I23" s="18">
        <f>6537/37487</f>
        <v>0.17438045188998852</v>
      </c>
      <c r="J23" s="18">
        <v>0.15717791411042945</v>
      </c>
      <c r="K23" s="18">
        <v>0.13804699195105546</v>
      </c>
      <c r="L23" s="18">
        <v>0.11712589207110345</v>
      </c>
      <c r="M23" s="18">
        <v>0.10134772542585976</v>
      </c>
      <c r="N23" s="18">
        <v>8.8317762884912804E-2</v>
      </c>
      <c r="O23" s="18">
        <v>7.8738052983814061E-2</v>
      </c>
      <c r="P23" s="18">
        <v>6.7953574519969098E-2</v>
      </c>
      <c r="Q23" s="18">
        <v>5.5599426278383907E-2</v>
      </c>
      <c r="R23" s="18">
        <v>5.1673450927182271E-2</v>
      </c>
      <c r="S23" s="194">
        <f>6051/135425</f>
        <v>4.4681558057965663E-2</v>
      </c>
      <c r="T23" s="151">
        <f>5077/132003</f>
        <v>3.8461247092869098E-2</v>
      </c>
      <c r="U23" s="369">
        <f>3908/150082</f>
        <v>2.6039098626084407E-2</v>
      </c>
      <c r="V23" s="369">
        <f>3069/132796</f>
        <v>2.3110635862525979E-2</v>
      </c>
      <c r="W23" s="369">
        <f>2835/125798</f>
        <v>2.2536129350228144E-2</v>
      </c>
      <c r="X23" s="369">
        <f>2743/119200</f>
        <v>2.3011744966442954E-2</v>
      </c>
      <c r="Y23" s="369">
        <f>2478/104953</f>
        <v>2.361056854020371E-2</v>
      </c>
      <c r="Z23" s="369">
        <f>2529/101306</f>
        <v>2.4963970544686395E-2</v>
      </c>
      <c r="AA23" s="369">
        <f>3155/106373</f>
        <v>2.9659782087559813E-2</v>
      </c>
      <c r="AB23" s="369">
        <f>2345/101830</f>
        <v>2.302857704016498E-2</v>
      </c>
      <c r="AC23" s="369"/>
      <c r="AD23" s="369"/>
      <c r="AE23" s="369"/>
      <c r="AF23" s="156" t="s">
        <v>142</v>
      </c>
      <c r="AG23" s="156" t="s">
        <v>142</v>
      </c>
      <c r="AH23" s="156" t="s">
        <v>142</v>
      </c>
      <c r="AI23" s="156" t="s">
        <v>142</v>
      </c>
      <c r="AJ23" s="156" t="s">
        <v>142</v>
      </c>
      <c r="AK23" s="156" t="s">
        <v>142</v>
      </c>
      <c r="AL23" s="156" t="s">
        <v>142</v>
      </c>
      <c r="AM23" s="156" t="s">
        <v>142</v>
      </c>
      <c r="AN23" s="156" t="s">
        <v>142</v>
      </c>
      <c r="AO23" s="156" t="s">
        <v>142</v>
      </c>
      <c r="AP23" s="156" t="s">
        <v>142</v>
      </c>
      <c r="AQ23" s="156" t="s">
        <v>142</v>
      </c>
      <c r="AR23" s="156" t="s">
        <v>142</v>
      </c>
      <c r="AS23" s="156" t="s">
        <v>142</v>
      </c>
      <c r="AT23" s="156" t="s">
        <v>142</v>
      </c>
      <c r="AU23" s="156" t="s">
        <v>142</v>
      </c>
      <c r="AV23" s="156" t="s">
        <v>142</v>
      </c>
      <c r="AW23" s="156" t="s">
        <v>142</v>
      </c>
      <c r="AX23" s="156" t="s">
        <v>142</v>
      </c>
      <c r="AY23" s="156" t="s">
        <v>142</v>
      </c>
      <c r="AZ23" s="156" t="s">
        <v>142</v>
      </c>
      <c r="BA23" s="156" t="s">
        <v>142</v>
      </c>
      <c r="BB23" s="156" t="s">
        <v>142</v>
      </c>
      <c r="BC23" s="156" t="s">
        <v>142</v>
      </c>
      <c r="BD23" s="156" t="s">
        <v>142</v>
      </c>
      <c r="BE23" s="156" t="s">
        <v>142</v>
      </c>
      <c r="BF23" s="156" t="s">
        <v>142</v>
      </c>
      <c r="BG23" s="156" t="s">
        <v>142</v>
      </c>
      <c r="BH23" s="156" t="s">
        <v>142</v>
      </c>
      <c r="BI23" s="156" t="s">
        <v>142</v>
      </c>
      <c r="BJ23" s="156" t="s">
        <v>142</v>
      </c>
      <c r="BK23" s="156" t="s">
        <v>142</v>
      </c>
      <c r="BL23" s="156" t="s">
        <v>142</v>
      </c>
      <c r="BM23" s="156" t="s">
        <v>142</v>
      </c>
      <c r="BN23" s="156" t="s">
        <v>142</v>
      </c>
      <c r="BO23" s="197" t="s">
        <v>142</v>
      </c>
    </row>
    <row r="24" spans="1:67" ht="30" x14ac:dyDescent="0.25">
      <c r="A24" s="221" t="s">
        <v>77</v>
      </c>
      <c r="B24" s="353"/>
      <c r="C24" s="113" t="s">
        <v>146</v>
      </c>
      <c r="D24" s="97">
        <f>9899/80142</f>
        <v>0.12351825509720246</v>
      </c>
      <c r="E24" s="212">
        <f>9226/81921</f>
        <v>0.11262069554815005</v>
      </c>
      <c r="F24" s="18">
        <f>8957/86622</f>
        <v>0.10340329246611715</v>
      </c>
      <c r="G24" s="18">
        <f>8689/89040</f>
        <v>9.758535489667565E-2</v>
      </c>
      <c r="H24" s="18">
        <f>8689/90314</f>
        <v>9.6208782691498546E-2</v>
      </c>
      <c r="I24" s="18">
        <f>8653/89630</f>
        <v>9.6541336606047079E-2</v>
      </c>
      <c r="J24" s="18">
        <v>9.5735372003592237E-2</v>
      </c>
      <c r="K24" s="18">
        <v>9.0246194324375112E-2</v>
      </c>
      <c r="L24" s="18">
        <v>8.2625911149773523E-2</v>
      </c>
      <c r="M24" s="18">
        <v>7.1907679817524592E-2</v>
      </c>
      <c r="N24" s="18">
        <v>6.3272203446174305E-2</v>
      </c>
      <c r="O24" s="18">
        <v>6.0684044496098287E-2</v>
      </c>
      <c r="P24" s="18">
        <v>4.8142576090730242E-2</v>
      </c>
      <c r="Q24" s="18">
        <v>3.1837307152875173E-2</v>
      </c>
      <c r="R24" s="18">
        <v>2.4439444487547521E-2</v>
      </c>
      <c r="S24" s="194">
        <f>245/12068</f>
        <v>2.0301624129930394E-2</v>
      </c>
      <c r="T24" s="151">
        <f>177/11388</f>
        <v>1.554267650158061E-2</v>
      </c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156" t="s">
        <v>142</v>
      </c>
      <c r="AG24" s="156" t="s">
        <v>142</v>
      </c>
      <c r="AH24" s="156" t="s">
        <v>142</v>
      </c>
      <c r="AI24" s="156" t="s">
        <v>142</v>
      </c>
      <c r="AJ24" s="156" t="s">
        <v>142</v>
      </c>
      <c r="AK24" s="156" t="s">
        <v>142</v>
      </c>
      <c r="AL24" s="156" t="s">
        <v>142</v>
      </c>
      <c r="AM24" s="156" t="s">
        <v>142</v>
      </c>
      <c r="AN24" s="156" t="s">
        <v>142</v>
      </c>
      <c r="AO24" s="156" t="s">
        <v>142</v>
      </c>
      <c r="AP24" s="156" t="s">
        <v>142</v>
      </c>
      <c r="AQ24" s="156" t="s">
        <v>142</v>
      </c>
      <c r="AR24" s="156" t="s">
        <v>142</v>
      </c>
      <c r="AS24" s="156" t="s">
        <v>142</v>
      </c>
      <c r="AT24" s="156" t="s">
        <v>142</v>
      </c>
      <c r="AU24" s="156" t="s">
        <v>142</v>
      </c>
      <c r="AV24" s="156" t="s">
        <v>142</v>
      </c>
      <c r="AW24" s="156" t="s">
        <v>142</v>
      </c>
      <c r="AX24" s="156" t="s">
        <v>142</v>
      </c>
      <c r="AY24" s="156" t="s">
        <v>142</v>
      </c>
      <c r="AZ24" s="156" t="s">
        <v>142</v>
      </c>
      <c r="BA24" s="156" t="s">
        <v>142</v>
      </c>
      <c r="BB24" s="156" t="s">
        <v>142</v>
      </c>
      <c r="BC24" s="156" t="s">
        <v>142</v>
      </c>
      <c r="BD24" s="156" t="s">
        <v>142</v>
      </c>
      <c r="BE24" s="156" t="s">
        <v>142</v>
      </c>
      <c r="BF24" s="156" t="s">
        <v>142</v>
      </c>
      <c r="BG24" s="156" t="s">
        <v>142</v>
      </c>
      <c r="BH24" s="156" t="s">
        <v>142</v>
      </c>
      <c r="BI24" s="156" t="s">
        <v>142</v>
      </c>
      <c r="BJ24" s="156" t="s">
        <v>142</v>
      </c>
      <c r="BK24" s="156" t="s">
        <v>142</v>
      </c>
      <c r="BL24" s="156" t="s">
        <v>142</v>
      </c>
      <c r="BM24" s="156" t="s">
        <v>142</v>
      </c>
      <c r="BN24" s="156" t="s">
        <v>142</v>
      </c>
      <c r="BO24" s="197" t="s">
        <v>142</v>
      </c>
    </row>
    <row r="25" spans="1:67" ht="30" x14ac:dyDescent="0.25">
      <c r="A25" s="221" t="s">
        <v>78</v>
      </c>
      <c r="B25" s="353"/>
      <c r="C25" s="113" t="s">
        <v>194</v>
      </c>
      <c r="D25" s="97">
        <f>3974/23265</f>
        <v>0.17081452826133678</v>
      </c>
      <c r="E25" s="18">
        <f>3822/23928</f>
        <v>0.15972918756268806</v>
      </c>
      <c r="F25" s="18">
        <f>3610/24309</f>
        <v>0.14850466905261425</v>
      </c>
      <c r="G25" s="18">
        <f>3236/24755</f>
        <v>0.13072106645122197</v>
      </c>
      <c r="H25" s="18">
        <f>3236/24803</f>
        <v>0.13046808853767689</v>
      </c>
      <c r="I25" s="18">
        <f>3156/25650</f>
        <v>0.12304093567251462</v>
      </c>
      <c r="J25" s="18">
        <v>0.11591355599214145</v>
      </c>
      <c r="K25" s="18">
        <v>0.10903609740819044</v>
      </c>
      <c r="L25" s="18">
        <v>0.10333170413815575</v>
      </c>
      <c r="M25" s="18">
        <v>9.9979188345473466E-2</v>
      </c>
      <c r="N25" s="18">
        <v>9.015410958904109E-2</v>
      </c>
      <c r="O25" s="18">
        <v>8.0466446251452065E-2</v>
      </c>
      <c r="P25" s="18">
        <v>7.3233145675336161E-2</v>
      </c>
      <c r="Q25" s="18">
        <v>7.0526838966202779E-2</v>
      </c>
      <c r="R25" s="18">
        <v>7.4121018406260328E-2</v>
      </c>
      <c r="S25" s="175">
        <f>1196/16522</f>
        <v>7.238833071056773E-2</v>
      </c>
      <c r="T25" s="175">
        <f>1079/15362</f>
        <v>7.023825022783492E-2</v>
      </c>
      <c r="U25" s="175">
        <f>979/15007</f>
        <v>6.5236223095888585E-2</v>
      </c>
      <c r="V25" s="175">
        <f>710/12919</f>
        <v>5.4957814072296621E-2</v>
      </c>
      <c r="W25" s="175">
        <f>516/11969</f>
        <v>4.3111371041858131E-2</v>
      </c>
      <c r="X25" s="175">
        <f>455/10255</f>
        <v>4.4368600682593858E-2</v>
      </c>
      <c r="Y25" s="175">
        <f>400/8659</f>
        <v>4.6194710705624205E-2</v>
      </c>
      <c r="Z25" s="175">
        <f>353/7113</f>
        <v>4.9627442710530018E-2</v>
      </c>
      <c r="AA25" s="175">
        <f>197/4878</f>
        <v>4.0385403854038542E-2</v>
      </c>
      <c r="AB25" s="196" t="s">
        <v>142</v>
      </c>
      <c r="AC25" s="196" t="s">
        <v>142</v>
      </c>
      <c r="AD25" s="196" t="s">
        <v>142</v>
      </c>
      <c r="AE25" s="196" t="s">
        <v>142</v>
      </c>
      <c r="AF25" s="196" t="s">
        <v>142</v>
      </c>
      <c r="AG25" s="196" t="s">
        <v>142</v>
      </c>
      <c r="AH25" s="196" t="s">
        <v>142</v>
      </c>
      <c r="AI25" s="196" t="s">
        <v>142</v>
      </c>
      <c r="AJ25" s="196" t="s">
        <v>142</v>
      </c>
      <c r="AK25" s="196" t="s">
        <v>142</v>
      </c>
      <c r="AL25" s="196" t="s">
        <v>142</v>
      </c>
      <c r="AM25" s="196" t="s">
        <v>142</v>
      </c>
      <c r="AN25" s="196" t="s">
        <v>142</v>
      </c>
      <c r="AO25" s="196" t="s">
        <v>142</v>
      </c>
      <c r="AP25" s="196" t="s">
        <v>142</v>
      </c>
      <c r="AQ25" s="196" t="s">
        <v>142</v>
      </c>
      <c r="AR25" s="196" t="s">
        <v>142</v>
      </c>
      <c r="AS25" s="196" t="s">
        <v>142</v>
      </c>
      <c r="AT25" s="196" t="s">
        <v>142</v>
      </c>
      <c r="AU25" s="196" t="s">
        <v>142</v>
      </c>
      <c r="AV25" s="196" t="s">
        <v>142</v>
      </c>
      <c r="AW25" s="196" t="s">
        <v>142</v>
      </c>
      <c r="AX25" s="196" t="s">
        <v>142</v>
      </c>
      <c r="AY25" s="196" t="s">
        <v>142</v>
      </c>
      <c r="AZ25" s="196" t="s">
        <v>142</v>
      </c>
      <c r="BA25" s="196" t="s">
        <v>142</v>
      </c>
      <c r="BB25" s="196" t="s">
        <v>142</v>
      </c>
      <c r="BC25" s="196" t="s">
        <v>142</v>
      </c>
      <c r="BD25" s="196" t="s">
        <v>142</v>
      </c>
      <c r="BE25" s="196" t="s">
        <v>142</v>
      </c>
      <c r="BF25" s="196" t="s">
        <v>142</v>
      </c>
      <c r="BG25" s="196" t="s">
        <v>142</v>
      </c>
      <c r="BH25" s="196" t="s">
        <v>142</v>
      </c>
      <c r="BI25" s="196" t="s">
        <v>142</v>
      </c>
      <c r="BJ25" s="196" t="s">
        <v>142</v>
      </c>
      <c r="BK25" s="196" t="s">
        <v>142</v>
      </c>
      <c r="BL25" s="196" t="s">
        <v>142</v>
      </c>
      <c r="BM25" s="196" t="s">
        <v>142</v>
      </c>
      <c r="BN25" s="196" t="s">
        <v>142</v>
      </c>
      <c r="BO25" s="197" t="s">
        <v>142</v>
      </c>
    </row>
    <row r="26" spans="1:67" ht="30" customHeight="1" x14ac:dyDescent="0.25">
      <c r="A26" s="221" t="s">
        <v>93</v>
      </c>
      <c r="B26" s="353" t="s">
        <v>135</v>
      </c>
      <c r="C26" s="113" t="s">
        <v>195</v>
      </c>
      <c r="D26" s="97">
        <f>11331/22398</f>
        <v>0.50589338333779799</v>
      </c>
      <c r="E26" s="55">
        <f>11632/22257</f>
        <v>0.52262209641910407</v>
      </c>
      <c r="F26" s="55">
        <f>11938/21995</f>
        <v>0.54275971811775403</v>
      </c>
      <c r="G26" s="18">
        <f>12583/21555</f>
        <v>0.58376246810484811</v>
      </c>
      <c r="H26" s="4">
        <f>13346/21335</f>
        <v>0.6255448793063042</v>
      </c>
      <c r="I26" s="4">
        <f>13583/20787</f>
        <v>0.65343724443161588</v>
      </c>
      <c r="J26" s="21">
        <f>13500/20257</f>
        <v>0.66643629362689438</v>
      </c>
      <c r="K26" s="21">
        <f>12263/18555</f>
        <v>0.66090002694691463</v>
      </c>
      <c r="L26" s="21">
        <f>11128/16253</f>
        <v>0.68467359872023625</v>
      </c>
      <c r="M26" s="21">
        <f>10278/14697</f>
        <v>0.69932639314145739</v>
      </c>
      <c r="N26" s="21">
        <f>9098/12743</f>
        <v>0.71396060582280463</v>
      </c>
      <c r="O26" s="21">
        <f>7712/10504</f>
        <v>0.73419649657273423</v>
      </c>
      <c r="P26" s="21">
        <f>5430/7585</f>
        <v>0.71588661832564271</v>
      </c>
      <c r="Q26" s="21">
        <f>2955/4488</f>
        <v>0.65842245989304815</v>
      </c>
      <c r="R26" s="21">
        <f>1630/2695</f>
        <v>0.60482374768089053</v>
      </c>
      <c r="S26" s="196" t="s">
        <v>142</v>
      </c>
      <c r="T26" s="196" t="s">
        <v>142</v>
      </c>
      <c r="U26" s="196" t="s">
        <v>142</v>
      </c>
      <c r="V26" s="196" t="s">
        <v>142</v>
      </c>
      <c r="W26" s="196" t="s">
        <v>142</v>
      </c>
      <c r="X26" s="196" t="s">
        <v>142</v>
      </c>
      <c r="Y26" s="196" t="s">
        <v>142</v>
      </c>
      <c r="Z26" s="196" t="s">
        <v>142</v>
      </c>
      <c r="AA26" s="196" t="s">
        <v>142</v>
      </c>
      <c r="AB26" s="196" t="s">
        <v>142</v>
      </c>
      <c r="AC26" s="196" t="s">
        <v>142</v>
      </c>
      <c r="AD26" s="196" t="s">
        <v>142</v>
      </c>
      <c r="AE26" s="196" t="s">
        <v>142</v>
      </c>
      <c r="AF26" s="196" t="s">
        <v>142</v>
      </c>
      <c r="AG26" s="196" t="s">
        <v>142</v>
      </c>
      <c r="AH26" s="196" t="s">
        <v>142</v>
      </c>
      <c r="AI26" s="196" t="s">
        <v>142</v>
      </c>
      <c r="AJ26" s="196" t="s">
        <v>142</v>
      </c>
      <c r="AK26" s="196" t="s">
        <v>142</v>
      </c>
      <c r="AL26" s="196" t="s">
        <v>142</v>
      </c>
      <c r="AM26" s="196" t="s">
        <v>142</v>
      </c>
      <c r="AN26" s="196" t="s">
        <v>142</v>
      </c>
      <c r="AO26" s="196" t="s">
        <v>142</v>
      </c>
      <c r="AP26" s="196" t="s">
        <v>142</v>
      </c>
      <c r="AQ26" s="196" t="s">
        <v>142</v>
      </c>
      <c r="AR26" s="196" t="s">
        <v>142</v>
      </c>
      <c r="AS26" s="196" t="s">
        <v>142</v>
      </c>
      <c r="AT26" s="196" t="s">
        <v>142</v>
      </c>
      <c r="AU26" s="196" t="s">
        <v>142</v>
      </c>
      <c r="AV26" s="196" t="s">
        <v>142</v>
      </c>
      <c r="AW26" s="196" t="s">
        <v>142</v>
      </c>
      <c r="AX26" s="196" t="s">
        <v>142</v>
      </c>
      <c r="AY26" s="196" t="s">
        <v>142</v>
      </c>
      <c r="AZ26" s="196" t="s">
        <v>142</v>
      </c>
      <c r="BA26" s="196" t="s">
        <v>142</v>
      </c>
      <c r="BB26" s="196" t="s">
        <v>142</v>
      </c>
      <c r="BC26" s="196" t="s">
        <v>142</v>
      </c>
      <c r="BD26" s="196" t="s">
        <v>142</v>
      </c>
      <c r="BE26" s="196" t="s">
        <v>142</v>
      </c>
      <c r="BF26" s="196" t="s">
        <v>142</v>
      </c>
      <c r="BG26" s="196" t="s">
        <v>142</v>
      </c>
      <c r="BH26" s="196" t="s">
        <v>142</v>
      </c>
      <c r="BI26" s="196" t="s">
        <v>142</v>
      </c>
      <c r="BJ26" s="196" t="s">
        <v>142</v>
      </c>
      <c r="BK26" s="196" t="s">
        <v>142</v>
      </c>
      <c r="BL26" s="196" t="s">
        <v>142</v>
      </c>
      <c r="BM26" s="196" t="s">
        <v>142</v>
      </c>
      <c r="BN26" s="196" t="s">
        <v>142</v>
      </c>
      <c r="BO26" s="197" t="s">
        <v>142</v>
      </c>
    </row>
    <row r="27" spans="1:67" ht="30" x14ac:dyDescent="0.25">
      <c r="A27" s="221" t="s">
        <v>94</v>
      </c>
      <c r="B27" s="353"/>
      <c r="C27" s="113" t="s">
        <v>196</v>
      </c>
      <c r="D27" s="97">
        <f>3594/7603</f>
        <v>0.47270814152308299</v>
      </c>
      <c r="E27" s="55">
        <f>3518/7214</f>
        <v>0.4876628777377322</v>
      </c>
      <c r="F27" s="55">
        <f>3438/6927</f>
        <v>0.49631875270679948</v>
      </c>
      <c r="G27" s="18">
        <f>3387/6783</f>
        <v>0.49933657673595755</v>
      </c>
      <c r="H27" s="4">
        <f>3342/6616</f>
        <v>0.50513905683192262</v>
      </c>
      <c r="I27" s="4">
        <f>3339/6530</f>
        <v>0.51133231240428789</v>
      </c>
      <c r="J27" s="21">
        <f>3369/6405</f>
        <v>0.52599531615925055</v>
      </c>
      <c r="K27" s="21">
        <f>3485/6363</f>
        <v>0.54769762690554769</v>
      </c>
      <c r="L27" s="21">
        <f>3572/6253</f>
        <v>0.57124580201503283</v>
      </c>
      <c r="M27" s="21">
        <f>4033/6610</f>
        <v>0.61013615733736759</v>
      </c>
      <c r="N27" s="21">
        <f>4598/7024</f>
        <v>0.65461275626423687</v>
      </c>
      <c r="O27" s="21">
        <f>5014/7365</f>
        <v>0.68078750848608283</v>
      </c>
      <c r="P27" s="21">
        <f>5078/7301</f>
        <v>0.69552116148472809</v>
      </c>
      <c r="Q27" s="21">
        <f>4796/6900</f>
        <v>0.69507246376811593</v>
      </c>
      <c r="R27" s="21">
        <f>4766/6855</f>
        <v>0.69525893508388037</v>
      </c>
      <c r="S27" s="196" t="s">
        <v>142</v>
      </c>
      <c r="T27" s="196" t="s">
        <v>142</v>
      </c>
      <c r="U27" s="196" t="s">
        <v>142</v>
      </c>
      <c r="V27" s="196" t="s">
        <v>142</v>
      </c>
      <c r="W27" s="196" t="s">
        <v>142</v>
      </c>
      <c r="X27" s="196" t="s">
        <v>142</v>
      </c>
      <c r="Y27" s="196" t="s">
        <v>142</v>
      </c>
      <c r="Z27" s="196" t="s">
        <v>142</v>
      </c>
      <c r="AA27" s="196" t="s">
        <v>142</v>
      </c>
      <c r="AB27" s="196" t="s">
        <v>142</v>
      </c>
      <c r="AC27" s="196" t="s">
        <v>142</v>
      </c>
      <c r="AD27" s="196" t="s">
        <v>142</v>
      </c>
      <c r="AE27" s="196" t="s">
        <v>142</v>
      </c>
      <c r="AF27" s="196" t="s">
        <v>142</v>
      </c>
      <c r="AG27" s="196" t="s">
        <v>142</v>
      </c>
      <c r="AH27" s="196" t="s">
        <v>142</v>
      </c>
      <c r="AI27" s="196" t="s">
        <v>142</v>
      </c>
      <c r="AJ27" s="196" t="s">
        <v>142</v>
      </c>
      <c r="AK27" s="196" t="s">
        <v>142</v>
      </c>
      <c r="AL27" s="196" t="s">
        <v>142</v>
      </c>
      <c r="AM27" s="196" t="s">
        <v>142</v>
      </c>
      <c r="AN27" s="196" t="s">
        <v>142</v>
      </c>
      <c r="AO27" s="196" t="s">
        <v>142</v>
      </c>
      <c r="AP27" s="196" t="s">
        <v>142</v>
      </c>
      <c r="AQ27" s="196" t="s">
        <v>142</v>
      </c>
      <c r="AR27" s="196" t="s">
        <v>142</v>
      </c>
      <c r="AS27" s="196" t="s">
        <v>142</v>
      </c>
      <c r="AT27" s="196" t="s">
        <v>142</v>
      </c>
      <c r="AU27" s="196" t="s">
        <v>142</v>
      </c>
      <c r="AV27" s="196" t="s">
        <v>142</v>
      </c>
      <c r="AW27" s="196" t="s">
        <v>142</v>
      </c>
      <c r="AX27" s="196" t="s">
        <v>142</v>
      </c>
      <c r="AY27" s="196" t="s">
        <v>142</v>
      </c>
      <c r="AZ27" s="196" t="s">
        <v>142</v>
      </c>
      <c r="BA27" s="196" t="s">
        <v>142</v>
      </c>
      <c r="BB27" s="196" t="s">
        <v>142</v>
      </c>
      <c r="BC27" s="196" t="s">
        <v>142</v>
      </c>
      <c r="BD27" s="196" t="s">
        <v>142</v>
      </c>
      <c r="BE27" s="196" t="s">
        <v>142</v>
      </c>
      <c r="BF27" s="196" t="s">
        <v>142</v>
      </c>
      <c r="BG27" s="196" t="s">
        <v>142</v>
      </c>
      <c r="BH27" s="196" t="s">
        <v>142</v>
      </c>
      <c r="BI27" s="196" t="s">
        <v>142</v>
      </c>
      <c r="BJ27" s="196" t="s">
        <v>142</v>
      </c>
      <c r="BK27" s="196" t="s">
        <v>142</v>
      </c>
      <c r="BL27" s="196" t="s">
        <v>142</v>
      </c>
      <c r="BM27" s="196" t="s">
        <v>142</v>
      </c>
      <c r="BN27" s="196" t="s">
        <v>142</v>
      </c>
      <c r="BO27" s="197" t="s">
        <v>142</v>
      </c>
    </row>
    <row r="28" spans="1:67" ht="30" x14ac:dyDescent="0.25">
      <c r="A28" s="221" t="s">
        <v>132</v>
      </c>
      <c r="B28" s="353"/>
      <c r="C28" s="113" t="s">
        <v>197</v>
      </c>
      <c r="D28" s="97">
        <f>5589/9867</f>
        <v>0.56643356643356646</v>
      </c>
      <c r="E28" s="55">
        <f>5448/9226</f>
        <v>0.590505094298721</v>
      </c>
      <c r="F28" s="55">
        <f>5710/8957</f>
        <v>0.63749023110416436</v>
      </c>
      <c r="G28" s="18">
        <f>5864/8999</f>
        <v>0.65162795866207357</v>
      </c>
      <c r="H28" s="4">
        <f>5890/8685</f>
        <v>0.6781807714450202</v>
      </c>
      <c r="I28" s="4">
        <f>6239/8682</f>
        <v>0.71861322275973283</v>
      </c>
      <c r="J28" s="21">
        <f>6193/8315</f>
        <v>0.74479855682501506</v>
      </c>
      <c r="K28" s="21">
        <f>5365/7203</f>
        <v>0.74482854366236295</v>
      </c>
      <c r="L28" s="21">
        <f>4138/5509</f>
        <v>0.75113450717008534</v>
      </c>
      <c r="M28" s="21">
        <f>2789/3720</f>
        <v>0.74973118279569895</v>
      </c>
      <c r="N28" s="21">
        <f>1628/2284</f>
        <v>0.71278458844133097</v>
      </c>
      <c r="O28" s="21">
        <f>993/1462</f>
        <v>0.67920656634746923</v>
      </c>
      <c r="P28" s="21">
        <f>543/832</f>
        <v>0.65264423076923073</v>
      </c>
      <c r="Q28" s="21">
        <f>259/454</f>
        <v>0.57048458149779735</v>
      </c>
      <c r="R28" s="134">
        <f>178/315</f>
        <v>0.56507936507936507</v>
      </c>
      <c r="S28" s="196" t="s">
        <v>142</v>
      </c>
      <c r="T28" s="196" t="s">
        <v>142</v>
      </c>
      <c r="U28" s="196" t="s">
        <v>142</v>
      </c>
      <c r="V28" s="196" t="s">
        <v>142</v>
      </c>
      <c r="W28" s="196" t="s">
        <v>142</v>
      </c>
      <c r="X28" s="196" t="s">
        <v>142</v>
      </c>
      <c r="Y28" s="196" t="s">
        <v>142</v>
      </c>
      <c r="Z28" s="196" t="s">
        <v>142</v>
      </c>
      <c r="AA28" s="196" t="s">
        <v>142</v>
      </c>
      <c r="AB28" s="196" t="s">
        <v>142</v>
      </c>
      <c r="AC28" s="196" t="s">
        <v>142</v>
      </c>
      <c r="AD28" s="196" t="s">
        <v>142</v>
      </c>
      <c r="AE28" s="196" t="s">
        <v>142</v>
      </c>
      <c r="AF28" s="196" t="s">
        <v>142</v>
      </c>
      <c r="AG28" s="196" t="s">
        <v>142</v>
      </c>
      <c r="AH28" s="196" t="s">
        <v>142</v>
      </c>
      <c r="AI28" s="196" t="s">
        <v>142</v>
      </c>
      <c r="AJ28" s="196" t="s">
        <v>142</v>
      </c>
      <c r="AK28" s="196" t="s">
        <v>142</v>
      </c>
      <c r="AL28" s="196" t="s">
        <v>142</v>
      </c>
      <c r="AM28" s="196" t="s">
        <v>142</v>
      </c>
      <c r="AN28" s="196" t="s">
        <v>142</v>
      </c>
      <c r="AO28" s="196" t="s">
        <v>142</v>
      </c>
      <c r="AP28" s="196" t="s">
        <v>142</v>
      </c>
      <c r="AQ28" s="196" t="s">
        <v>142</v>
      </c>
      <c r="AR28" s="196" t="s">
        <v>142</v>
      </c>
      <c r="AS28" s="196" t="s">
        <v>142</v>
      </c>
      <c r="AT28" s="196" t="s">
        <v>142</v>
      </c>
      <c r="AU28" s="196" t="s">
        <v>142</v>
      </c>
      <c r="AV28" s="196" t="s">
        <v>142</v>
      </c>
      <c r="AW28" s="196" t="s">
        <v>142</v>
      </c>
      <c r="AX28" s="196" t="s">
        <v>142</v>
      </c>
      <c r="AY28" s="196" t="s">
        <v>142</v>
      </c>
      <c r="AZ28" s="196" t="s">
        <v>142</v>
      </c>
      <c r="BA28" s="196" t="s">
        <v>142</v>
      </c>
      <c r="BB28" s="196" t="s">
        <v>142</v>
      </c>
      <c r="BC28" s="196" t="s">
        <v>142</v>
      </c>
      <c r="BD28" s="196" t="s">
        <v>142</v>
      </c>
      <c r="BE28" s="196" t="s">
        <v>142</v>
      </c>
      <c r="BF28" s="196" t="s">
        <v>142</v>
      </c>
      <c r="BG28" s="196" t="s">
        <v>142</v>
      </c>
      <c r="BH28" s="196" t="s">
        <v>142</v>
      </c>
      <c r="BI28" s="196" t="s">
        <v>142</v>
      </c>
      <c r="BJ28" s="196" t="s">
        <v>142</v>
      </c>
      <c r="BK28" s="196" t="s">
        <v>142</v>
      </c>
      <c r="BL28" s="196" t="s">
        <v>142</v>
      </c>
      <c r="BM28" s="196" t="s">
        <v>142</v>
      </c>
      <c r="BN28" s="196" t="s">
        <v>142</v>
      </c>
      <c r="BO28" s="197" t="s">
        <v>142</v>
      </c>
    </row>
    <row r="29" spans="1:67" ht="30.75" thickBot="1" x14ac:dyDescent="0.3">
      <c r="A29" s="308" t="s">
        <v>133</v>
      </c>
      <c r="B29" s="370"/>
      <c r="C29" s="114" t="s">
        <v>147</v>
      </c>
      <c r="D29" s="61">
        <f>1841/3969</f>
        <v>0.46384479717813049</v>
      </c>
      <c r="E29" s="61">
        <f>1809/3822</f>
        <v>0.47331240188383045</v>
      </c>
      <c r="F29" s="61">
        <f>1765/3610</f>
        <v>0.4889196675900277</v>
      </c>
      <c r="G29" s="32">
        <f>1759/3481</f>
        <v>0.50531456478023562</v>
      </c>
      <c r="H29" s="86">
        <f>1698/3245</f>
        <v>0.52326656394453008</v>
      </c>
      <c r="I29" s="86">
        <f>1648/3163</f>
        <v>0.52102434397723685</v>
      </c>
      <c r="J29" s="61">
        <f>1531/3009</f>
        <v>0.50880691259554667</v>
      </c>
      <c r="K29" s="61">
        <f>1362/2785</f>
        <v>0.48904847396768403</v>
      </c>
      <c r="L29" s="61">
        <f>1257/2537</f>
        <v>0.49546708711076076</v>
      </c>
      <c r="M29" s="61">
        <f>1198/2402</f>
        <v>0.49875104079933391</v>
      </c>
      <c r="N29" s="61">
        <f>1095/2106</f>
        <v>0.51994301994301995</v>
      </c>
      <c r="O29" s="61">
        <f>882/1801</f>
        <v>0.48972792892837314</v>
      </c>
      <c r="P29" s="61">
        <f>722/1574</f>
        <v>0.45870393900889456</v>
      </c>
      <c r="Q29" s="61">
        <f>585/1419</f>
        <v>0.41226215644820297</v>
      </c>
      <c r="R29" s="61">
        <f>505/1345</f>
        <v>0.37546468401486988</v>
      </c>
      <c r="S29" s="160" t="s">
        <v>142</v>
      </c>
      <c r="T29" s="160" t="s">
        <v>142</v>
      </c>
      <c r="U29" s="160" t="s">
        <v>142</v>
      </c>
      <c r="V29" s="160" t="s">
        <v>142</v>
      </c>
      <c r="W29" s="160" t="s">
        <v>142</v>
      </c>
      <c r="X29" s="160" t="s">
        <v>142</v>
      </c>
      <c r="Y29" s="160" t="s">
        <v>142</v>
      </c>
      <c r="Z29" s="160" t="s">
        <v>142</v>
      </c>
      <c r="AA29" s="160" t="s">
        <v>142</v>
      </c>
      <c r="AB29" s="160" t="s">
        <v>142</v>
      </c>
      <c r="AC29" s="160" t="s">
        <v>142</v>
      </c>
      <c r="AD29" s="160" t="s">
        <v>142</v>
      </c>
      <c r="AE29" s="160" t="s">
        <v>142</v>
      </c>
      <c r="AF29" s="160" t="s">
        <v>142</v>
      </c>
      <c r="AG29" s="160" t="s">
        <v>142</v>
      </c>
      <c r="AH29" s="160" t="s">
        <v>142</v>
      </c>
      <c r="AI29" s="160" t="s">
        <v>142</v>
      </c>
      <c r="AJ29" s="160" t="s">
        <v>142</v>
      </c>
      <c r="AK29" s="160" t="s">
        <v>142</v>
      </c>
      <c r="AL29" s="160" t="s">
        <v>142</v>
      </c>
      <c r="AM29" s="160" t="s">
        <v>142</v>
      </c>
      <c r="AN29" s="160" t="s">
        <v>142</v>
      </c>
      <c r="AO29" s="160" t="s">
        <v>142</v>
      </c>
      <c r="AP29" s="160" t="s">
        <v>142</v>
      </c>
      <c r="AQ29" s="160" t="s">
        <v>142</v>
      </c>
      <c r="AR29" s="160" t="s">
        <v>142</v>
      </c>
      <c r="AS29" s="160" t="s">
        <v>142</v>
      </c>
      <c r="AT29" s="160" t="s">
        <v>142</v>
      </c>
      <c r="AU29" s="160" t="s">
        <v>142</v>
      </c>
      <c r="AV29" s="160" t="s">
        <v>142</v>
      </c>
      <c r="AW29" s="160" t="s">
        <v>142</v>
      </c>
      <c r="AX29" s="160" t="s">
        <v>142</v>
      </c>
      <c r="AY29" s="160" t="s">
        <v>142</v>
      </c>
      <c r="AZ29" s="160" t="s">
        <v>142</v>
      </c>
      <c r="BA29" s="160" t="s">
        <v>142</v>
      </c>
      <c r="BB29" s="160" t="s">
        <v>142</v>
      </c>
      <c r="BC29" s="160" t="s">
        <v>142</v>
      </c>
      <c r="BD29" s="160" t="s">
        <v>142</v>
      </c>
      <c r="BE29" s="160" t="s">
        <v>142</v>
      </c>
      <c r="BF29" s="160" t="s">
        <v>142</v>
      </c>
      <c r="BG29" s="160" t="s">
        <v>142</v>
      </c>
      <c r="BH29" s="160" t="s">
        <v>142</v>
      </c>
      <c r="BI29" s="160" t="s">
        <v>142</v>
      </c>
      <c r="BJ29" s="160" t="s">
        <v>142</v>
      </c>
      <c r="BK29" s="160" t="s">
        <v>142</v>
      </c>
      <c r="BL29" s="160" t="s">
        <v>142</v>
      </c>
      <c r="BM29" s="160" t="s">
        <v>142</v>
      </c>
      <c r="BN29" s="160" t="s">
        <v>142</v>
      </c>
      <c r="BO29" s="159" t="s">
        <v>142</v>
      </c>
    </row>
    <row r="30" spans="1:67" x14ac:dyDescent="0.25">
      <c r="D30" s="166"/>
      <c r="E30"/>
      <c r="F30" s="166"/>
    </row>
    <row r="31" spans="1:67" x14ac:dyDescent="0.25">
      <c r="A31" s="146" t="s">
        <v>324</v>
      </c>
      <c r="D31" s="166"/>
      <c r="E31"/>
      <c r="F31" s="166"/>
    </row>
    <row r="32" spans="1:67" s="14" customFormat="1" ht="30" customHeight="1" x14ac:dyDescent="0.25">
      <c r="A32" s="266" t="s">
        <v>407</v>
      </c>
      <c r="B32" s="14" t="s">
        <v>189</v>
      </c>
    </row>
    <row r="33" spans="1:6" s="14" customFormat="1" ht="30" customHeight="1" x14ac:dyDescent="0.25">
      <c r="A33" s="266" t="s">
        <v>408</v>
      </c>
      <c r="B33" s="14" t="s">
        <v>189</v>
      </c>
    </row>
    <row r="34" spans="1:6" ht="30" customHeight="1" x14ac:dyDescent="0.25">
      <c r="A34" s="200" t="s">
        <v>58</v>
      </c>
      <c r="B34" s="148" t="s">
        <v>305</v>
      </c>
      <c r="D34" s="166"/>
      <c r="E34"/>
      <c r="F34" s="166"/>
    </row>
    <row r="35" spans="1:6" ht="30" x14ac:dyDescent="0.25">
      <c r="B35" s="148" t="s">
        <v>304</v>
      </c>
      <c r="D35" s="166"/>
      <c r="E35"/>
      <c r="F35" s="166"/>
    </row>
    <row r="36" spans="1:6" ht="30" customHeight="1" x14ac:dyDescent="0.25">
      <c r="A36" s="231"/>
      <c r="B36" s="148" t="s">
        <v>306</v>
      </c>
      <c r="D36" s="166"/>
      <c r="E36"/>
      <c r="F36" s="166"/>
    </row>
  </sheetData>
  <mergeCells count="24">
    <mergeCell ref="U23:U24"/>
    <mergeCell ref="V23:V24"/>
    <mergeCell ref="W23:W24"/>
    <mergeCell ref="B5:C5"/>
    <mergeCell ref="B6:C6"/>
    <mergeCell ref="B7:C7"/>
    <mergeCell ref="B8:C8"/>
    <mergeCell ref="B9:C9"/>
    <mergeCell ref="B22:B25"/>
    <mergeCell ref="B26:B29"/>
    <mergeCell ref="B20:C20"/>
    <mergeCell ref="B21:C21"/>
    <mergeCell ref="B13:C13"/>
    <mergeCell ref="B14:C14"/>
    <mergeCell ref="B15:C15"/>
    <mergeCell ref="B16:C16"/>
    <mergeCell ref="AC22:AC24"/>
    <mergeCell ref="AD22:AD24"/>
    <mergeCell ref="AE22:AE24"/>
    <mergeCell ref="X23:X24"/>
    <mergeCell ref="Y23:Y24"/>
    <mergeCell ref="Z23:Z24"/>
    <mergeCell ref="AA23:AA24"/>
    <mergeCell ref="AB23:AB24"/>
  </mergeCells>
  <pageMargins left="0.7" right="0.7" top="0.78740157499999996" bottom="0.78740157499999996" header="0.3" footer="0.3"/>
  <pageSetup paperSize="9" orientation="landscape" r:id="rId1"/>
  <ignoredErrors>
    <ignoredError sqref="E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F24" sqref="F24"/>
    </sheetView>
  </sheetViews>
  <sheetFormatPr defaultRowHeight="15" x14ac:dyDescent="0.25"/>
  <cols>
    <col min="2" max="2" width="28.42578125" customWidth="1"/>
    <col min="3" max="3" width="37.5703125" customWidth="1"/>
    <col min="4" max="4" width="9.140625" customWidth="1"/>
    <col min="5" max="5" width="9.140625" style="166"/>
    <col min="18" max="19" width="10.140625" bestFit="1" customWidth="1"/>
  </cols>
  <sheetData>
    <row r="1" spans="1:31" ht="18.75" x14ac:dyDescent="0.3">
      <c r="A1" s="9">
        <v>6</v>
      </c>
      <c r="B1" s="9" t="s">
        <v>203</v>
      </c>
      <c r="D1" s="166"/>
      <c r="E1"/>
      <c r="F1" s="166"/>
    </row>
    <row r="2" spans="1:31" x14ac:dyDescent="0.25">
      <c r="D2" s="166"/>
      <c r="E2"/>
      <c r="F2" s="166"/>
    </row>
    <row r="3" spans="1:31" ht="15.75" thickBot="1" x14ac:dyDescent="0.3">
      <c r="B3" s="7" t="s">
        <v>1</v>
      </c>
      <c r="D3" s="6">
        <v>2016</v>
      </c>
      <c r="E3" s="6">
        <v>2015</v>
      </c>
      <c r="F3" s="6">
        <v>2014</v>
      </c>
      <c r="G3" s="6">
        <v>2013</v>
      </c>
      <c r="H3" s="6">
        <v>2012</v>
      </c>
      <c r="I3" s="6">
        <v>2011</v>
      </c>
      <c r="J3" s="6">
        <v>2010</v>
      </c>
      <c r="K3" s="6">
        <v>2009</v>
      </c>
      <c r="L3" s="6">
        <v>2008</v>
      </c>
      <c r="M3" s="6">
        <v>2007</v>
      </c>
      <c r="N3" s="6">
        <v>2006</v>
      </c>
      <c r="O3" s="6">
        <v>2005</v>
      </c>
      <c r="P3" s="6">
        <v>2004</v>
      </c>
      <c r="Q3" s="6">
        <v>2003</v>
      </c>
      <c r="R3" s="6">
        <v>2002</v>
      </c>
      <c r="S3" s="6">
        <v>2001</v>
      </c>
      <c r="T3" s="6">
        <v>2000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" customHeight="1" x14ac:dyDescent="0.25">
      <c r="A4" s="123" t="s">
        <v>215</v>
      </c>
      <c r="B4" s="352" t="s">
        <v>204</v>
      </c>
      <c r="C4" s="127" t="s">
        <v>205</v>
      </c>
      <c r="D4" s="46">
        <f>31520/311367</f>
        <v>0.10123102319770561</v>
      </c>
      <c r="E4" s="46">
        <f>34795/326909</f>
        <v>0.10643634772979636</v>
      </c>
      <c r="F4" s="46">
        <v>0.11360947086275944</v>
      </c>
      <c r="G4" s="46">
        <v>0.11813610495677483</v>
      </c>
      <c r="H4" s="46">
        <v>0.12689510742769264</v>
      </c>
      <c r="I4" s="46">
        <v>0.13703937015906698</v>
      </c>
      <c r="J4" s="46">
        <v>0.14478900982348039</v>
      </c>
      <c r="K4" s="46">
        <v>0.1453624678663239</v>
      </c>
      <c r="L4" s="46">
        <v>0.13456830710961254</v>
      </c>
      <c r="M4" s="46">
        <v>0.12008489852881317</v>
      </c>
      <c r="N4" s="46">
        <v>9.923586863013005E-2</v>
      </c>
      <c r="O4" s="46">
        <v>8.4148342632097139E-2</v>
      </c>
      <c r="P4" s="46">
        <v>6.8133063419645284E-2</v>
      </c>
      <c r="Q4" s="46">
        <v>5.311056220714104E-2</v>
      </c>
      <c r="R4" s="46">
        <v>3.8300829328997449E-2</v>
      </c>
      <c r="S4" s="46">
        <f>3499/203453</f>
        <v>1.7198075231134462E-2</v>
      </c>
      <c r="T4" s="47">
        <f>2048/201818</f>
        <v>1.0147756889871072E-2</v>
      </c>
    </row>
    <row r="5" spans="1:31" ht="19.5" customHeight="1" x14ac:dyDescent="0.25">
      <c r="A5" s="221" t="s">
        <v>216</v>
      </c>
      <c r="B5" s="353"/>
      <c r="C5" s="72" t="s">
        <v>143</v>
      </c>
      <c r="D5" s="18">
        <f>23159/180893</f>
        <v>0.12802596009795847</v>
      </c>
      <c r="E5" s="18">
        <f>25707/193737</f>
        <v>0.13269019340652535</v>
      </c>
      <c r="F5" s="18">
        <v>0.13480907475610515</v>
      </c>
      <c r="G5" s="18">
        <v>0.14000897949385882</v>
      </c>
      <c r="H5" s="18">
        <v>0.15173919136413244</v>
      </c>
      <c r="I5" s="18">
        <v>0.16594740142377631</v>
      </c>
      <c r="J5" s="18">
        <v>0.17555094819926192</v>
      </c>
      <c r="K5" s="18">
        <v>0.18190380663470007</v>
      </c>
      <c r="L5" s="18">
        <v>0.17325689306746922</v>
      </c>
      <c r="M5" s="18">
        <v>0.16104400015291104</v>
      </c>
      <c r="N5" s="18">
        <v>0.14408026024438916</v>
      </c>
      <c r="O5" s="18">
        <v>0.13785505673153964</v>
      </c>
      <c r="P5" s="18">
        <v>0.13494552390805342</v>
      </c>
      <c r="Q5" s="18">
        <v>0.13704006722094464</v>
      </c>
      <c r="R5" s="18">
        <v>0.13320763997048937</v>
      </c>
      <c r="S5" s="21">
        <f>3354/41173</f>
        <v>8.1461151725645442E-2</v>
      </c>
      <c r="T5" s="27">
        <f>1999/35070</f>
        <v>5.7000285143997721E-2</v>
      </c>
    </row>
    <row r="6" spans="1:31" ht="30.75" customHeight="1" x14ac:dyDescent="0.25">
      <c r="A6" s="221" t="s">
        <v>350</v>
      </c>
      <c r="B6" s="353"/>
      <c r="C6" s="72" t="s">
        <v>144</v>
      </c>
      <c r="D6" s="18">
        <f>8320/80142</f>
        <v>0.10381572708442514</v>
      </c>
      <c r="E6" s="18">
        <f>9078/81921</f>
        <v>0.11081407697659941</v>
      </c>
      <c r="F6" s="18">
        <v>0.13040567061485536</v>
      </c>
      <c r="G6" s="18">
        <v>0.13510781671159031</v>
      </c>
      <c r="H6" s="18">
        <v>0.1398786456141905</v>
      </c>
      <c r="I6" s="18">
        <v>0.14739484547584514</v>
      </c>
      <c r="J6" s="18">
        <v>0.15463881916779884</v>
      </c>
      <c r="K6" s="18">
        <v>0.1493328321744033</v>
      </c>
      <c r="L6" s="18">
        <v>0.14342922278549358</v>
      </c>
      <c r="M6" s="18">
        <v>0.14570970173776893</v>
      </c>
      <c r="N6" s="18">
        <v>0.13576929469776719</v>
      </c>
      <c r="O6" s="18">
        <v>0.12033040013282417</v>
      </c>
      <c r="P6" s="18">
        <v>7.5627820854067815E-2</v>
      </c>
      <c r="Q6" s="18">
        <v>2.903225806451613E-2</v>
      </c>
      <c r="R6" s="18">
        <v>1.062921871363178E-2</v>
      </c>
      <c r="S6" s="21">
        <f>145/159277</f>
        <v>9.1036370599647154E-4</v>
      </c>
      <c r="T6" s="27">
        <f>39/154811</f>
        <v>2.5192008319822233E-4</v>
      </c>
    </row>
    <row r="7" spans="1:31" ht="33" customHeight="1" x14ac:dyDescent="0.25">
      <c r="A7" s="221" t="s">
        <v>218</v>
      </c>
      <c r="B7" s="347" t="s">
        <v>97</v>
      </c>
      <c r="C7" s="347"/>
      <c r="D7" s="97">
        <f>12412/23519</f>
        <v>0.52774352651048084</v>
      </c>
      <c r="E7" s="97">
        <f>14057/25707</f>
        <v>0.54681604232310266</v>
      </c>
      <c r="F7" s="97">
        <v>0.53648571834588599</v>
      </c>
      <c r="G7" s="18">
        <v>0.51695453390906787</v>
      </c>
      <c r="H7" s="18">
        <v>0.47959811933281093</v>
      </c>
      <c r="I7" s="18">
        <v>0.43441752488207258</v>
      </c>
      <c r="J7" s="18">
        <v>0.4082079343365253</v>
      </c>
      <c r="K7" s="18">
        <v>0.39311411471992469</v>
      </c>
      <c r="L7" s="18">
        <v>0.37632659191029233</v>
      </c>
      <c r="M7" s="18">
        <v>0.39264732063379026</v>
      </c>
      <c r="N7" s="18">
        <v>0.39342769324175614</v>
      </c>
      <c r="O7" s="18">
        <v>0.40585891727208812</v>
      </c>
      <c r="P7" s="18">
        <v>0.44166267369429801</v>
      </c>
      <c r="Q7" s="18">
        <v>0.48842275110931826</v>
      </c>
      <c r="R7" s="18">
        <v>0.54363076923076925</v>
      </c>
      <c r="S7" s="3">
        <f>2060/3354</f>
        <v>0.61419200954084674</v>
      </c>
      <c r="T7" s="27">
        <f>1148/1999</f>
        <v>0.5742871435717859</v>
      </c>
    </row>
    <row r="8" spans="1:31" ht="32.25" customHeight="1" thickBot="1" x14ac:dyDescent="0.3">
      <c r="A8" s="308" t="s">
        <v>219</v>
      </c>
      <c r="B8" s="349" t="s">
        <v>99</v>
      </c>
      <c r="C8" s="349"/>
      <c r="D8" s="98">
        <f>3132/8320</f>
        <v>0.37644230769230769</v>
      </c>
      <c r="E8" s="98">
        <f>3490/9078</f>
        <v>0.38444591319673938</v>
      </c>
      <c r="F8" s="98">
        <v>0.33843838526912179</v>
      </c>
      <c r="G8" s="32">
        <v>0.33433083956774728</v>
      </c>
      <c r="H8" s="32">
        <v>0.31196073775033645</v>
      </c>
      <c r="I8" s="32">
        <v>0.26750435243357806</v>
      </c>
      <c r="J8" s="32">
        <v>0.24465788102151739</v>
      </c>
      <c r="K8" s="32">
        <v>0.23584193304807449</v>
      </c>
      <c r="L8" s="32">
        <v>0.21917808219178081</v>
      </c>
      <c r="M8" s="32">
        <v>0.20602281772353409</v>
      </c>
      <c r="N8" s="32">
        <v>0.21322179147112835</v>
      </c>
      <c r="O8" s="32">
        <v>0.21593652983787512</v>
      </c>
      <c r="P8" s="32">
        <v>0.25554705432287683</v>
      </c>
      <c r="Q8" s="32">
        <v>0.5</v>
      </c>
      <c r="R8" s="32">
        <v>0.54014598540145986</v>
      </c>
      <c r="S8" s="160" t="s">
        <v>142</v>
      </c>
      <c r="T8" s="159" t="s">
        <v>142</v>
      </c>
    </row>
    <row r="9" spans="1:31" x14ac:dyDescent="0.25">
      <c r="D9" s="166"/>
      <c r="E9"/>
      <c r="F9" s="166"/>
    </row>
    <row r="10" spans="1:31" ht="41.25" customHeight="1" x14ac:dyDescent="0.25">
      <c r="A10" s="146" t="s">
        <v>324</v>
      </c>
      <c r="D10" s="166"/>
      <c r="E10"/>
      <c r="F10" s="166"/>
    </row>
    <row r="11" spans="1:31" ht="45" x14ac:dyDescent="0.25">
      <c r="A11" s="238" t="s">
        <v>217</v>
      </c>
      <c r="B11" s="14" t="s">
        <v>273</v>
      </c>
      <c r="D11" s="166"/>
      <c r="E11"/>
      <c r="F11" s="166"/>
    </row>
  </sheetData>
  <mergeCells count="3">
    <mergeCell ref="B7:C7"/>
    <mergeCell ref="B8:C8"/>
    <mergeCell ref="B4:B6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D9"/>
  <sheetViews>
    <sheetView workbookViewId="0">
      <selection activeCell="F23" sqref="F23"/>
    </sheetView>
  </sheetViews>
  <sheetFormatPr defaultRowHeight="15" x14ac:dyDescent="0.25"/>
  <cols>
    <col min="2" max="2" width="49.7109375" style="5" customWidth="1"/>
    <col min="4" max="4" width="9.140625" style="166"/>
    <col min="8" max="8" width="10" bestFit="1" customWidth="1"/>
    <col min="9" max="10" width="9.28515625" bestFit="1" customWidth="1"/>
    <col min="11" max="11" width="10" bestFit="1" customWidth="1"/>
    <col min="12" max="12" width="9.28515625" bestFit="1" customWidth="1"/>
  </cols>
  <sheetData>
    <row r="1" spans="1:30" ht="18.75" x14ac:dyDescent="0.3">
      <c r="A1" s="269" t="s">
        <v>409</v>
      </c>
      <c r="B1" s="9" t="s">
        <v>79</v>
      </c>
      <c r="C1" s="9"/>
      <c r="D1" s="6"/>
      <c r="E1" s="6"/>
      <c r="F1" s="6"/>
      <c r="G1" s="6"/>
    </row>
    <row r="2" spans="1:30" x14ac:dyDescent="0.25">
      <c r="A2" s="6"/>
      <c r="B2" s="7"/>
      <c r="C2" s="7"/>
      <c r="D2" s="6"/>
      <c r="E2" s="6"/>
      <c r="F2" s="6"/>
      <c r="G2" s="6"/>
    </row>
    <row r="3" spans="1:30" ht="15.75" thickBot="1" x14ac:dyDescent="0.3">
      <c r="A3" s="6"/>
      <c r="B3" s="7" t="s">
        <v>1</v>
      </c>
      <c r="C3" s="7">
        <v>2016</v>
      </c>
      <c r="D3" s="6">
        <v>2015</v>
      </c>
      <c r="E3" s="6">
        <v>2014</v>
      </c>
      <c r="F3" s="6">
        <v>2013</v>
      </c>
      <c r="G3" s="6">
        <v>2012</v>
      </c>
      <c r="H3" s="6">
        <v>2011</v>
      </c>
      <c r="I3" s="6">
        <v>2010</v>
      </c>
      <c r="J3" s="6">
        <v>2009</v>
      </c>
      <c r="K3" s="6">
        <v>2008</v>
      </c>
      <c r="L3" s="6">
        <v>2007</v>
      </c>
      <c r="M3" s="6">
        <v>2006</v>
      </c>
      <c r="N3" s="6">
        <v>2005</v>
      </c>
      <c r="O3" s="6">
        <v>2004</v>
      </c>
      <c r="P3" s="6">
        <v>2003</v>
      </c>
      <c r="Q3" s="6">
        <v>2002</v>
      </c>
      <c r="R3" s="6">
        <v>2001</v>
      </c>
      <c r="S3" s="6">
        <v>2000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30" x14ac:dyDescent="0.25">
      <c r="A4" s="123" t="s">
        <v>80</v>
      </c>
      <c r="B4" s="42" t="s">
        <v>83</v>
      </c>
      <c r="C4" s="390"/>
      <c r="D4" s="26">
        <v>21817</v>
      </c>
      <c r="E4" s="26">
        <v>17736</v>
      </c>
      <c r="F4" s="80">
        <v>15097</v>
      </c>
      <c r="G4" s="26">
        <v>16641</v>
      </c>
      <c r="H4" s="26">
        <v>17106</v>
      </c>
      <c r="I4" s="26">
        <v>11406</v>
      </c>
      <c r="J4" s="26">
        <v>1017</v>
      </c>
      <c r="K4" s="26">
        <v>1106</v>
      </c>
      <c r="L4" s="26">
        <v>18664</v>
      </c>
      <c r="M4" s="26">
        <v>893</v>
      </c>
      <c r="N4" s="99" t="s">
        <v>142</v>
      </c>
      <c r="O4" s="99" t="s">
        <v>142</v>
      </c>
      <c r="P4" s="99" t="s">
        <v>142</v>
      </c>
      <c r="Q4" s="99" t="s">
        <v>142</v>
      </c>
      <c r="R4" s="99" t="s">
        <v>142</v>
      </c>
      <c r="S4" s="70" t="s">
        <v>142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30" x14ac:dyDescent="0.25">
      <c r="A5" s="221" t="s">
        <v>81</v>
      </c>
      <c r="B5" s="40" t="s">
        <v>84</v>
      </c>
      <c r="C5" s="391"/>
      <c r="D5" s="23">
        <v>16539</v>
      </c>
      <c r="E5" s="23">
        <v>17430</v>
      </c>
      <c r="F5" s="23">
        <v>11807</v>
      </c>
      <c r="G5" s="16">
        <v>17700</v>
      </c>
      <c r="H5" s="16">
        <v>16520</v>
      </c>
      <c r="I5" s="16">
        <v>15483</v>
      </c>
      <c r="J5" s="16">
        <v>529</v>
      </c>
      <c r="K5" s="16">
        <v>555</v>
      </c>
      <c r="L5" s="16">
        <v>15971</v>
      </c>
      <c r="M5" s="16">
        <v>366</v>
      </c>
      <c r="N5" s="25" t="s">
        <v>142</v>
      </c>
      <c r="O5" s="25" t="s">
        <v>142</v>
      </c>
      <c r="P5" s="25" t="s">
        <v>142</v>
      </c>
      <c r="Q5" s="25" t="s">
        <v>142</v>
      </c>
      <c r="R5" s="25" t="s">
        <v>142</v>
      </c>
      <c r="S5" s="31" t="s">
        <v>142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15.75" thickBot="1" x14ac:dyDescent="0.3">
      <c r="A6" s="308" t="s">
        <v>82</v>
      </c>
      <c r="B6" s="44" t="s">
        <v>85</v>
      </c>
      <c r="C6" s="394"/>
      <c r="D6" s="100">
        <v>45414</v>
      </c>
      <c r="E6" s="100">
        <v>41345</v>
      </c>
      <c r="F6" s="100">
        <v>37634</v>
      </c>
      <c r="G6" s="101">
        <v>33159</v>
      </c>
      <c r="H6" s="101">
        <v>32227</v>
      </c>
      <c r="I6" s="101">
        <v>24836</v>
      </c>
      <c r="J6" s="101">
        <v>550</v>
      </c>
      <c r="K6" s="101">
        <v>647</v>
      </c>
      <c r="L6" s="101">
        <v>19573</v>
      </c>
      <c r="M6" s="101">
        <v>387</v>
      </c>
      <c r="N6" s="102" t="s">
        <v>142</v>
      </c>
      <c r="O6" s="102" t="s">
        <v>142</v>
      </c>
      <c r="P6" s="102" t="s">
        <v>142</v>
      </c>
      <c r="Q6" s="102" t="s">
        <v>142</v>
      </c>
      <c r="R6" s="102" t="s">
        <v>142</v>
      </c>
      <c r="S6" s="63" t="s">
        <v>142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x14ac:dyDescent="0.25">
      <c r="C7" s="14"/>
      <c r="D7"/>
      <c r="E7" s="166"/>
      <c r="R7" s="155"/>
    </row>
    <row r="8" spans="1:30" x14ac:dyDescent="0.25">
      <c r="A8" s="146" t="s">
        <v>324</v>
      </c>
      <c r="C8" s="14"/>
      <c r="D8"/>
      <c r="E8" s="166"/>
      <c r="R8" s="155"/>
    </row>
    <row r="9" spans="1:30" x14ac:dyDescent="0.25">
      <c r="A9" s="268">
        <v>7</v>
      </c>
      <c r="B9" s="5" t="s">
        <v>189</v>
      </c>
      <c r="C9" s="14"/>
      <c r="D9"/>
      <c r="E9" s="166"/>
      <c r="R9" s="155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4"/>
  <sheetViews>
    <sheetView topLeftCell="A24" zoomScale="120" zoomScaleNormal="120" workbookViewId="0">
      <selection activeCell="E26" sqref="E26"/>
    </sheetView>
  </sheetViews>
  <sheetFormatPr defaultRowHeight="15" x14ac:dyDescent="0.25"/>
  <cols>
    <col min="2" max="2" width="32.28515625" customWidth="1"/>
    <col min="3" max="3" width="42.7109375" customWidth="1"/>
    <col min="4" max="4" width="50.7109375" customWidth="1"/>
    <col min="5" max="5" width="48.5703125" customWidth="1"/>
    <col min="6" max="6" width="30" customWidth="1"/>
    <col min="7" max="7" width="26.5703125" customWidth="1"/>
  </cols>
  <sheetData>
    <row r="1" spans="1:5" s="166" customFormat="1" x14ac:dyDescent="0.25"/>
    <row r="2" spans="1:5" s="166" customFormat="1" ht="18.75" x14ac:dyDescent="0.3">
      <c r="B2" s="9" t="s">
        <v>309</v>
      </c>
      <c r="E2" s="9" t="s">
        <v>317</v>
      </c>
    </row>
    <row r="3" spans="1:5" s="166" customFormat="1" x14ac:dyDescent="0.25"/>
    <row r="4" spans="1:5" s="166" customFormat="1" x14ac:dyDescent="0.25">
      <c r="B4" s="166" t="s">
        <v>316</v>
      </c>
      <c r="E4" s="166" t="s">
        <v>320</v>
      </c>
    </row>
    <row r="5" spans="1:5" s="166" customFormat="1" x14ac:dyDescent="0.25">
      <c r="B5" s="378" t="s">
        <v>313</v>
      </c>
      <c r="C5" s="378"/>
      <c r="E5" s="243" t="s">
        <v>321</v>
      </c>
    </row>
    <row r="6" spans="1:5" s="166" customFormat="1" ht="15" customHeight="1" x14ac:dyDescent="0.25">
      <c r="B6" s="378" t="s">
        <v>310</v>
      </c>
      <c r="C6" s="378"/>
    </row>
    <row r="7" spans="1:5" s="166" customFormat="1" x14ac:dyDescent="0.25">
      <c r="B7" s="378" t="s">
        <v>311</v>
      </c>
      <c r="C7" s="378"/>
    </row>
    <row r="8" spans="1:5" s="166" customFormat="1" x14ac:dyDescent="0.25">
      <c r="B8" s="378" t="s">
        <v>417</v>
      </c>
      <c r="C8" s="378"/>
    </row>
    <row r="9" spans="1:5" s="166" customFormat="1" x14ac:dyDescent="0.25">
      <c r="B9" s="249" t="s">
        <v>351</v>
      </c>
      <c r="C9" s="229"/>
    </row>
    <row r="10" spans="1:5" s="166" customFormat="1" x14ac:dyDescent="0.25">
      <c r="B10" s="271" t="s">
        <v>418</v>
      </c>
      <c r="C10" s="270"/>
    </row>
    <row r="11" spans="1:5" s="166" customFormat="1" x14ac:dyDescent="0.25">
      <c r="B11" s="379"/>
      <c r="C11" s="379"/>
    </row>
    <row r="13" spans="1:5" ht="18.75" x14ac:dyDescent="0.3">
      <c r="A13" s="9">
        <v>1</v>
      </c>
      <c r="B13" s="9" t="s">
        <v>0</v>
      </c>
    </row>
    <row r="15" spans="1:5" ht="36" customHeight="1" x14ac:dyDescent="0.25">
      <c r="A15" s="10" t="s">
        <v>228</v>
      </c>
      <c r="B15" s="8" t="s">
        <v>229</v>
      </c>
    </row>
    <row r="16" spans="1:5" ht="38.25" customHeight="1" thickBot="1" x14ac:dyDescent="0.3">
      <c r="B16" s="7" t="s">
        <v>1</v>
      </c>
      <c r="C16" s="6" t="s">
        <v>163</v>
      </c>
      <c r="D16" s="6" t="s">
        <v>138</v>
      </c>
      <c r="E16" s="6" t="s">
        <v>141</v>
      </c>
    </row>
    <row r="17" spans="1:6" ht="71.25" customHeight="1" x14ac:dyDescent="0.25">
      <c r="A17" s="33" t="s">
        <v>235</v>
      </c>
      <c r="B17" s="138" t="s">
        <v>2</v>
      </c>
      <c r="C17" s="103" t="s">
        <v>142</v>
      </c>
      <c r="D17" s="138" t="s">
        <v>285</v>
      </c>
      <c r="E17" s="112" t="s">
        <v>140</v>
      </c>
      <c r="F17" s="148"/>
    </row>
    <row r="18" spans="1:6" ht="45.75" customHeight="1" x14ac:dyDescent="0.25">
      <c r="A18" s="35" t="s">
        <v>236</v>
      </c>
      <c r="B18" s="136" t="s">
        <v>3</v>
      </c>
      <c r="C18" s="22" t="s">
        <v>142</v>
      </c>
      <c r="D18" s="19" t="s">
        <v>139</v>
      </c>
      <c r="E18" s="30"/>
    </row>
    <row r="19" spans="1:6" ht="15.75" thickBot="1" x14ac:dyDescent="0.3">
      <c r="A19" s="39" t="s">
        <v>237</v>
      </c>
      <c r="B19" s="137" t="s">
        <v>4</v>
      </c>
      <c r="C19" s="104" t="s">
        <v>142</v>
      </c>
      <c r="D19" s="78" t="s">
        <v>139</v>
      </c>
      <c r="E19" s="111"/>
    </row>
    <row r="20" spans="1:6" x14ac:dyDescent="0.25">
      <c r="A20" s="93"/>
      <c r="B20" s="136"/>
    </row>
    <row r="21" spans="1:6" x14ac:dyDescent="0.25">
      <c r="B21" s="14"/>
    </row>
    <row r="22" spans="1:6" ht="31.5" x14ac:dyDescent="0.25">
      <c r="A22" s="139" t="s">
        <v>230</v>
      </c>
      <c r="B22" s="8" t="s">
        <v>231</v>
      </c>
    </row>
    <row r="23" spans="1:6" ht="15.75" thickBot="1" x14ac:dyDescent="0.3">
      <c r="B23" s="7" t="s">
        <v>1</v>
      </c>
      <c r="C23" s="6" t="s">
        <v>163</v>
      </c>
      <c r="D23" s="6" t="s">
        <v>138</v>
      </c>
      <c r="E23" s="6" t="s">
        <v>141</v>
      </c>
      <c r="F23" s="6" t="s">
        <v>177</v>
      </c>
    </row>
    <row r="24" spans="1:6" ht="240" x14ac:dyDescent="0.25">
      <c r="A24" s="76" t="s">
        <v>238</v>
      </c>
      <c r="B24" s="138" t="s">
        <v>232</v>
      </c>
      <c r="C24" s="274" t="s">
        <v>423</v>
      </c>
      <c r="D24" s="206" t="s">
        <v>424</v>
      </c>
      <c r="E24" s="107" t="s">
        <v>246</v>
      </c>
      <c r="F24" s="77"/>
    </row>
    <row r="25" spans="1:6" ht="45" x14ac:dyDescent="0.25">
      <c r="A25" s="34" t="s">
        <v>239</v>
      </c>
      <c r="B25" s="136" t="s">
        <v>244</v>
      </c>
      <c r="C25" s="22" t="s">
        <v>142</v>
      </c>
      <c r="D25" s="136" t="s">
        <v>312</v>
      </c>
      <c r="E25" s="108" t="s">
        <v>247</v>
      </c>
      <c r="F25" s="41" t="s">
        <v>278</v>
      </c>
    </row>
    <row r="26" spans="1:6" ht="60" x14ac:dyDescent="0.25">
      <c r="A26" s="34" t="s">
        <v>240</v>
      </c>
      <c r="B26" s="136" t="s">
        <v>233</v>
      </c>
      <c r="C26" s="22" t="s">
        <v>142</v>
      </c>
      <c r="D26" s="222" t="s">
        <v>280</v>
      </c>
      <c r="E26" s="108" t="s">
        <v>247</v>
      </c>
      <c r="F26" s="30"/>
    </row>
    <row r="27" spans="1:6" ht="45" x14ac:dyDescent="0.25">
      <c r="A27" s="34" t="s">
        <v>241</v>
      </c>
      <c r="B27" s="136" t="s">
        <v>245</v>
      </c>
      <c r="C27" s="252" t="s">
        <v>142</v>
      </c>
      <c r="D27" s="222" t="s">
        <v>281</v>
      </c>
      <c r="E27" s="108" t="s">
        <v>247</v>
      </c>
      <c r="F27" s="30"/>
    </row>
    <row r="28" spans="1:6" ht="60" x14ac:dyDescent="0.25">
      <c r="A28" s="34" t="s">
        <v>242</v>
      </c>
      <c r="B28" s="204" t="s">
        <v>234</v>
      </c>
      <c r="C28" s="252" t="s">
        <v>142</v>
      </c>
      <c r="D28" s="222" t="s">
        <v>279</v>
      </c>
      <c r="E28" s="108" t="s">
        <v>247</v>
      </c>
      <c r="F28" s="219"/>
    </row>
    <row r="29" spans="1:6" s="166" customFormat="1" ht="60.75" thickBot="1" x14ac:dyDescent="0.3">
      <c r="A29" s="168" t="s">
        <v>248</v>
      </c>
      <c r="B29" s="205" t="s">
        <v>259</v>
      </c>
      <c r="C29" s="104" t="s">
        <v>142</v>
      </c>
      <c r="D29" s="225" t="s">
        <v>282</v>
      </c>
      <c r="E29" s="215" t="s">
        <v>247</v>
      </c>
      <c r="F29" s="111"/>
    </row>
    <row r="31" spans="1:6" ht="18.75" x14ac:dyDescent="0.3">
      <c r="A31" s="9">
        <v>2</v>
      </c>
      <c r="B31" s="9" t="s">
        <v>5</v>
      </c>
    </row>
    <row r="32" spans="1:6" x14ac:dyDescent="0.25">
      <c r="B32" s="5"/>
    </row>
    <row r="33" spans="1:7" ht="15.75" x14ac:dyDescent="0.25">
      <c r="A33" s="10" t="s">
        <v>6</v>
      </c>
      <c r="B33" s="8" t="s">
        <v>7</v>
      </c>
    </row>
    <row r="34" spans="1:7" ht="15.75" thickBot="1" x14ac:dyDescent="0.3">
      <c r="B34" s="7" t="s">
        <v>1</v>
      </c>
      <c r="C34" s="6" t="s">
        <v>163</v>
      </c>
      <c r="D34" s="6" t="s">
        <v>138</v>
      </c>
      <c r="E34" s="6" t="s">
        <v>141</v>
      </c>
      <c r="F34" s="6" t="s">
        <v>177</v>
      </c>
    </row>
    <row r="35" spans="1:7" ht="15.75" x14ac:dyDescent="0.25">
      <c r="A35" s="33" t="s">
        <v>8</v>
      </c>
      <c r="B35" s="42" t="s">
        <v>149</v>
      </c>
      <c r="C35" s="42" t="s">
        <v>162</v>
      </c>
      <c r="D35" s="42" t="s">
        <v>276</v>
      </c>
      <c r="E35" s="214" t="s">
        <v>369</v>
      </c>
      <c r="F35" s="239" t="s">
        <v>367</v>
      </c>
      <c r="G35" s="77"/>
    </row>
    <row r="36" spans="1:7" ht="37.5" customHeight="1" x14ac:dyDescent="0.25">
      <c r="A36" s="35" t="s">
        <v>9</v>
      </c>
      <c r="B36" s="105" t="s">
        <v>432</v>
      </c>
      <c r="C36" s="22" t="s">
        <v>142</v>
      </c>
      <c r="D36" s="222" t="s">
        <v>276</v>
      </c>
      <c r="E36" s="109" t="s">
        <v>369</v>
      </c>
      <c r="F36" s="19" t="s">
        <v>367</v>
      </c>
      <c r="G36" s="380" t="s">
        <v>431</v>
      </c>
    </row>
    <row r="37" spans="1:7" ht="37.5" customHeight="1" x14ac:dyDescent="0.25">
      <c r="A37" s="35" t="s">
        <v>10</v>
      </c>
      <c r="B37" s="105" t="s">
        <v>433</v>
      </c>
      <c r="C37" s="22" t="s">
        <v>142</v>
      </c>
      <c r="D37" s="222" t="s">
        <v>276</v>
      </c>
      <c r="E37" s="109" t="s">
        <v>369</v>
      </c>
      <c r="F37" s="19" t="s">
        <v>367</v>
      </c>
      <c r="G37" s="380"/>
    </row>
    <row r="38" spans="1:7" ht="37.5" customHeight="1" x14ac:dyDescent="0.25">
      <c r="A38" s="35" t="s">
        <v>11</v>
      </c>
      <c r="B38" s="105" t="s">
        <v>434</v>
      </c>
      <c r="C38" s="22" t="s">
        <v>142</v>
      </c>
      <c r="D38" s="222" t="s">
        <v>276</v>
      </c>
      <c r="E38" s="109" t="s">
        <v>369</v>
      </c>
      <c r="F38" s="19" t="s">
        <v>367</v>
      </c>
      <c r="G38" s="380"/>
    </row>
    <row r="39" spans="1:7" ht="37.5" customHeight="1" x14ac:dyDescent="0.25">
      <c r="A39" s="35" t="s">
        <v>12</v>
      </c>
      <c r="B39" s="105" t="s">
        <v>435</v>
      </c>
      <c r="C39" s="22" t="s">
        <v>142</v>
      </c>
      <c r="D39" s="222" t="s">
        <v>276</v>
      </c>
      <c r="E39" s="109" t="s">
        <v>369</v>
      </c>
      <c r="F39" s="19" t="s">
        <v>367</v>
      </c>
      <c r="G39" s="380"/>
    </row>
    <row r="40" spans="1:7" ht="30" customHeight="1" x14ac:dyDescent="0.25">
      <c r="A40" s="35" t="s">
        <v>13</v>
      </c>
      <c r="B40" s="250" t="s">
        <v>145</v>
      </c>
      <c r="C40" s="72" t="s">
        <v>164</v>
      </c>
      <c r="D40" s="222" t="s">
        <v>283</v>
      </c>
      <c r="E40" s="109" t="s">
        <v>366</v>
      </c>
      <c r="F40" s="19" t="s">
        <v>368</v>
      </c>
      <c r="G40" s="30"/>
    </row>
    <row r="41" spans="1:7" x14ac:dyDescent="0.25">
      <c r="A41" s="35" t="s">
        <v>14</v>
      </c>
      <c r="B41" s="105" t="s">
        <v>432</v>
      </c>
      <c r="C41" s="22" t="s">
        <v>142</v>
      </c>
      <c r="D41" s="222" t="s">
        <v>276</v>
      </c>
      <c r="E41" s="109" t="s">
        <v>366</v>
      </c>
      <c r="F41" s="19" t="s">
        <v>368</v>
      </c>
      <c r="G41" s="30"/>
    </row>
    <row r="42" spans="1:7" ht="30" x14ac:dyDescent="0.25">
      <c r="A42" s="35" t="s">
        <v>15</v>
      </c>
      <c r="B42" s="105" t="s">
        <v>433</v>
      </c>
      <c r="C42" s="22" t="s">
        <v>142</v>
      </c>
      <c r="D42" s="222" t="s">
        <v>276</v>
      </c>
      <c r="E42" s="109" t="s">
        <v>366</v>
      </c>
      <c r="F42" s="19" t="s">
        <v>368</v>
      </c>
      <c r="G42" s="30"/>
    </row>
    <row r="43" spans="1:7" ht="30" x14ac:dyDescent="0.25">
      <c r="A43" s="35" t="s">
        <v>16</v>
      </c>
      <c r="B43" s="105" t="s">
        <v>436</v>
      </c>
      <c r="C43" s="22" t="s">
        <v>142</v>
      </c>
      <c r="D43" s="222" t="s">
        <v>276</v>
      </c>
      <c r="E43" s="109" t="s">
        <v>366</v>
      </c>
      <c r="F43" s="19" t="s">
        <v>368</v>
      </c>
      <c r="G43" s="30"/>
    </row>
    <row r="44" spans="1:7" x14ac:dyDescent="0.25">
      <c r="A44" s="35" t="s">
        <v>17</v>
      </c>
      <c r="B44" s="105" t="s">
        <v>435</v>
      </c>
      <c r="C44" s="22" t="s">
        <v>142</v>
      </c>
      <c r="D44" s="222" t="s">
        <v>276</v>
      </c>
      <c r="E44" s="109" t="s">
        <v>366</v>
      </c>
      <c r="F44" s="19" t="s">
        <v>368</v>
      </c>
      <c r="G44" s="30"/>
    </row>
    <row r="45" spans="1:7" ht="45" x14ac:dyDescent="0.25">
      <c r="A45" s="221" t="s">
        <v>18</v>
      </c>
      <c r="B45" s="40" t="s">
        <v>25</v>
      </c>
      <c r="C45" s="254" t="s">
        <v>370</v>
      </c>
      <c r="D45" s="222" t="s">
        <v>275</v>
      </c>
      <c r="E45" s="25" t="s">
        <v>142</v>
      </c>
      <c r="F45" s="53"/>
      <c r="G45" s="30"/>
    </row>
    <row r="46" spans="1:7" ht="75" x14ac:dyDescent="0.25">
      <c r="A46" s="221" t="s">
        <v>86</v>
      </c>
      <c r="B46" s="40" t="s">
        <v>88</v>
      </c>
      <c r="C46" s="72" t="s">
        <v>164</v>
      </c>
      <c r="D46" s="222" t="s">
        <v>275</v>
      </c>
      <c r="E46" s="25" t="s">
        <v>142</v>
      </c>
      <c r="F46" s="53"/>
      <c r="G46" s="30"/>
    </row>
    <row r="47" spans="1:7" ht="75.75" thickBot="1" x14ac:dyDescent="0.3">
      <c r="A47" s="308" t="s">
        <v>87</v>
      </c>
      <c r="B47" s="44" t="s">
        <v>89</v>
      </c>
      <c r="C47" s="106" t="s">
        <v>164</v>
      </c>
      <c r="D47" s="223" t="s">
        <v>275</v>
      </c>
      <c r="E47" s="102" t="s">
        <v>142</v>
      </c>
      <c r="F47" s="78"/>
      <c r="G47" s="111"/>
    </row>
    <row r="48" spans="1:7" ht="30" customHeight="1" x14ac:dyDescent="0.25">
      <c r="B48" s="5"/>
    </row>
    <row r="49" spans="1:7" ht="59.25" customHeight="1" x14ac:dyDescent="0.25">
      <c r="A49" s="10" t="s">
        <v>19</v>
      </c>
      <c r="B49" s="8" t="s">
        <v>101</v>
      </c>
    </row>
    <row r="50" spans="1:7" ht="35.25" customHeight="1" thickBot="1" x14ac:dyDescent="0.3">
      <c r="B50" s="7" t="s">
        <v>1</v>
      </c>
      <c r="C50" s="6" t="s">
        <v>163</v>
      </c>
      <c r="D50" s="6" t="s">
        <v>138</v>
      </c>
      <c r="E50" s="6" t="s">
        <v>141</v>
      </c>
      <c r="F50" s="6" t="s">
        <v>177</v>
      </c>
    </row>
    <row r="51" spans="1:7" ht="45" x14ac:dyDescent="0.25">
      <c r="A51" s="33" t="s">
        <v>20</v>
      </c>
      <c r="B51" s="42" t="s">
        <v>97</v>
      </c>
      <c r="C51" s="95" t="s">
        <v>162</v>
      </c>
      <c r="D51" s="224" t="s">
        <v>276</v>
      </c>
      <c r="E51" s="214" t="s">
        <v>369</v>
      </c>
      <c r="F51" s="77" t="s">
        <v>367</v>
      </c>
    </row>
    <row r="52" spans="1:7" ht="45" x14ac:dyDescent="0.25">
      <c r="A52" s="35" t="s">
        <v>21</v>
      </c>
      <c r="B52" s="40" t="s">
        <v>98</v>
      </c>
      <c r="C52" s="255" t="s">
        <v>162</v>
      </c>
      <c r="D52" s="222" t="s">
        <v>276</v>
      </c>
      <c r="E52" s="109" t="s">
        <v>369</v>
      </c>
      <c r="F52" s="30" t="s">
        <v>367</v>
      </c>
    </row>
    <row r="53" spans="1:7" ht="60" x14ac:dyDescent="0.25">
      <c r="A53" s="35" t="s">
        <v>22</v>
      </c>
      <c r="B53" s="40" t="s">
        <v>99</v>
      </c>
      <c r="C53" s="255" t="s">
        <v>162</v>
      </c>
      <c r="D53" s="222" t="s">
        <v>276</v>
      </c>
      <c r="E53" s="109" t="s">
        <v>369</v>
      </c>
      <c r="F53" s="30" t="s">
        <v>367</v>
      </c>
    </row>
    <row r="54" spans="1:7" ht="45" x14ac:dyDescent="0.25">
      <c r="A54" s="35" t="s">
        <v>23</v>
      </c>
      <c r="B54" s="259" t="s">
        <v>100</v>
      </c>
      <c r="C54" s="255" t="s">
        <v>162</v>
      </c>
      <c r="D54" s="259" t="s">
        <v>276</v>
      </c>
      <c r="E54" s="109" t="s">
        <v>369</v>
      </c>
      <c r="F54" s="30" t="s">
        <v>367</v>
      </c>
    </row>
    <row r="55" spans="1:7" s="166" customFormat="1" ht="45.75" customHeight="1" thickBot="1" x14ac:dyDescent="0.3">
      <c r="A55" s="282" t="s">
        <v>387</v>
      </c>
      <c r="B55" s="260" t="s">
        <v>388</v>
      </c>
      <c r="C55" s="256" t="s">
        <v>162</v>
      </c>
      <c r="D55" s="260" t="s">
        <v>276</v>
      </c>
      <c r="E55" s="110" t="s">
        <v>369</v>
      </c>
      <c r="F55" s="111" t="s">
        <v>367</v>
      </c>
    </row>
    <row r="56" spans="1:7" x14ac:dyDescent="0.25">
      <c r="B56" s="5"/>
    </row>
    <row r="57" spans="1:7" ht="15.75" x14ac:dyDescent="0.25">
      <c r="A57" s="11" t="s">
        <v>120</v>
      </c>
      <c r="B57" s="8" t="s">
        <v>224</v>
      </c>
    </row>
    <row r="58" spans="1:7" ht="15.75" thickBot="1" x14ac:dyDescent="0.3">
      <c r="B58" s="7" t="s">
        <v>1</v>
      </c>
      <c r="C58" s="6" t="s">
        <v>163</v>
      </c>
      <c r="D58" s="6" t="s">
        <v>138</v>
      </c>
      <c r="E58" s="6" t="s">
        <v>141</v>
      </c>
      <c r="F58" s="377" t="s">
        <v>177</v>
      </c>
      <c r="G58" s="377"/>
    </row>
    <row r="59" spans="1:7" ht="30" customHeight="1" x14ac:dyDescent="0.25">
      <c r="A59" s="76" t="s">
        <v>121</v>
      </c>
      <c r="B59" s="129" t="s">
        <v>227</v>
      </c>
      <c r="C59" s="68" t="s">
        <v>162</v>
      </c>
      <c r="D59" s="224" t="s">
        <v>276</v>
      </c>
      <c r="E59" s="214" t="s">
        <v>369</v>
      </c>
      <c r="F59" s="374" t="s">
        <v>404</v>
      </c>
      <c r="G59" s="77" t="s">
        <v>371</v>
      </c>
    </row>
    <row r="60" spans="1:7" ht="75" x14ac:dyDescent="0.25">
      <c r="A60" s="34" t="s">
        <v>136</v>
      </c>
      <c r="B60" s="128" t="s">
        <v>225</v>
      </c>
      <c r="C60" s="40" t="s">
        <v>198</v>
      </c>
      <c r="D60" s="222" t="s">
        <v>276</v>
      </c>
      <c r="E60" s="108" t="s">
        <v>373</v>
      </c>
      <c r="F60" s="375"/>
      <c r="G60" s="30" t="s">
        <v>403</v>
      </c>
    </row>
    <row r="61" spans="1:7" ht="30.75" thickBot="1" x14ac:dyDescent="0.3">
      <c r="A61" s="48" t="s">
        <v>137</v>
      </c>
      <c r="B61" s="44" t="s">
        <v>226</v>
      </c>
      <c r="C61" s="78" t="s">
        <v>165</v>
      </c>
      <c r="D61" s="223" t="s">
        <v>276</v>
      </c>
      <c r="E61" s="110" t="s">
        <v>366</v>
      </c>
      <c r="F61" s="376"/>
      <c r="G61" s="111" t="s">
        <v>372</v>
      </c>
    </row>
    <row r="62" spans="1:7" x14ac:dyDescent="0.25">
      <c r="B62" s="12"/>
    </row>
    <row r="63" spans="1:7" ht="18.75" x14ac:dyDescent="0.3">
      <c r="A63" s="9">
        <v>3</v>
      </c>
      <c r="B63" s="9" t="s">
        <v>95</v>
      </c>
    </row>
    <row r="64" spans="1:7" x14ac:dyDescent="0.25">
      <c r="B64" s="5"/>
    </row>
    <row r="65" spans="1:7" ht="15.75" x14ac:dyDescent="0.25">
      <c r="A65" s="10" t="s">
        <v>116</v>
      </c>
      <c r="B65" s="8" t="s">
        <v>153</v>
      </c>
    </row>
    <row r="66" spans="1:7" ht="15.75" thickBot="1" x14ac:dyDescent="0.3">
      <c r="B66" s="7" t="s">
        <v>1</v>
      </c>
      <c r="C66" s="6" t="s">
        <v>163</v>
      </c>
      <c r="D66" s="6" t="s">
        <v>138</v>
      </c>
      <c r="E66" s="6" t="s">
        <v>141</v>
      </c>
      <c r="F66" s="6" t="s">
        <v>177</v>
      </c>
    </row>
    <row r="67" spans="1:7" ht="75" x14ac:dyDescent="0.25">
      <c r="A67" s="33" t="s">
        <v>117</v>
      </c>
      <c r="B67" s="68" t="s">
        <v>169</v>
      </c>
      <c r="C67" s="257" t="s">
        <v>377</v>
      </c>
      <c r="D67" s="224" t="s">
        <v>283</v>
      </c>
      <c r="E67" s="107" t="s">
        <v>373</v>
      </c>
      <c r="F67" s="43" t="s">
        <v>379</v>
      </c>
    </row>
    <row r="68" spans="1:7" ht="105" x14ac:dyDescent="0.25">
      <c r="A68" s="34" t="s">
        <v>118</v>
      </c>
      <c r="B68" s="40" t="s">
        <v>382</v>
      </c>
      <c r="C68" s="258" t="s">
        <v>378</v>
      </c>
      <c r="D68" s="40" t="s">
        <v>314</v>
      </c>
      <c r="E68" s="108" t="s">
        <v>381</v>
      </c>
      <c r="F68" s="41" t="s">
        <v>380</v>
      </c>
      <c r="G68" s="182"/>
    </row>
    <row r="69" spans="1:7" ht="108" customHeight="1" x14ac:dyDescent="0.25">
      <c r="A69" s="35" t="s">
        <v>119</v>
      </c>
      <c r="B69" s="40" t="s">
        <v>383</v>
      </c>
      <c r="C69" s="40" t="s">
        <v>179</v>
      </c>
      <c r="D69" s="222" t="s">
        <v>277</v>
      </c>
      <c r="E69" s="108" t="s">
        <v>180</v>
      </c>
      <c r="F69" s="41"/>
      <c r="G69" s="182"/>
    </row>
    <row r="70" spans="1:7" ht="75" x14ac:dyDescent="0.25">
      <c r="A70" s="34" t="s">
        <v>154</v>
      </c>
      <c r="B70" s="40" t="s">
        <v>374</v>
      </c>
      <c r="C70" s="40" t="s">
        <v>375</v>
      </c>
      <c r="D70" s="19" t="s">
        <v>181</v>
      </c>
      <c r="E70" s="108" t="s">
        <v>182</v>
      </c>
      <c r="F70" s="30"/>
    </row>
    <row r="71" spans="1:7" ht="65.25" customHeight="1" x14ac:dyDescent="0.25">
      <c r="A71" s="34" t="s">
        <v>155</v>
      </c>
      <c r="B71" s="40" t="s">
        <v>150</v>
      </c>
      <c r="C71" s="40" t="s">
        <v>385</v>
      </c>
      <c r="D71" s="222" t="s">
        <v>276</v>
      </c>
      <c r="E71" s="109" t="s">
        <v>183</v>
      </c>
      <c r="F71" s="30"/>
    </row>
    <row r="72" spans="1:7" ht="90" x14ac:dyDescent="0.25">
      <c r="A72" s="34" t="s">
        <v>156</v>
      </c>
      <c r="B72" s="40" t="s">
        <v>151</v>
      </c>
      <c r="C72" s="40" t="s">
        <v>384</v>
      </c>
      <c r="D72" s="222" t="s">
        <v>276</v>
      </c>
      <c r="E72" s="109" t="s">
        <v>183</v>
      </c>
      <c r="F72" s="30"/>
    </row>
    <row r="73" spans="1:7" ht="45.75" thickBot="1" x14ac:dyDescent="0.3">
      <c r="A73" s="48" t="s">
        <v>170</v>
      </c>
      <c r="B73" s="205" t="s">
        <v>152</v>
      </c>
      <c r="C73" s="261" t="s">
        <v>425</v>
      </c>
      <c r="D73" s="223" t="s">
        <v>276</v>
      </c>
      <c r="E73" s="110" t="s">
        <v>183</v>
      </c>
      <c r="F73" s="111"/>
    </row>
    <row r="74" spans="1:7" x14ac:dyDescent="0.25">
      <c r="A74" s="29"/>
      <c r="B74" s="40"/>
      <c r="D74" s="19"/>
      <c r="E74" s="19"/>
      <c r="F74" s="19"/>
    </row>
    <row r="75" spans="1:7" ht="15.75" x14ac:dyDescent="0.25">
      <c r="A75" s="36" t="s">
        <v>157</v>
      </c>
      <c r="B75" s="37" t="s">
        <v>161</v>
      </c>
      <c r="C75" s="19"/>
      <c r="D75" s="19"/>
      <c r="E75" s="19"/>
      <c r="F75" s="19"/>
    </row>
    <row r="76" spans="1:7" ht="15.75" thickBot="1" x14ac:dyDescent="0.3">
      <c r="A76" s="29"/>
      <c r="B76" s="38" t="s">
        <v>1</v>
      </c>
      <c r="C76" s="20" t="s">
        <v>163</v>
      </c>
      <c r="D76" s="20" t="s">
        <v>138</v>
      </c>
      <c r="E76" s="20" t="s">
        <v>141</v>
      </c>
      <c r="F76" s="119" t="s">
        <v>177</v>
      </c>
    </row>
    <row r="77" spans="1:7" ht="30.75" x14ac:dyDescent="0.25">
      <c r="A77" s="33" t="s">
        <v>171</v>
      </c>
      <c r="B77" s="213" t="s">
        <v>158</v>
      </c>
      <c r="C77" s="99" t="s">
        <v>142</v>
      </c>
      <c r="D77" s="224" t="s">
        <v>284</v>
      </c>
      <c r="E77" s="214" t="s">
        <v>366</v>
      </c>
      <c r="F77" s="77" t="s">
        <v>429</v>
      </c>
    </row>
    <row r="78" spans="1:7" x14ac:dyDescent="0.25">
      <c r="A78" s="35" t="s">
        <v>172</v>
      </c>
      <c r="B78" s="105" t="s">
        <v>159</v>
      </c>
      <c r="C78" s="25" t="s">
        <v>142</v>
      </c>
      <c r="D78" s="222" t="s">
        <v>284</v>
      </c>
      <c r="E78" s="109" t="s">
        <v>366</v>
      </c>
      <c r="F78" s="30" t="s">
        <v>429</v>
      </c>
    </row>
    <row r="79" spans="1:7" x14ac:dyDescent="0.25">
      <c r="A79" s="35" t="s">
        <v>173</v>
      </c>
      <c r="B79" s="105" t="s">
        <v>160</v>
      </c>
      <c r="C79" s="25" t="s">
        <v>142</v>
      </c>
      <c r="D79" s="222" t="s">
        <v>284</v>
      </c>
      <c r="E79" s="109" t="s">
        <v>366</v>
      </c>
      <c r="F79" s="30" t="s">
        <v>429</v>
      </c>
    </row>
    <row r="80" spans="1:7" ht="30" x14ac:dyDescent="0.25">
      <c r="A80" s="35" t="s">
        <v>174</v>
      </c>
      <c r="B80" s="40" t="s">
        <v>24</v>
      </c>
      <c r="C80" s="25" t="s">
        <v>142</v>
      </c>
      <c r="D80" s="19" t="s">
        <v>421</v>
      </c>
      <c r="E80" s="108" t="s">
        <v>265</v>
      </c>
      <c r="F80" s="273" t="s">
        <v>422</v>
      </c>
    </row>
    <row r="81" spans="1:6" ht="45" x14ac:dyDescent="0.25">
      <c r="A81" s="35" t="s">
        <v>175</v>
      </c>
      <c r="B81" s="40" t="s">
        <v>209</v>
      </c>
      <c r="C81" s="72" t="s">
        <v>210</v>
      </c>
      <c r="D81" s="19" t="s">
        <v>211</v>
      </c>
      <c r="E81" s="25" t="s">
        <v>142</v>
      </c>
      <c r="F81" s="30"/>
    </row>
    <row r="82" spans="1:6" ht="60.75" thickBot="1" x14ac:dyDescent="0.3">
      <c r="A82" s="39" t="s">
        <v>176</v>
      </c>
      <c r="B82" s="44" t="s">
        <v>96</v>
      </c>
      <c r="C82" s="102" t="s">
        <v>142</v>
      </c>
      <c r="D82" s="78" t="s">
        <v>275</v>
      </c>
      <c r="E82" s="110" t="s">
        <v>369</v>
      </c>
      <c r="F82" s="111" t="s">
        <v>430</v>
      </c>
    </row>
    <row r="84" spans="1:6" ht="18.75" x14ac:dyDescent="0.3">
      <c r="A84" s="9">
        <v>4</v>
      </c>
      <c r="B84" s="9" t="s">
        <v>220</v>
      </c>
    </row>
    <row r="85" spans="1:6" x14ac:dyDescent="0.25">
      <c r="B85" s="5"/>
    </row>
    <row r="86" spans="1:6" ht="15.75" x14ac:dyDescent="0.25">
      <c r="A86" s="10" t="s">
        <v>27</v>
      </c>
      <c r="B86" s="8" t="s">
        <v>109</v>
      </c>
    </row>
    <row r="87" spans="1:6" ht="15.75" thickBot="1" x14ac:dyDescent="0.3">
      <c r="B87" s="7" t="s">
        <v>1</v>
      </c>
      <c r="C87" s="6" t="s">
        <v>163</v>
      </c>
      <c r="D87" s="6" t="s">
        <v>138</v>
      </c>
      <c r="E87" s="6" t="s">
        <v>141</v>
      </c>
    </row>
    <row r="88" spans="1:6" ht="90" x14ac:dyDescent="0.25">
      <c r="A88" s="33" t="s">
        <v>186</v>
      </c>
      <c r="B88" s="42" t="s">
        <v>200</v>
      </c>
      <c r="C88" s="213" t="s">
        <v>420</v>
      </c>
      <c r="D88" s="68" t="s">
        <v>275</v>
      </c>
      <c r="E88" s="70" t="s">
        <v>142</v>
      </c>
    </row>
    <row r="89" spans="1:6" ht="90" x14ac:dyDescent="0.25">
      <c r="A89" s="34" t="s">
        <v>28</v>
      </c>
      <c r="B89" s="40" t="s">
        <v>110</v>
      </c>
      <c r="C89" s="173" t="s">
        <v>437</v>
      </c>
      <c r="D89" s="19" t="s">
        <v>275</v>
      </c>
      <c r="E89" s="31" t="s">
        <v>142</v>
      </c>
    </row>
    <row r="90" spans="1:6" ht="90" x14ac:dyDescent="0.25">
      <c r="A90" s="34" t="s">
        <v>29</v>
      </c>
      <c r="B90" s="40" t="s">
        <v>111</v>
      </c>
      <c r="C90" s="40" t="s">
        <v>437</v>
      </c>
      <c r="D90" s="19" t="s">
        <v>275</v>
      </c>
      <c r="E90" s="31" t="s">
        <v>142</v>
      </c>
    </row>
    <row r="91" spans="1:6" ht="90" x14ac:dyDescent="0.25">
      <c r="A91" s="34" t="s">
        <v>30</v>
      </c>
      <c r="B91" s="40" t="s">
        <v>112</v>
      </c>
      <c r="C91" s="40" t="s">
        <v>437</v>
      </c>
      <c r="D91" s="19" t="s">
        <v>275</v>
      </c>
      <c r="E91" s="31" t="s">
        <v>142</v>
      </c>
    </row>
    <row r="92" spans="1:6" ht="90.75" thickBot="1" x14ac:dyDescent="0.3">
      <c r="A92" s="48" t="s">
        <v>113</v>
      </c>
      <c r="B92" s="44" t="s">
        <v>114</v>
      </c>
      <c r="C92" s="44" t="s">
        <v>437</v>
      </c>
      <c r="D92" s="78" t="s">
        <v>275</v>
      </c>
      <c r="E92" s="63" t="s">
        <v>142</v>
      </c>
    </row>
    <row r="93" spans="1:6" x14ac:dyDescent="0.25">
      <c r="B93" s="5"/>
    </row>
    <row r="94" spans="1:6" ht="15.75" x14ac:dyDescent="0.25">
      <c r="A94" s="10" t="s">
        <v>35</v>
      </c>
      <c r="B94" s="8" t="s">
        <v>26</v>
      </c>
    </row>
    <row r="95" spans="1:6" ht="15.75" thickBot="1" x14ac:dyDescent="0.3">
      <c r="A95" s="6"/>
      <c r="B95" s="7" t="s">
        <v>1</v>
      </c>
      <c r="C95" s="6" t="s">
        <v>163</v>
      </c>
      <c r="D95" s="6" t="s">
        <v>138</v>
      </c>
      <c r="E95" s="6" t="s">
        <v>141</v>
      </c>
    </row>
    <row r="96" spans="1:6" ht="45" x14ac:dyDescent="0.25">
      <c r="A96" s="33" t="s">
        <v>36</v>
      </c>
      <c r="B96" s="42" t="s">
        <v>31</v>
      </c>
      <c r="C96" s="99" t="s">
        <v>142</v>
      </c>
      <c r="D96" s="68" t="s">
        <v>275</v>
      </c>
      <c r="E96" s="70" t="s">
        <v>142</v>
      </c>
    </row>
    <row r="97" spans="1:7" ht="60" x14ac:dyDescent="0.25">
      <c r="A97" s="35" t="s">
        <v>37</v>
      </c>
      <c r="B97" s="40" t="s">
        <v>32</v>
      </c>
      <c r="C97" s="25" t="s">
        <v>142</v>
      </c>
      <c r="D97" s="19" t="s">
        <v>275</v>
      </c>
      <c r="E97" s="31" t="s">
        <v>142</v>
      </c>
    </row>
    <row r="98" spans="1:7" ht="60" x14ac:dyDescent="0.25">
      <c r="A98" s="35" t="s">
        <v>38</v>
      </c>
      <c r="B98" s="40" t="s">
        <v>33</v>
      </c>
      <c r="C98" s="25" t="s">
        <v>142</v>
      </c>
      <c r="D98" s="19" t="s">
        <v>275</v>
      </c>
      <c r="E98" s="31" t="s">
        <v>142</v>
      </c>
    </row>
    <row r="99" spans="1:7" ht="45.75" thickBot="1" x14ac:dyDescent="0.3">
      <c r="A99" s="39" t="s">
        <v>104</v>
      </c>
      <c r="B99" s="44" t="s">
        <v>34</v>
      </c>
      <c r="C99" s="102" t="s">
        <v>142</v>
      </c>
      <c r="D99" s="78" t="s">
        <v>275</v>
      </c>
      <c r="E99" s="63" t="s">
        <v>142</v>
      </c>
    </row>
    <row r="100" spans="1:7" x14ac:dyDescent="0.25">
      <c r="A100" s="1"/>
      <c r="B100" s="5"/>
    </row>
    <row r="101" spans="1:7" ht="15.75" x14ac:dyDescent="0.25">
      <c r="A101" s="10" t="s">
        <v>39</v>
      </c>
      <c r="B101" s="8" t="s">
        <v>43</v>
      </c>
    </row>
    <row r="102" spans="1:7" ht="15.75" thickBot="1" x14ac:dyDescent="0.3">
      <c r="A102" s="6"/>
      <c r="B102" s="7" t="s">
        <v>1</v>
      </c>
      <c r="C102" s="6" t="s">
        <v>163</v>
      </c>
      <c r="D102" s="6" t="s">
        <v>138</v>
      </c>
      <c r="E102" s="6" t="s">
        <v>141</v>
      </c>
      <c r="F102" s="6" t="s">
        <v>177</v>
      </c>
    </row>
    <row r="103" spans="1:7" ht="60" x14ac:dyDescent="0.25">
      <c r="A103" s="123" t="s">
        <v>40</v>
      </c>
      <c r="B103" s="124" t="s">
        <v>392</v>
      </c>
      <c r="C103" s="117" t="s">
        <v>260</v>
      </c>
      <c r="D103" s="68" t="s">
        <v>213</v>
      </c>
      <c r="E103" s="214" t="s">
        <v>214</v>
      </c>
      <c r="F103" s="77"/>
    </row>
    <row r="104" spans="1:7" s="166" customFormat="1" ht="60" customHeight="1" x14ac:dyDescent="0.25">
      <c r="A104" s="221" t="s">
        <v>41</v>
      </c>
      <c r="B104" s="120" t="s">
        <v>395</v>
      </c>
      <c r="C104" s="259" t="s">
        <v>398</v>
      </c>
      <c r="D104" s="259" t="s">
        <v>396</v>
      </c>
      <c r="E104" s="108" t="s">
        <v>397</v>
      </c>
      <c r="F104" s="30"/>
    </row>
    <row r="105" spans="1:7" ht="105" x14ac:dyDescent="0.25">
      <c r="A105" s="35" t="s">
        <v>42</v>
      </c>
      <c r="B105" s="120" t="s">
        <v>223</v>
      </c>
      <c r="C105" s="115" t="s">
        <v>399</v>
      </c>
      <c r="D105" s="115" t="s">
        <v>115</v>
      </c>
      <c r="E105" s="108" t="s">
        <v>187</v>
      </c>
      <c r="F105" s="41"/>
    </row>
    <row r="106" spans="1:7" ht="105" x14ac:dyDescent="0.25">
      <c r="A106" s="35" t="s">
        <v>131</v>
      </c>
      <c r="B106" s="120" t="s">
        <v>221</v>
      </c>
      <c r="C106" s="115" t="s">
        <v>400</v>
      </c>
      <c r="D106" s="115" t="s">
        <v>115</v>
      </c>
      <c r="E106" s="108" t="s">
        <v>187</v>
      </c>
      <c r="F106" s="30"/>
    </row>
    <row r="107" spans="1:7" ht="105" x14ac:dyDescent="0.25">
      <c r="A107" s="35" t="s">
        <v>212</v>
      </c>
      <c r="B107" s="120" t="s">
        <v>222</v>
      </c>
      <c r="C107" s="115" t="s">
        <v>401</v>
      </c>
      <c r="D107" s="115" t="s">
        <v>115</v>
      </c>
      <c r="E107" s="108" t="s">
        <v>187</v>
      </c>
      <c r="F107" s="30"/>
    </row>
    <row r="108" spans="1:7" ht="120.75" thickBot="1" x14ac:dyDescent="0.3">
      <c r="A108" s="39" t="s">
        <v>394</v>
      </c>
      <c r="B108" s="125" t="s">
        <v>249</v>
      </c>
      <c r="C108" s="174" t="s">
        <v>402</v>
      </c>
      <c r="D108" s="116" t="s">
        <v>115</v>
      </c>
      <c r="E108" s="215" t="s">
        <v>187</v>
      </c>
      <c r="F108" s="272" t="s">
        <v>419</v>
      </c>
    </row>
    <row r="110" spans="1:7" ht="15.75" x14ac:dyDescent="0.25">
      <c r="A110" s="10" t="s">
        <v>105</v>
      </c>
      <c r="B110" s="8" t="s">
        <v>44</v>
      </c>
    </row>
    <row r="111" spans="1:7" ht="15.75" thickBot="1" x14ac:dyDescent="0.3">
      <c r="A111" s="6"/>
      <c r="B111" s="7" t="s">
        <v>1</v>
      </c>
      <c r="C111" s="6" t="s">
        <v>163</v>
      </c>
      <c r="D111" s="6" t="s">
        <v>138</v>
      </c>
      <c r="E111" s="6" t="s">
        <v>141</v>
      </c>
      <c r="F111" s="6" t="s">
        <v>177</v>
      </c>
    </row>
    <row r="112" spans="1:7" ht="45" x14ac:dyDescent="0.25">
      <c r="A112" s="33" t="s">
        <v>106</v>
      </c>
      <c r="B112" s="42" t="s">
        <v>188</v>
      </c>
      <c r="C112" s="99" t="s">
        <v>142</v>
      </c>
      <c r="D112" s="42" t="s">
        <v>315</v>
      </c>
      <c r="E112" s="42" t="s">
        <v>376</v>
      </c>
      <c r="F112" s="43" t="s">
        <v>406</v>
      </c>
      <c r="G112" s="148"/>
    </row>
    <row r="113" spans="1:7" ht="60" x14ac:dyDescent="0.25">
      <c r="A113" s="35" t="s">
        <v>107</v>
      </c>
      <c r="B113" s="40" t="s">
        <v>190</v>
      </c>
      <c r="C113" s="25" t="s">
        <v>142</v>
      </c>
      <c r="D113" s="204" t="s">
        <v>285</v>
      </c>
      <c r="E113" s="108" t="s">
        <v>140</v>
      </c>
      <c r="F113" s="41"/>
      <c r="G113" s="148"/>
    </row>
    <row r="114" spans="1:7" ht="45" x14ac:dyDescent="0.25">
      <c r="A114" s="35" t="s">
        <v>108</v>
      </c>
      <c r="B114" s="179" t="s">
        <v>202</v>
      </c>
      <c r="C114" s="25" t="s">
        <v>142</v>
      </c>
      <c r="D114" s="179" t="s">
        <v>285</v>
      </c>
      <c r="E114" s="108" t="s">
        <v>140</v>
      </c>
      <c r="F114" s="41"/>
      <c r="G114" s="148"/>
    </row>
    <row r="115" spans="1:7" s="166" customFormat="1" ht="30" x14ac:dyDescent="0.25">
      <c r="A115" s="93" t="s">
        <v>263</v>
      </c>
      <c r="B115" s="157" t="s">
        <v>261</v>
      </c>
      <c r="C115" s="25" t="s">
        <v>142</v>
      </c>
      <c r="D115" s="204" t="s">
        <v>285</v>
      </c>
      <c r="E115" s="108" t="s">
        <v>265</v>
      </c>
      <c r="F115" s="41"/>
      <c r="G115" s="148"/>
    </row>
    <row r="116" spans="1:7" s="166" customFormat="1" ht="30.75" thickBot="1" x14ac:dyDescent="0.3">
      <c r="A116" s="203" t="s">
        <v>264</v>
      </c>
      <c r="B116" s="180" t="s">
        <v>262</v>
      </c>
      <c r="C116" s="102" t="s">
        <v>142</v>
      </c>
      <c r="D116" s="205" t="s">
        <v>285</v>
      </c>
      <c r="E116" s="215" t="s">
        <v>265</v>
      </c>
      <c r="F116" s="45"/>
    </row>
    <row r="118" spans="1:7" ht="18.75" x14ac:dyDescent="0.3">
      <c r="A118" s="9">
        <v>5</v>
      </c>
      <c r="B118" s="9" t="s">
        <v>103</v>
      </c>
      <c r="C118" s="13"/>
      <c r="E118" s="13"/>
    </row>
    <row r="119" spans="1:7" x14ac:dyDescent="0.25">
      <c r="B119" s="14"/>
    </row>
    <row r="120" spans="1:7" ht="31.5" x14ac:dyDescent="0.25">
      <c r="A120" s="10" t="s">
        <v>48</v>
      </c>
      <c r="B120" s="8" t="s">
        <v>45</v>
      </c>
    </row>
    <row r="121" spans="1:7" ht="15.75" thickBot="1" x14ac:dyDescent="0.3">
      <c r="A121" s="6"/>
      <c r="B121" s="7" t="s">
        <v>1</v>
      </c>
      <c r="C121" s="6" t="s">
        <v>163</v>
      </c>
      <c r="D121" s="6" t="s">
        <v>138</v>
      </c>
      <c r="E121" s="6" t="s">
        <v>141</v>
      </c>
      <c r="F121" s="6"/>
    </row>
    <row r="122" spans="1:7" ht="30" x14ac:dyDescent="0.25">
      <c r="A122" s="33" t="s">
        <v>49</v>
      </c>
      <c r="B122" s="42" t="s">
        <v>62</v>
      </c>
      <c r="C122" s="99" t="s">
        <v>142</v>
      </c>
      <c r="D122" s="68" t="s">
        <v>139</v>
      </c>
      <c r="E122" s="107" t="s">
        <v>140</v>
      </c>
      <c r="F122" s="267"/>
    </row>
    <row r="123" spans="1:7" ht="30" x14ac:dyDescent="0.25">
      <c r="A123" s="35" t="s">
        <v>50</v>
      </c>
      <c r="B123" s="40" t="s">
        <v>63</v>
      </c>
      <c r="C123" s="25" t="s">
        <v>142</v>
      </c>
      <c r="D123" s="19" t="s">
        <v>139</v>
      </c>
      <c r="E123" s="108" t="s">
        <v>140</v>
      </c>
      <c r="F123" s="267"/>
    </row>
    <row r="124" spans="1:7" ht="60" x14ac:dyDescent="0.25">
      <c r="A124" s="35" t="s">
        <v>51</v>
      </c>
      <c r="B124" s="40" t="s">
        <v>64</v>
      </c>
      <c r="C124" s="25" t="s">
        <v>142</v>
      </c>
      <c r="D124" s="19" t="s">
        <v>139</v>
      </c>
      <c r="E124" s="108" t="s">
        <v>191</v>
      </c>
      <c r="F124" s="267"/>
    </row>
    <row r="125" spans="1:7" ht="75" x14ac:dyDescent="0.25">
      <c r="A125" s="35" t="s">
        <v>52</v>
      </c>
      <c r="B125" s="40" t="s">
        <v>102</v>
      </c>
      <c r="C125" s="25" t="s">
        <v>142</v>
      </c>
      <c r="D125" s="19" t="s">
        <v>139</v>
      </c>
      <c r="E125" s="108" t="s">
        <v>201</v>
      </c>
      <c r="F125" s="267"/>
    </row>
    <row r="126" spans="1:7" ht="75.75" thickBot="1" x14ac:dyDescent="0.3">
      <c r="A126" s="39" t="s">
        <v>66</v>
      </c>
      <c r="B126" s="44" t="s">
        <v>65</v>
      </c>
      <c r="C126" s="102" t="s">
        <v>142</v>
      </c>
      <c r="D126" s="78" t="s">
        <v>275</v>
      </c>
      <c r="E126" s="102" t="s">
        <v>142</v>
      </c>
      <c r="F126" s="29"/>
    </row>
    <row r="127" spans="1:7" x14ac:dyDescent="0.25">
      <c r="A127" s="1"/>
      <c r="B127" s="14"/>
    </row>
    <row r="128" spans="1:7" ht="31.5" x14ac:dyDescent="0.25">
      <c r="A128" s="10" t="s">
        <v>53</v>
      </c>
      <c r="B128" s="8" t="s">
        <v>46</v>
      </c>
    </row>
    <row r="129" spans="1:6" ht="15.75" thickBot="1" x14ac:dyDescent="0.3">
      <c r="A129" s="6"/>
      <c r="B129" s="7" t="s">
        <v>1</v>
      </c>
      <c r="C129" s="6" t="s">
        <v>163</v>
      </c>
      <c r="D129" s="6" t="s">
        <v>138</v>
      </c>
      <c r="E129" s="6" t="s">
        <v>141</v>
      </c>
      <c r="F129" s="6" t="s">
        <v>177</v>
      </c>
    </row>
    <row r="130" spans="1:6" ht="60" x14ac:dyDescent="0.25">
      <c r="A130" s="33" t="s">
        <v>54</v>
      </c>
      <c r="B130" s="42" t="s">
        <v>67</v>
      </c>
      <c r="C130" s="99" t="s">
        <v>142</v>
      </c>
      <c r="D130" s="68" t="s">
        <v>364</v>
      </c>
      <c r="E130" s="42" t="s">
        <v>365</v>
      </c>
      <c r="F130" s="77"/>
    </row>
    <row r="131" spans="1:6" ht="60" x14ac:dyDescent="0.25">
      <c r="A131" s="35" t="s">
        <v>55</v>
      </c>
      <c r="B131" s="40" t="s">
        <v>68</v>
      </c>
      <c r="C131" s="25" t="s">
        <v>142</v>
      </c>
      <c r="D131" s="19" t="s">
        <v>139</v>
      </c>
      <c r="E131" s="108" t="s">
        <v>140</v>
      </c>
      <c r="F131" s="41"/>
    </row>
    <row r="132" spans="1:6" ht="60" x14ac:dyDescent="0.25">
      <c r="A132" s="35" t="s">
        <v>56</v>
      </c>
      <c r="B132" s="40" t="s">
        <v>69</v>
      </c>
      <c r="C132" s="25" t="s">
        <v>142</v>
      </c>
      <c r="D132" s="19" t="s">
        <v>139</v>
      </c>
      <c r="E132" s="135" t="s">
        <v>369</v>
      </c>
      <c r="F132" s="41" t="s">
        <v>427</v>
      </c>
    </row>
    <row r="133" spans="1:6" ht="60" x14ac:dyDescent="0.25">
      <c r="A133" s="35" t="s">
        <v>71</v>
      </c>
      <c r="B133" s="40" t="s">
        <v>70</v>
      </c>
      <c r="C133" s="25" t="s">
        <v>142</v>
      </c>
      <c r="D133" s="19" t="s">
        <v>139</v>
      </c>
      <c r="E133" s="108" t="s">
        <v>140</v>
      </c>
      <c r="F133" s="41"/>
    </row>
    <row r="134" spans="1:6" ht="15.75" thickBot="1" x14ac:dyDescent="0.3">
      <c r="A134" s="39"/>
      <c r="B134" s="44"/>
      <c r="C134" s="78"/>
      <c r="D134" s="78"/>
      <c r="E134" s="78"/>
      <c r="F134" s="111"/>
    </row>
    <row r="135" spans="1:6" ht="15.75" x14ac:dyDescent="0.25">
      <c r="A135" s="10" t="s">
        <v>57</v>
      </c>
      <c r="B135" s="8" t="s">
        <v>47</v>
      </c>
    </row>
    <row r="136" spans="1:6" ht="15.75" thickBot="1" x14ac:dyDescent="0.3">
      <c r="A136" s="6"/>
      <c r="B136" s="7" t="s">
        <v>1</v>
      </c>
      <c r="C136" s="6" t="s">
        <v>163</v>
      </c>
      <c r="D136" s="6" t="s">
        <v>138</v>
      </c>
      <c r="E136" s="6" t="s">
        <v>141</v>
      </c>
      <c r="F136" s="6" t="s">
        <v>177</v>
      </c>
    </row>
    <row r="137" spans="1:6" ht="30" x14ac:dyDescent="0.25">
      <c r="A137" s="33" t="s">
        <v>58</v>
      </c>
      <c r="B137" s="131" t="s">
        <v>134</v>
      </c>
      <c r="C137" s="99" t="s">
        <v>142</v>
      </c>
      <c r="D137" s="239" t="s">
        <v>283</v>
      </c>
      <c r="E137" s="107" t="s">
        <v>369</v>
      </c>
      <c r="F137" s="77" t="s">
        <v>426</v>
      </c>
    </row>
    <row r="138" spans="1:6" ht="45" x14ac:dyDescent="0.25">
      <c r="A138" s="35" t="s">
        <v>59</v>
      </c>
      <c r="B138" s="130" t="s">
        <v>135</v>
      </c>
      <c r="C138" s="25" t="s">
        <v>142</v>
      </c>
      <c r="D138" s="19" t="s">
        <v>276</v>
      </c>
      <c r="E138" s="108" t="s">
        <v>369</v>
      </c>
      <c r="F138" s="30" t="s">
        <v>427</v>
      </c>
    </row>
    <row r="139" spans="1:6" ht="60" x14ac:dyDescent="0.25">
      <c r="A139" s="35" t="s">
        <v>60</v>
      </c>
      <c r="B139" s="130" t="s">
        <v>72</v>
      </c>
      <c r="C139" s="25" t="s">
        <v>142</v>
      </c>
      <c r="D139" s="19" t="s">
        <v>276</v>
      </c>
      <c r="E139" s="108" t="s">
        <v>369</v>
      </c>
      <c r="F139" s="30" t="s">
        <v>426</v>
      </c>
    </row>
    <row r="140" spans="1:6" ht="75" x14ac:dyDescent="0.25">
      <c r="A140" s="35" t="s">
        <v>61</v>
      </c>
      <c r="B140" s="130" t="s">
        <v>73</v>
      </c>
      <c r="C140" s="25" t="s">
        <v>142</v>
      </c>
      <c r="D140" s="19" t="s">
        <v>274</v>
      </c>
      <c r="E140" s="108" t="s">
        <v>369</v>
      </c>
      <c r="F140" s="30" t="s">
        <v>426</v>
      </c>
    </row>
    <row r="141" spans="1:6" ht="75" x14ac:dyDescent="0.25">
      <c r="A141" s="35" t="s">
        <v>77</v>
      </c>
      <c r="B141" s="130" t="s">
        <v>74</v>
      </c>
      <c r="C141" s="25" t="s">
        <v>142</v>
      </c>
      <c r="D141" s="19" t="s">
        <v>276</v>
      </c>
      <c r="E141" s="108" t="s">
        <v>369</v>
      </c>
      <c r="F141" s="30" t="s">
        <v>426</v>
      </c>
    </row>
    <row r="142" spans="1:6" ht="60" x14ac:dyDescent="0.25">
      <c r="A142" s="35" t="s">
        <v>78</v>
      </c>
      <c r="B142" s="130" t="s">
        <v>75</v>
      </c>
      <c r="C142" s="25" t="s">
        <v>142</v>
      </c>
      <c r="D142" s="19" t="s">
        <v>276</v>
      </c>
      <c r="E142" s="108" t="s">
        <v>369</v>
      </c>
      <c r="F142" s="30" t="s">
        <v>426</v>
      </c>
    </row>
    <row r="143" spans="1:6" ht="48.75" customHeight="1" x14ac:dyDescent="0.25">
      <c r="A143" s="35" t="s">
        <v>93</v>
      </c>
      <c r="B143" s="130" t="s">
        <v>90</v>
      </c>
      <c r="C143" s="25" t="s">
        <v>142</v>
      </c>
      <c r="D143" s="19" t="s">
        <v>275</v>
      </c>
      <c r="E143" s="108" t="s">
        <v>428</v>
      </c>
      <c r="F143" s="30" t="s">
        <v>406</v>
      </c>
    </row>
    <row r="144" spans="1:6" ht="75" x14ac:dyDescent="0.25">
      <c r="A144" s="35" t="s">
        <v>94</v>
      </c>
      <c r="B144" s="130" t="s">
        <v>91</v>
      </c>
      <c r="C144" s="25" t="s">
        <v>142</v>
      </c>
      <c r="D144" s="19" t="s">
        <v>275</v>
      </c>
      <c r="E144" s="108" t="s">
        <v>428</v>
      </c>
      <c r="F144" s="30" t="s">
        <v>406</v>
      </c>
    </row>
    <row r="145" spans="1:6" ht="75" x14ac:dyDescent="0.25">
      <c r="A145" s="35" t="s">
        <v>132</v>
      </c>
      <c r="B145" s="130" t="s">
        <v>92</v>
      </c>
      <c r="C145" s="25" t="s">
        <v>142</v>
      </c>
      <c r="D145" s="19" t="s">
        <v>275</v>
      </c>
      <c r="E145" s="108" t="s">
        <v>428</v>
      </c>
      <c r="F145" s="30" t="s">
        <v>406</v>
      </c>
    </row>
    <row r="146" spans="1:6" ht="60.75" thickBot="1" x14ac:dyDescent="0.3">
      <c r="A146" s="39" t="s">
        <v>133</v>
      </c>
      <c r="B146" s="132" t="s">
        <v>76</v>
      </c>
      <c r="C146" s="102" t="s">
        <v>142</v>
      </c>
      <c r="D146" s="78" t="s">
        <v>275</v>
      </c>
      <c r="E146" s="215" t="s">
        <v>428</v>
      </c>
      <c r="F146" s="111" t="s">
        <v>406</v>
      </c>
    </row>
    <row r="148" spans="1:6" ht="18.75" x14ac:dyDescent="0.3">
      <c r="A148" s="9">
        <v>6</v>
      </c>
      <c r="B148" s="15" t="s">
        <v>203</v>
      </c>
    </row>
    <row r="150" spans="1:6" ht="15.75" thickBot="1" x14ac:dyDescent="0.3">
      <c r="B150" s="7" t="s">
        <v>1</v>
      </c>
      <c r="C150" s="6" t="s">
        <v>163</v>
      </c>
      <c r="D150" s="6" t="s">
        <v>138</v>
      </c>
      <c r="E150" s="6" t="s">
        <v>141</v>
      </c>
      <c r="F150" s="6" t="s">
        <v>177</v>
      </c>
    </row>
    <row r="151" spans="1:6" ht="60" x14ac:dyDescent="0.25">
      <c r="A151" s="33" t="s">
        <v>215</v>
      </c>
      <c r="B151" s="42" t="s">
        <v>206</v>
      </c>
      <c r="C151" s="42" t="s">
        <v>162</v>
      </c>
      <c r="D151" s="42" t="s">
        <v>275</v>
      </c>
      <c r="E151" s="214" t="s">
        <v>369</v>
      </c>
      <c r="F151" s="253" t="s">
        <v>406</v>
      </c>
    </row>
    <row r="152" spans="1:6" ht="18" customHeight="1" x14ac:dyDescent="0.25">
      <c r="A152" s="35" t="s">
        <v>216</v>
      </c>
      <c r="B152" s="40" t="s">
        <v>207</v>
      </c>
      <c r="C152" s="40" t="s">
        <v>162</v>
      </c>
      <c r="D152" s="40" t="s">
        <v>275</v>
      </c>
      <c r="E152" s="109" t="s">
        <v>369</v>
      </c>
      <c r="F152" s="273" t="s">
        <v>406</v>
      </c>
    </row>
    <row r="153" spans="1:6" ht="18" customHeight="1" x14ac:dyDescent="0.25">
      <c r="A153" s="35" t="s">
        <v>217</v>
      </c>
      <c r="B153" s="40" t="s">
        <v>208</v>
      </c>
      <c r="C153" s="40" t="s">
        <v>162</v>
      </c>
      <c r="D153" s="40" t="s">
        <v>276</v>
      </c>
      <c r="E153" s="109" t="s">
        <v>369</v>
      </c>
      <c r="F153" s="273" t="s">
        <v>406</v>
      </c>
    </row>
    <row r="154" spans="1:6" ht="45" x14ac:dyDescent="0.25">
      <c r="A154" s="35" t="s">
        <v>218</v>
      </c>
      <c r="B154" s="40" t="s">
        <v>97</v>
      </c>
      <c r="C154" s="40" t="s">
        <v>162</v>
      </c>
      <c r="D154" s="40" t="s">
        <v>275</v>
      </c>
      <c r="E154" s="109" t="s">
        <v>369</v>
      </c>
      <c r="F154" s="273" t="s">
        <v>406</v>
      </c>
    </row>
    <row r="155" spans="1:6" ht="60.75" thickBot="1" x14ac:dyDescent="0.3">
      <c r="A155" s="39" t="s">
        <v>219</v>
      </c>
      <c r="B155" s="44" t="s">
        <v>99</v>
      </c>
      <c r="C155" s="44" t="s">
        <v>162</v>
      </c>
      <c r="D155" s="44" t="s">
        <v>275</v>
      </c>
      <c r="E155" s="110" t="s">
        <v>369</v>
      </c>
      <c r="F155" s="275" t="s">
        <v>406</v>
      </c>
    </row>
    <row r="157" spans="1:6" ht="18.75" x14ac:dyDescent="0.3">
      <c r="A157" s="9">
        <v>7</v>
      </c>
      <c r="B157" s="9" t="s">
        <v>79</v>
      </c>
    </row>
    <row r="158" spans="1:6" x14ac:dyDescent="0.25">
      <c r="A158" s="6"/>
      <c r="B158" s="7"/>
    </row>
    <row r="159" spans="1:6" ht="15.75" thickBot="1" x14ac:dyDescent="0.3">
      <c r="A159" s="6"/>
      <c r="B159" s="7" t="s">
        <v>1</v>
      </c>
      <c r="C159" s="6" t="s">
        <v>163</v>
      </c>
      <c r="D159" s="6" t="s">
        <v>138</v>
      </c>
      <c r="E159" s="6" t="s">
        <v>141</v>
      </c>
      <c r="F159" s="6"/>
    </row>
    <row r="160" spans="1:6" ht="45" x14ac:dyDescent="0.25">
      <c r="A160" s="33" t="s">
        <v>80</v>
      </c>
      <c r="B160" s="42" t="s">
        <v>83</v>
      </c>
      <c r="C160" s="99" t="s">
        <v>142</v>
      </c>
      <c r="D160" s="68" t="s">
        <v>139</v>
      </c>
      <c r="E160" s="107" t="s">
        <v>140</v>
      </c>
      <c r="F160" s="267"/>
    </row>
    <row r="161" spans="1:6" ht="45" x14ac:dyDescent="0.25">
      <c r="A161" s="35" t="s">
        <v>81</v>
      </c>
      <c r="B161" s="40" t="s">
        <v>84</v>
      </c>
      <c r="C161" s="25" t="s">
        <v>142</v>
      </c>
      <c r="D161" s="19" t="s">
        <v>139</v>
      </c>
      <c r="E161" s="108" t="s">
        <v>140</v>
      </c>
      <c r="F161" s="267"/>
    </row>
    <row r="162" spans="1:6" ht="30.75" thickBot="1" x14ac:dyDescent="0.3">
      <c r="A162" s="39" t="s">
        <v>82</v>
      </c>
      <c r="B162" s="44" t="s">
        <v>85</v>
      </c>
      <c r="C162" s="102" t="s">
        <v>142</v>
      </c>
      <c r="D162" s="78" t="s">
        <v>139</v>
      </c>
      <c r="E162" s="215" t="s">
        <v>191</v>
      </c>
      <c r="F162" s="267"/>
    </row>
    <row r="164" spans="1:6" x14ac:dyDescent="0.25">
      <c r="A164" s="146" t="s">
        <v>243</v>
      </c>
      <c r="B164" s="7" t="s">
        <v>307</v>
      </c>
      <c r="C164" s="166" t="s">
        <v>308</v>
      </c>
    </row>
  </sheetData>
  <mergeCells count="8">
    <mergeCell ref="F59:F61"/>
    <mergeCell ref="F58:G58"/>
    <mergeCell ref="B5:C5"/>
    <mergeCell ref="B6:C6"/>
    <mergeCell ref="B7:C7"/>
    <mergeCell ref="B11:C11"/>
    <mergeCell ref="B8:C8"/>
    <mergeCell ref="G36:G39"/>
  </mergeCells>
  <hyperlinks>
    <hyperlink ref="E68" r:id="rId1" display="http://dsia.uiv.cz/vystupy/vu_vs_f3.html (tab. F31a)"/>
    <hyperlink ref="E60" r:id="rId2"/>
    <hyperlink ref="E67" r:id="rId3"/>
    <hyperlink ref="E69" r:id="rId4" display="http://torah.net.uiv.cz/vykonyVS.aspx ; "/>
    <hyperlink ref="E70" r:id="rId5"/>
    <hyperlink ref="E77" r:id="rId6"/>
    <hyperlink ref="E78" r:id="rId7"/>
    <hyperlink ref="E79" r:id="rId8"/>
    <hyperlink ref="E40" r:id="rId9"/>
    <hyperlink ref="E82" r:id="rId10"/>
    <hyperlink ref="E35" r:id="rId11"/>
    <hyperlink ref="E36" r:id="rId12"/>
    <hyperlink ref="E51" r:id="rId13"/>
    <hyperlink ref="E52" r:id="rId14"/>
    <hyperlink ref="E53" r:id="rId15"/>
    <hyperlink ref="E54" r:id="rId16"/>
    <hyperlink ref="E59" r:id="rId17"/>
    <hyperlink ref="E61" r:id="rId18"/>
    <hyperlink ref="E137" r:id="rId19"/>
    <hyperlink ref="E151" r:id="rId20"/>
    <hyperlink ref="E152" r:id="rId21"/>
    <hyperlink ref="E105" r:id="rId22"/>
    <hyperlink ref="E138" r:id="rId23"/>
    <hyperlink ref="E143" r:id="rId24" display="http://dsia.uiv.cz/vystupy/vu_vs_f2.html (F21 ciz)"/>
    <hyperlink ref="E144:E145" r:id="rId25" display="http://dsia.uiv.cz/vystupy/vu_vs_f2.html (F21 ciz)"/>
    <hyperlink ref="E146" r:id="rId26" display="http://dsia.uiv.cz/vystupy/vu_vs_f2.html (F21 ciz)"/>
    <hyperlink ref="E132" r:id="rId27"/>
    <hyperlink ref="E27" r:id="rId28"/>
    <hyperlink ref="E28" r:id="rId29"/>
    <hyperlink ref="E160" r:id="rId30"/>
    <hyperlink ref="E103" r:id="rId31"/>
    <hyperlink ref="E71" r:id="rId32"/>
    <hyperlink ref="E25" r:id="rId33"/>
    <hyperlink ref="E24" r:id="rId34"/>
    <hyperlink ref="E114" r:id="rId35"/>
    <hyperlink ref="E113" r:id="rId36"/>
    <hyperlink ref="E17" r:id="rId37"/>
    <hyperlink ref="E37" r:id="rId38"/>
    <hyperlink ref="E38" r:id="rId39"/>
    <hyperlink ref="E39" r:id="rId40"/>
    <hyperlink ref="E41" r:id="rId41"/>
    <hyperlink ref="E42" r:id="rId42"/>
    <hyperlink ref="E43" r:id="rId43"/>
    <hyperlink ref="E44" r:id="rId44"/>
    <hyperlink ref="E80" r:id="rId45"/>
    <hyperlink ref="E106" r:id="rId46"/>
    <hyperlink ref="E107" r:id="rId47"/>
    <hyperlink ref="E108" r:id="rId48"/>
    <hyperlink ref="E72" r:id="rId49"/>
    <hyperlink ref="E73" r:id="rId50"/>
    <hyperlink ref="E115" r:id="rId51"/>
    <hyperlink ref="E122" r:id="rId52"/>
    <hyperlink ref="E123" r:id="rId53"/>
    <hyperlink ref="E124" r:id="rId54"/>
    <hyperlink ref="E125" r:id="rId55"/>
    <hyperlink ref="E131" r:id="rId56"/>
    <hyperlink ref="E133" r:id="rId57"/>
    <hyperlink ref="E161" r:id="rId58"/>
    <hyperlink ref="E162" r:id="rId59"/>
    <hyperlink ref="E55" r:id="rId60"/>
    <hyperlink ref="E104" r:id="rId61" display="https://portal.mpsv.cz/sz/stat/nz/qrt"/>
    <hyperlink ref="E153" r:id="rId62"/>
    <hyperlink ref="E154" r:id="rId63"/>
    <hyperlink ref="E155" r:id="rId64"/>
    <hyperlink ref="E139" r:id="rId65"/>
    <hyperlink ref="E140" r:id="rId66"/>
    <hyperlink ref="E141" r:id="rId67"/>
    <hyperlink ref="E142" r:id="rId68"/>
    <hyperlink ref="E116" r:id="rId69"/>
    <hyperlink ref="E26" r:id="rId70"/>
  </hyperlinks>
  <pageMargins left="0.7" right="0.7" top="0.78740157499999996" bottom="0.78740157499999996" header="0.3" footer="0.3"/>
  <pageSetup paperSize="9" orientation="landscape" r:id="rId71"/>
  <legacy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1_vysoké školy</vt:lpstr>
      <vt:lpstr>2_počty studentů</vt:lpstr>
      <vt:lpstr>3_dostupnost</vt:lpstr>
      <vt:lpstr>4_výuka a uplatnění</vt:lpstr>
      <vt:lpstr>5_internacionalizace</vt:lpstr>
      <vt:lpstr>6_soukromé VŠ</vt:lpstr>
      <vt:lpstr>7_CŽV</vt:lpstr>
      <vt:lpstr>8_metodika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Dušan Hrstka</cp:lastModifiedBy>
  <cp:lastPrinted>2015-06-09T07:07:12Z</cp:lastPrinted>
  <dcterms:created xsi:type="dcterms:W3CDTF">2014-03-17T13:37:34Z</dcterms:created>
  <dcterms:modified xsi:type="dcterms:W3CDTF">2017-07-03T11:02:20Z</dcterms:modified>
</cp:coreProperties>
</file>