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Sekce_III\32_odbor\Oddělení  320\Rozpočet VŠ\2018\Soubory na web\"/>
    </mc:Choice>
  </mc:AlternateContent>
  <bookViews>
    <workbookView xWindow="0" yWindow="0" windowWidth="28800" windowHeight="12045" tabRatio="937" firstSheet="5" activeTab="14"/>
  </bookViews>
  <sheets>
    <sheet name="0 Seznam" sheetId="15" r:id="rId1"/>
    <sheet name="1 Bilance zdrojů" sheetId="31" r:id="rId2"/>
    <sheet name="2 Stanovení podílů fixní části" sheetId="23" r:id="rId3"/>
    <sheet name="3 - Stanovení podílů segmentů" sheetId="30" r:id="rId4"/>
    <sheet name="3a - Výkonová část segment 1" sheetId="32" r:id="rId5"/>
    <sheet name="3b - Výkonová část segment 2" sheetId="27" r:id="rId6"/>
    <sheet name="3c - Výkonová část segment 3" sheetId="28" r:id="rId7"/>
    <sheet name="3d - Výkonová část segment 4" sheetId="29" r:id="rId8"/>
    <sheet name="4 Výpočet RO I" sheetId="25" r:id="rId9"/>
    <sheet name="5 Ukazatel C" sheetId="16" r:id="rId10"/>
    <sheet name="6 Ukazatel F - U3V" sheetId="17" r:id="rId11"/>
    <sheet name="7 Ukazatel F - SSP" sheetId="18" r:id="rId12"/>
    <sheet name="8 Ukazatel I" sheetId="19" r:id="rId13"/>
    <sheet name="9 Ukazatel J" sheetId="10" r:id="rId14"/>
    <sheet name="10 Ukazatel U" sheetId="20" r:id="rId15"/>
    <sheet name="11 Ukazatel D" sheetId="21" r:id="rId16"/>
  </sheets>
  <definedNames>
    <definedName name="_xlnm.Print_Area" localSheetId="9">'5 Ukazatel C'!$A$1:$D$38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8" i="31" l="1"/>
  <c r="O67" i="31"/>
  <c r="O66" i="31"/>
  <c r="J34" i="21" l="1"/>
  <c r="J22" i="21"/>
  <c r="L11" i="29" l="1"/>
  <c r="L10" i="29"/>
  <c r="L9" i="29"/>
  <c r="L8" i="29"/>
  <c r="L7" i="29"/>
  <c r="L25" i="29"/>
  <c r="L24" i="29"/>
  <c r="L23" i="29"/>
  <c r="L22" i="29"/>
  <c r="L21" i="29"/>
  <c r="K20" i="29"/>
  <c r="L21" i="28"/>
  <c r="L20" i="28"/>
  <c r="L19" i="28"/>
  <c r="L18" i="28"/>
  <c r="L17" i="28"/>
  <c r="L16" i="28"/>
  <c r="L15" i="28"/>
  <c r="L14" i="28"/>
  <c r="L13" i="28"/>
  <c r="L12" i="28"/>
  <c r="L11" i="28"/>
  <c r="L10" i="28"/>
  <c r="L9" i="28"/>
  <c r="L8" i="28"/>
  <c r="L7" i="28"/>
  <c r="K40" i="28"/>
  <c r="L54" i="28" s="1"/>
  <c r="J10" i="32"/>
  <c r="J9" i="32"/>
  <c r="J8" i="32"/>
  <c r="J7" i="32"/>
  <c r="J22" i="32"/>
  <c r="J21" i="32"/>
  <c r="J20" i="32"/>
  <c r="J19" i="32"/>
  <c r="J18" i="32"/>
  <c r="I18" i="32"/>
  <c r="L20" i="29" l="1"/>
  <c r="L43" i="28"/>
  <c r="L47" i="28"/>
  <c r="L51" i="28"/>
  <c r="L55" i="28"/>
  <c r="L44" i="28"/>
  <c r="L48" i="28"/>
  <c r="L52" i="28"/>
  <c r="L41" i="28"/>
  <c r="L45" i="28"/>
  <c r="L49" i="28"/>
  <c r="L53" i="28"/>
  <c r="L42" i="28"/>
  <c r="L46" i="28"/>
  <c r="L50" i="28"/>
  <c r="L40" i="28" l="1"/>
  <c r="F16" i="32" l="1"/>
  <c r="E3" i="23" l="1"/>
  <c r="E2" i="23"/>
  <c r="G30" i="30" l="1"/>
  <c r="G29" i="30"/>
  <c r="G28" i="30"/>
  <c r="G33" i="30" s="1"/>
  <c r="G27" i="30"/>
  <c r="G38" i="30"/>
  <c r="G37" i="30"/>
  <c r="G36" i="30"/>
  <c r="F49" i="30"/>
  <c r="E49" i="30"/>
  <c r="D49" i="30"/>
  <c r="G48" i="30"/>
  <c r="G47" i="30"/>
  <c r="G46" i="30"/>
  <c r="G45" i="30"/>
  <c r="M30" i="32"/>
  <c r="N32" i="32" s="1"/>
  <c r="E28" i="32"/>
  <c r="F28" i="32" s="1"/>
  <c r="E27" i="32"/>
  <c r="E26" i="32"/>
  <c r="E25" i="32"/>
  <c r="E24" i="32" s="1"/>
  <c r="M24" i="32"/>
  <c r="N28" i="32" s="1"/>
  <c r="D24" i="32"/>
  <c r="C24" i="32"/>
  <c r="E22" i="32"/>
  <c r="F22" i="32" s="1"/>
  <c r="N21" i="32"/>
  <c r="E21" i="32"/>
  <c r="F21" i="32" s="1"/>
  <c r="N20" i="32"/>
  <c r="E20" i="32"/>
  <c r="E19" i="32"/>
  <c r="F19" i="32" s="1"/>
  <c r="M18" i="32"/>
  <c r="N22" i="32" s="1"/>
  <c r="E18" i="32"/>
  <c r="F20" i="32" s="1"/>
  <c r="D18" i="32"/>
  <c r="C18" i="32"/>
  <c r="H16" i="32"/>
  <c r="E16" i="32"/>
  <c r="H15" i="32"/>
  <c r="H9" i="32" s="1"/>
  <c r="E15" i="32"/>
  <c r="F15" i="32" s="1"/>
  <c r="H14" i="32"/>
  <c r="H8" i="32" s="1"/>
  <c r="E14" i="32"/>
  <c r="F14" i="32" s="1"/>
  <c r="H13" i="32"/>
  <c r="H12" i="32" s="1"/>
  <c r="E13" i="32"/>
  <c r="F13" i="32" s="1"/>
  <c r="K12" i="32"/>
  <c r="L16" i="32" s="1"/>
  <c r="L10" i="32" s="1"/>
  <c r="G12" i="32"/>
  <c r="E12" i="32"/>
  <c r="D12" i="32"/>
  <c r="C12" i="32"/>
  <c r="H10" i="32"/>
  <c r="O5" i="32"/>
  <c r="G35" i="30" l="1"/>
  <c r="G39" i="30" s="1"/>
  <c r="G49" i="30"/>
  <c r="F8" i="32"/>
  <c r="F10" i="32"/>
  <c r="F26" i="32"/>
  <c r="F12" i="32"/>
  <c r="F18" i="32"/>
  <c r="F27" i="32"/>
  <c r="F9" i="32" s="1"/>
  <c r="N33" i="32"/>
  <c r="L13" i="32"/>
  <c r="L14" i="32"/>
  <c r="L8" i="32" s="1"/>
  <c r="L15" i="32"/>
  <c r="L9" i="32" s="1"/>
  <c r="F25" i="32"/>
  <c r="F24" i="32" s="1"/>
  <c r="N34" i="32"/>
  <c r="N10" i="32" s="1"/>
  <c r="N19" i="32"/>
  <c r="N31" i="32"/>
  <c r="H7" i="32"/>
  <c r="H6" i="32" s="1"/>
  <c r="N25" i="32"/>
  <c r="N24" i="32" s="1"/>
  <c r="N26" i="32"/>
  <c r="N8" i="32" s="1"/>
  <c r="N27" i="32"/>
  <c r="D11" i="20"/>
  <c r="C6" i="16"/>
  <c r="D35" i="16" s="1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O49" i="31"/>
  <c r="E36" i="25"/>
  <c r="O9" i="32" l="1"/>
  <c r="P9" i="32" s="1"/>
  <c r="G32" i="25" s="1"/>
  <c r="O10" i="32"/>
  <c r="P10" i="32" s="1"/>
  <c r="G33" i="25" s="1"/>
  <c r="F7" i="32"/>
  <c r="O8" i="32"/>
  <c r="P8" i="32" s="1"/>
  <c r="G31" i="25" s="1"/>
  <c r="N9" i="32"/>
  <c r="N30" i="32"/>
  <c r="N18" i="32"/>
  <c r="N7" i="32"/>
  <c r="N6" i="32" s="1"/>
  <c r="L12" i="32"/>
  <c r="L7" i="32"/>
  <c r="L6" i="32" s="1"/>
  <c r="D24" i="16"/>
  <c r="D12" i="16"/>
  <c r="D28" i="16"/>
  <c r="D16" i="16"/>
  <c r="D32" i="16"/>
  <c r="D20" i="16"/>
  <c r="D13" i="16"/>
  <c r="D17" i="16"/>
  <c r="D21" i="16"/>
  <c r="D25" i="16"/>
  <c r="D29" i="16"/>
  <c r="D33" i="16"/>
  <c r="D10" i="16"/>
  <c r="D14" i="16"/>
  <c r="D18" i="16"/>
  <c r="D22" i="16"/>
  <c r="D26" i="16"/>
  <c r="D30" i="16"/>
  <c r="D34" i="16"/>
  <c r="D11" i="16"/>
  <c r="D15" i="16"/>
  <c r="D19" i="16"/>
  <c r="D23" i="16"/>
  <c r="D27" i="16"/>
  <c r="D31" i="16"/>
  <c r="O7" i="32" l="1"/>
  <c r="P7" i="32" s="1"/>
  <c r="G30" i="25" s="1"/>
  <c r="F6" i="32"/>
  <c r="L63" i="31"/>
  <c r="I63" i="31"/>
  <c r="H63" i="31"/>
  <c r="O30" i="31"/>
  <c r="Q30" i="31" s="1"/>
  <c r="G37" i="10"/>
  <c r="N63" i="31"/>
  <c r="N56" i="31"/>
  <c r="N54" i="31"/>
  <c r="N49" i="31"/>
  <c r="N48" i="31"/>
  <c r="N47" i="31"/>
  <c r="N46" i="31"/>
  <c r="N43" i="31"/>
  <c r="N42" i="31"/>
  <c r="N41" i="31"/>
  <c r="N39" i="31"/>
  <c r="N38" i="31"/>
  <c r="N37" i="31"/>
  <c r="N36" i="31"/>
  <c r="N33" i="31"/>
  <c r="N32" i="31"/>
  <c r="N31" i="31"/>
  <c r="N30" i="31"/>
  <c r="N27" i="31"/>
  <c r="N26" i="31"/>
  <c r="N25" i="31"/>
  <c r="N24" i="31"/>
  <c r="N23" i="31"/>
  <c r="N22" i="31"/>
  <c r="N21" i="31"/>
  <c r="N17" i="31"/>
  <c r="N16" i="31"/>
  <c r="K63" i="31"/>
  <c r="K56" i="31"/>
  <c r="K54" i="31"/>
  <c r="K51" i="31"/>
  <c r="K49" i="31"/>
  <c r="K48" i="31"/>
  <c r="K47" i="31"/>
  <c r="K46" i="31"/>
  <c r="K43" i="31"/>
  <c r="K42" i="31"/>
  <c r="K41" i="31"/>
  <c r="K39" i="31"/>
  <c r="K38" i="31"/>
  <c r="K37" i="31"/>
  <c r="K36" i="31"/>
  <c r="K33" i="31"/>
  <c r="K32" i="31"/>
  <c r="K31" i="31"/>
  <c r="K30" i="31"/>
  <c r="K27" i="31"/>
  <c r="K26" i="31"/>
  <c r="K25" i="31"/>
  <c r="K24" i="31"/>
  <c r="K23" i="31"/>
  <c r="K22" i="31"/>
  <c r="K21" i="31"/>
  <c r="K17" i="31"/>
  <c r="K16" i="31"/>
  <c r="J16" i="31"/>
  <c r="J17" i="31"/>
  <c r="J21" i="31"/>
  <c r="J22" i="31"/>
  <c r="J23" i="31"/>
  <c r="J24" i="31"/>
  <c r="J25" i="31"/>
  <c r="J26" i="31"/>
  <c r="J27" i="31"/>
  <c r="J30" i="31"/>
  <c r="J31" i="31"/>
  <c r="J32" i="31"/>
  <c r="J33" i="31"/>
  <c r="J36" i="31"/>
  <c r="J37" i="31"/>
  <c r="J39" i="31"/>
  <c r="J41" i="31"/>
  <c r="J42" i="31"/>
  <c r="J43" i="31"/>
  <c r="H18" i="31"/>
  <c r="I18" i="31"/>
  <c r="L18" i="31"/>
  <c r="M18" i="31" s="1"/>
  <c r="M63" i="31"/>
  <c r="J63" i="31"/>
  <c r="M56" i="31"/>
  <c r="J56" i="31"/>
  <c r="P55" i="31"/>
  <c r="M55" i="31"/>
  <c r="J55" i="31"/>
  <c r="M54" i="31"/>
  <c r="J54" i="31"/>
  <c r="Q52" i="31"/>
  <c r="Q49" i="31"/>
  <c r="M49" i="31"/>
  <c r="J49" i="31"/>
  <c r="Q48" i="31"/>
  <c r="P48" i="31"/>
  <c r="M48" i="31"/>
  <c r="J48" i="31"/>
  <c r="Q47" i="31"/>
  <c r="P47" i="31"/>
  <c r="M47" i="31"/>
  <c r="J47" i="31"/>
  <c r="P46" i="31"/>
  <c r="M46" i="31"/>
  <c r="J46" i="31"/>
  <c r="P44" i="31"/>
  <c r="M43" i="31"/>
  <c r="Q42" i="31"/>
  <c r="P42" i="31"/>
  <c r="M42" i="31"/>
  <c r="Q41" i="31"/>
  <c r="P41" i="31"/>
  <c r="M41" i="31"/>
  <c r="M39" i="31"/>
  <c r="Q38" i="31"/>
  <c r="P38" i="31"/>
  <c r="M38" i="31"/>
  <c r="Q37" i="31"/>
  <c r="P37" i="31"/>
  <c r="M37" i="31"/>
  <c r="O36" i="31"/>
  <c r="Q36" i="31" s="1"/>
  <c r="M36" i="31"/>
  <c r="O33" i="31"/>
  <c r="Q33" i="31" s="1"/>
  <c r="M33" i="31"/>
  <c r="Q32" i="31"/>
  <c r="M32" i="31"/>
  <c r="Q31" i="31"/>
  <c r="P31" i="31"/>
  <c r="M31" i="31"/>
  <c r="P30" i="31"/>
  <c r="M30" i="31"/>
  <c r="O27" i="31"/>
  <c r="Q27" i="31" s="1"/>
  <c r="M27" i="31"/>
  <c r="Q26" i="31"/>
  <c r="P26" i="31"/>
  <c r="M26" i="31"/>
  <c r="Q25" i="31"/>
  <c r="P25" i="31"/>
  <c r="M25" i="31"/>
  <c r="Q24" i="31"/>
  <c r="P24" i="31"/>
  <c r="M24" i="31"/>
  <c r="Q23" i="31"/>
  <c r="P23" i="31"/>
  <c r="M23" i="31"/>
  <c r="Q22" i="31"/>
  <c r="P22" i="31"/>
  <c r="M22" i="31"/>
  <c r="Q21" i="31"/>
  <c r="P21" i="31"/>
  <c r="M21" i="31"/>
  <c r="O18" i="31"/>
  <c r="P18" i="31" s="1"/>
  <c r="Q17" i="31"/>
  <c r="P17" i="31"/>
  <c r="M17" i="31"/>
  <c r="Q16" i="31"/>
  <c r="P16" i="31"/>
  <c r="M16" i="31"/>
  <c r="P8" i="31"/>
  <c r="P7" i="31"/>
  <c r="P6" i="31"/>
  <c r="P5" i="31"/>
  <c r="P6" i="32" l="1"/>
  <c r="O6" i="32"/>
  <c r="N18" i="31"/>
  <c r="K18" i="31"/>
  <c r="P33" i="31"/>
  <c r="O39" i="31"/>
  <c r="P49" i="31"/>
  <c r="P27" i="31"/>
  <c r="J18" i="31"/>
  <c r="O54" i="31"/>
  <c r="P54" i="31" s="1"/>
  <c r="Q18" i="31"/>
  <c r="P36" i="31"/>
  <c r="E33" i="21"/>
  <c r="H30" i="21" s="1"/>
  <c r="D33" i="21"/>
  <c r="G31" i="21" s="1"/>
  <c r="C33" i="21"/>
  <c r="F32" i="21" s="1"/>
  <c r="G32" i="21"/>
  <c r="H31" i="21"/>
  <c r="H29" i="21"/>
  <c r="G29" i="21"/>
  <c r="F29" i="21"/>
  <c r="H28" i="21"/>
  <c r="G28" i="21"/>
  <c r="G25" i="21"/>
  <c r="F25" i="21"/>
  <c r="G24" i="21"/>
  <c r="G21" i="21"/>
  <c r="F21" i="21"/>
  <c r="G20" i="21"/>
  <c r="H17" i="21"/>
  <c r="G17" i="21"/>
  <c r="F17" i="21"/>
  <c r="G16" i="21"/>
  <c r="H13" i="21"/>
  <c r="G13" i="21"/>
  <c r="F13" i="21"/>
  <c r="G12" i="21"/>
  <c r="H11" i="21"/>
  <c r="G9" i="21"/>
  <c r="F9" i="21"/>
  <c r="H8" i="21"/>
  <c r="G8" i="21"/>
  <c r="H20" i="21" l="1"/>
  <c r="I13" i="21"/>
  <c r="J13" i="21" s="1"/>
  <c r="H16" i="21"/>
  <c r="H19" i="21"/>
  <c r="H9" i="21"/>
  <c r="H23" i="21"/>
  <c r="H25" i="21"/>
  <c r="I25" i="21" s="1"/>
  <c r="J25" i="21" s="1"/>
  <c r="I9" i="21"/>
  <c r="J9" i="21" s="1"/>
  <c r="I17" i="21"/>
  <c r="J17" i="21" s="1"/>
  <c r="I29" i="21"/>
  <c r="J29" i="21" s="1"/>
  <c r="H7" i="21"/>
  <c r="H12" i="21"/>
  <c r="H15" i="21"/>
  <c r="H21" i="21"/>
  <c r="I21" i="21" s="1"/>
  <c r="J21" i="21" s="1"/>
  <c r="H24" i="21"/>
  <c r="H27" i="21"/>
  <c r="H32" i="21"/>
  <c r="I32" i="21" s="1"/>
  <c r="J32" i="21" s="1"/>
  <c r="O56" i="31"/>
  <c r="O63" i="31" s="1"/>
  <c r="P39" i="31"/>
  <c r="Q39" i="31"/>
  <c r="Q54" i="31"/>
  <c r="Q56" i="31"/>
  <c r="F10" i="21"/>
  <c r="F14" i="21"/>
  <c r="F18" i="21"/>
  <c r="F22" i="21"/>
  <c r="F26" i="21"/>
  <c r="F30" i="21"/>
  <c r="F7" i="21"/>
  <c r="G10" i="21"/>
  <c r="F11" i="21"/>
  <c r="G14" i="21"/>
  <c r="F15" i="21"/>
  <c r="G18" i="21"/>
  <c r="F19" i="21"/>
  <c r="G22" i="21"/>
  <c r="F23" i="21"/>
  <c r="G26" i="21"/>
  <c r="F27" i="21"/>
  <c r="G30" i="21"/>
  <c r="F31" i="21"/>
  <c r="I31" i="21" s="1"/>
  <c r="J31" i="21" s="1"/>
  <c r="G7" i="21"/>
  <c r="F8" i="21"/>
  <c r="I8" i="21" s="1"/>
  <c r="J8" i="21" s="1"/>
  <c r="H10" i="21"/>
  <c r="G11" i="21"/>
  <c r="F12" i="21"/>
  <c r="H14" i="21"/>
  <c r="G15" i="21"/>
  <c r="F16" i="21"/>
  <c r="H18" i="21"/>
  <c r="G19" i="21"/>
  <c r="F20" i="21"/>
  <c r="I20" i="21" s="1"/>
  <c r="J20" i="21" s="1"/>
  <c r="H22" i="21"/>
  <c r="G23" i="21"/>
  <c r="F24" i="21"/>
  <c r="I24" i="21" s="1"/>
  <c r="J24" i="21" s="1"/>
  <c r="H26" i="21"/>
  <c r="G27" i="21"/>
  <c r="F28" i="21"/>
  <c r="I28" i="21" s="1"/>
  <c r="J28" i="21" s="1"/>
  <c r="I16" i="21" l="1"/>
  <c r="J16" i="21" s="1"/>
  <c r="I23" i="21"/>
  <c r="J23" i="21" s="1"/>
  <c r="H33" i="21"/>
  <c r="I12" i="21"/>
  <c r="J12" i="21" s="1"/>
  <c r="I15" i="21"/>
  <c r="J15" i="21" s="1"/>
  <c r="I18" i="21"/>
  <c r="J18" i="21" s="1"/>
  <c r="Q63" i="31"/>
  <c r="P63" i="31"/>
  <c r="P56" i="31"/>
  <c r="F33" i="21"/>
  <c r="I7" i="21"/>
  <c r="I30" i="21"/>
  <c r="J30" i="21" s="1"/>
  <c r="I14" i="21"/>
  <c r="J14" i="21" s="1"/>
  <c r="I27" i="21"/>
  <c r="J27" i="21" s="1"/>
  <c r="I19" i="21"/>
  <c r="J19" i="21" s="1"/>
  <c r="I11" i="21"/>
  <c r="J11" i="21" s="1"/>
  <c r="I26" i="21"/>
  <c r="J26" i="21" s="1"/>
  <c r="I10" i="21"/>
  <c r="J10" i="21" s="1"/>
  <c r="G33" i="21"/>
  <c r="I22" i="21"/>
  <c r="I33" i="21" l="1"/>
  <c r="J7" i="21"/>
  <c r="J33" i="21" s="1"/>
  <c r="C43" i="20" l="1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7" i="20"/>
  <c r="D43" i="20" l="1"/>
  <c r="D10" i="20" s="1"/>
  <c r="E30" i="17" l="1"/>
  <c r="E26" i="17"/>
  <c r="E16" i="17"/>
  <c r="F6" i="25" l="1"/>
  <c r="F5" i="25"/>
  <c r="C35" i="25"/>
  <c r="C34" i="25"/>
  <c r="C33" i="25"/>
  <c r="C32" i="25"/>
  <c r="C31" i="25"/>
  <c r="C30" i="25"/>
  <c r="C28" i="25"/>
  <c r="C12" i="25"/>
  <c r="P36" i="29"/>
  <c r="O34" i="29"/>
  <c r="P39" i="29" s="1"/>
  <c r="G32" i="29"/>
  <c r="G31" i="29"/>
  <c r="G30" i="29"/>
  <c r="G29" i="29"/>
  <c r="G27" i="29" s="1"/>
  <c r="H30" i="29" s="1"/>
  <c r="G28" i="29"/>
  <c r="Q27" i="29"/>
  <c r="R31" i="29" s="1"/>
  <c r="O27" i="29"/>
  <c r="P32" i="29" s="1"/>
  <c r="F27" i="29"/>
  <c r="E27" i="29"/>
  <c r="P25" i="29"/>
  <c r="G25" i="29"/>
  <c r="P24" i="29"/>
  <c r="G24" i="29"/>
  <c r="P23" i="29"/>
  <c r="G23" i="29"/>
  <c r="P22" i="29"/>
  <c r="G22" i="29"/>
  <c r="P21" i="29"/>
  <c r="G21" i="29"/>
  <c r="Q20" i="29"/>
  <c r="R21" i="29" s="1"/>
  <c r="O20" i="29"/>
  <c r="G20" i="29"/>
  <c r="H25" i="29" s="1"/>
  <c r="F20" i="29"/>
  <c r="E20" i="29"/>
  <c r="G18" i="29"/>
  <c r="G17" i="29"/>
  <c r="G16" i="29"/>
  <c r="G15" i="29"/>
  <c r="G14" i="29"/>
  <c r="Q13" i="29"/>
  <c r="R17" i="29" s="1"/>
  <c r="M13" i="29"/>
  <c r="N18" i="29" s="1"/>
  <c r="N11" i="29" s="1"/>
  <c r="I13" i="29"/>
  <c r="J18" i="29" s="1"/>
  <c r="J11" i="29" s="1"/>
  <c r="G13" i="29"/>
  <c r="H15" i="29" s="1"/>
  <c r="F13" i="29"/>
  <c r="E13" i="29"/>
  <c r="C13" i="29"/>
  <c r="D14" i="29" s="1"/>
  <c r="S5" i="29"/>
  <c r="P88" i="28"/>
  <c r="P83" i="28"/>
  <c r="P78" i="28"/>
  <c r="O74" i="28"/>
  <c r="P89" i="28" s="1"/>
  <c r="G72" i="28"/>
  <c r="G71" i="28"/>
  <c r="H71" i="28" s="1"/>
  <c r="G70" i="28"/>
  <c r="H70" i="28" s="1"/>
  <c r="G69" i="28"/>
  <c r="G68" i="28"/>
  <c r="G67" i="28"/>
  <c r="G66" i="28"/>
  <c r="H66" i="28" s="1"/>
  <c r="G65" i="28"/>
  <c r="H65" i="28" s="1"/>
  <c r="G64" i="28"/>
  <c r="G63" i="28"/>
  <c r="H63" i="28" s="1"/>
  <c r="G62" i="28"/>
  <c r="H62" i="28" s="1"/>
  <c r="G61" i="28"/>
  <c r="G60" i="28"/>
  <c r="G59" i="28"/>
  <c r="G58" i="28"/>
  <c r="H58" i="28" s="1"/>
  <c r="Q57" i="28"/>
  <c r="O57" i="28"/>
  <c r="G57" i="28"/>
  <c r="H69" i="28" s="1"/>
  <c r="F57" i="28"/>
  <c r="E57" i="28"/>
  <c r="G55" i="28"/>
  <c r="G54" i="28"/>
  <c r="G53" i="28"/>
  <c r="G52" i="28"/>
  <c r="G51" i="28"/>
  <c r="P50" i="28"/>
  <c r="G50" i="28"/>
  <c r="G49" i="28"/>
  <c r="G48" i="28"/>
  <c r="G47" i="28"/>
  <c r="G46" i="28"/>
  <c r="G45" i="28"/>
  <c r="G44" i="28"/>
  <c r="G43" i="28"/>
  <c r="G42" i="28"/>
  <c r="G41" i="28"/>
  <c r="Q40" i="28"/>
  <c r="O40" i="28"/>
  <c r="P53" i="28" s="1"/>
  <c r="F40" i="28"/>
  <c r="E40" i="28"/>
  <c r="G38" i="28"/>
  <c r="G37" i="28"/>
  <c r="D37" i="28"/>
  <c r="D20" i="28" s="1"/>
  <c r="G36" i="28"/>
  <c r="D36" i="28"/>
  <c r="D19" i="28" s="1"/>
  <c r="G35" i="28"/>
  <c r="G34" i="28"/>
  <c r="G33" i="28"/>
  <c r="D33" i="28"/>
  <c r="D16" i="28" s="1"/>
  <c r="G32" i="28"/>
  <c r="D32" i="28"/>
  <c r="D15" i="28" s="1"/>
  <c r="G31" i="28"/>
  <c r="G30" i="28"/>
  <c r="G29" i="28"/>
  <c r="D29" i="28"/>
  <c r="D12" i="28" s="1"/>
  <c r="G28" i="28"/>
  <c r="D28" i="28"/>
  <c r="D11" i="28" s="1"/>
  <c r="G27" i="28"/>
  <c r="G26" i="28"/>
  <c r="G25" i="28"/>
  <c r="D25" i="28"/>
  <c r="D8" i="28" s="1"/>
  <c r="G24" i="28"/>
  <c r="D24" i="28"/>
  <c r="Q23" i="28"/>
  <c r="R38" i="28" s="1"/>
  <c r="M23" i="28"/>
  <c r="N36" i="28" s="1"/>
  <c r="N19" i="28" s="1"/>
  <c r="I23" i="28"/>
  <c r="F23" i="28"/>
  <c r="E23" i="28"/>
  <c r="C23" i="28"/>
  <c r="D35" i="28" s="1"/>
  <c r="D18" i="28" s="1"/>
  <c r="S5" i="28"/>
  <c r="F20" i="27"/>
  <c r="F19" i="27"/>
  <c r="F18" i="27" s="1"/>
  <c r="E18" i="27"/>
  <c r="F16" i="27"/>
  <c r="F15" i="27"/>
  <c r="E14" i="27"/>
  <c r="F12" i="27"/>
  <c r="F11" i="27"/>
  <c r="H10" i="27"/>
  <c r="I12" i="27" s="1"/>
  <c r="I8" i="27" s="1"/>
  <c r="E10" i="27"/>
  <c r="C10" i="27"/>
  <c r="D11" i="27" s="1"/>
  <c r="J5" i="27"/>
  <c r="C27" i="25"/>
  <c r="C26" i="25"/>
  <c r="C23" i="25"/>
  <c r="C22" i="25"/>
  <c r="C20" i="25"/>
  <c r="C18" i="25"/>
  <c r="C16" i="25"/>
  <c r="C15" i="25"/>
  <c r="C11" i="25"/>
  <c r="C10" i="25"/>
  <c r="C29" i="25"/>
  <c r="P48" i="28" l="1"/>
  <c r="P43" i="28"/>
  <c r="P46" i="28"/>
  <c r="P52" i="28"/>
  <c r="P55" i="28"/>
  <c r="P21" i="28" s="1"/>
  <c r="R29" i="29"/>
  <c r="J15" i="29"/>
  <c r="J8" i="29" s="1"/>
  <c r="J17" i="29"/>
  <c r="J10" i="29" s="1"/>
  <c r="H28" i="29"/>
  <c r="H32" i="29"/>
  <c r="H14" i="29"/>
  <c r="H16" i="29"/>
  <c r="H18" i="29"/>
  <c r="H11" i="29" s="1"/>
  <c r="P20" i="29"/>
  <c r="R28" i="29"/>
  <c r="R32" i="29"/>
  <c r="R14" i="29"/>
  <c r="R16" i="29"/>
  <c r="R18" i="29"/>
  <c r="P11" i="29"/>
  <c r="H29" i="29"/>
  <c r="H59" i="28"/>
  <c r="H61" i="28"/>
  <c r="H67" i="28"/>
  <c r="P79" i="28"/>
  <c r="P84" i="28"/>
  <c r="P42" i="28"/>
  <c r="P8" i="28" s="1"/>
  <c r="P44" i="28"/>
  <c r="P51" i="28"/>
  <c r="P75" i="28"/>
  <c r="P80" i="28"/>
  <c r="P86" i="28"/>
  <c r="R24" i="28"/>
  <c r="R26" i="28"/>
  <c r="R28" i="28"/>
  <c r="R30" i="28"/>
  <c r="R32" i="28"/>
  <c r="R34" i="28"/>
  <c r="R36" i="28"/>
  <c r="P47" i="28"/>
  <c r="P54" i="28"/>
  <c r="P76" i="28"/>
  <c r="P82" i="28"/>
  <c r="P87" i="28"/>
  <c r="F14" i="27"/>
  <c r="G16" i="27" s="1"/>
  <c r="D7" i="27"/>
  <c r="F10" i="27"/>
  <c r="G12" i="27" s="1"/>
  <c r="D12" i="27"/>
  <c r="D8" i="27" s="1"/>
  <c r="C14" i="25"/>
  <c r="C19" i="25"/>
  <c r="C24" i="25"/>
  <c r="C13" i="25"/>
  <c r="C17" i="25"/>
  <c r="C21" i="25"/>
  <c r="C25" i="25"/>
  <c r="R7" i="29"/>
  <c r="H27" i="29"/>
  <c r="D7" i="29"/>
  <c r="N14" i="29"/>
  <c r="D16" i="29"/>
  <c r="D9" i="29" s="1"/>
  <c r="H17" i="29"/>
  <c r="D18" i="29"/>
  <c r="D11" i="29" s="1"/>
  <c r="H31" i="29"/>
  <c r="R22" i="29"/>
  <c r="R23" i="29"/>
  <c r="R24" i="29"/>
  <c r="R10" i="29" s="1"/>
  <c r="R25" i="29"/>
  <c r="P30" i="29"/>
  <c r="P9" i="29" s="1"/>
  <c r="P37" i="29"/>
  <c r="D15" i="29"/>
  <c r="D8" i="29" s="1"/>
  <c r="N15" i="29"/>
  <c r="N8" i="29" s="1"/>
  <c r="D17" i="29"/>
  <c r="D10" i="29" s="1"/>
  <c r="N17" i="29"/>
  <c r="N10" i="29" s="1"/>
  <c r="R30" i="29"/>
  <c r="P31" i="29"/>
  <c r="P38" i="29"/>
  <c r="N16" i="29"/>
  <c r="N9" i="29" s="1"/>
  <c r="P29" i="29"/>
  <c r="P8" i="29" s="1"/>
  <c r="J14" i="29"/>
  <c r="R15" i="29"/>
  <c r="J16" i="29"/>
  <c r="J9" i="29" s="1"/>
  <c r="H21" i="29"/>
  <c r="H22" i="29"/>
  <c r="H8" i="29" s="1"/>
  <c r="H23" i="29"/>
  <c r="H9" i="29" s="1"/>
  <c r="H24" i="29"/>
  <c r="P28" i="29"/>
  <c r="P35" i="29"/>
  <c r="J38" i="28"/>
  <c r="J21" i="28" s="1"/>
  <c r="J36" i="28"/>
  <c r="J19" i="28" s="1"/>
  <c r="J34" i="28"/>
  <c r="J17" i="28" s="1"/>
  <c r="J32" i="28"/>
  <c r="J15" i="28" s="1"/>
  <c r="J30" i="28"/>
  <c r="J13" i="28" s="1"/>
  <c r="J28" i="28"/>
  <c r="J11" i="28" s="1"/>
  <c r="J26" i="28"/>
  <c r="J9" i="28" s="1"/>
  <c r="J24" i="28"/>
  <c r="J35" i="28"/>
  <c r="J18" i="28" s="1"/>
  <c r="J31" i="28"/>
  <c r="J14" i="28" s="1"/>
  <c r="J27" i="28"/>
  <c r="J10" i="28" s="1"/>
  <c r="J25" i="28"/>
  <c r="J8" i="28" s="1"/>
  <c r="H32" i="28"/>
  <c r="J33" i="28"/>
  <c r="J16" i="28" s="1"/>
  <c r="P70" i="28"/>
  <c r="P66" i="28"/>
  <c r="P62" i="28"/>
  <c r="P58" i="28"/>
  <c r="P69" i="28"/>
  <c r="P65" i="28"/>
  <c r="P61" i="28"/>
  <c r="P72" i="28"/>
  <c r="P71" i="28"/>
  <c r="P68" i="28"/>
  <c r="P67" i="28"/>
  <c r="P16" i="28" s="1"/>
  <c r="P64" i="28"/>
  <c r="P63" i="28"/>
  <c r="P60" i="28"/>
  <c r="P59" i="28"/>
  <c r="R54" i="28"/>
  <c r="R50" i="28"/>
  <c r="R46" i="28"/>
  <c r="R42" i="28"/>
  <c r="R55" i="28"/>
  <c r="R51" i="28"/>
  <c r="R47" i="28"/>
  <c r="R43" i="28"/>
  <c r="R52" i="28"/>
  <c r="R48" i="28"/>
  <c r="R44" i="28"/>
  <c r="H28" i="28"/>
  <c r="J29" i="28"/>
  <c r="J12" i="28" s="1"/>
  <c r="J37" i="28"/>
  <c r="J20" i="28" s="1"/>
  <c r="G40" i="28"/>
  <c r="H51" i="28" s="1"/>
  <c r="H47" i="28"/>
  <c r="D7" i="28"/>
  <c r="R41" i="28"/>
  <c r="R45" i="28"/>
  <c r="R49" i="28"/>
  <c r="R53" i="28"/>
  <c r="N25" i="28"/>
  <c r="N8" i="28" s="1"/>
  <c r="N26" i="28"/>
  <c r="N9" i="28" s="1"/>
  <c r="N29" i="28"/>
  <c r="N12" i="28" s="1"/>
  <c r="N30" i="28"/>
  <c r="N13" i="28" s="1"/>
  <c r="N33" i="28"/>
  <c r="N16" i="28" s="1"/>
  <c r="N34" i="28"/>
  <c r="N17" i="28" s="1"/>
  <c r="N37" i="28"/>
  <c r="N20" i="28" s="1"/>
  <c r="N38" i="28"/>
  <c r="N21" i="28" s="1"/>
  <c r="H50" i="28"/>
  <c r="H54" i="28"/>
  <c r="G23" i="28"/>
  <c r="D26" i="28"/>
  <c r="D9" i="28" s="1"/>
  <c r="D30" i="28"/>
  <c r="D13" i="28" s="1"/>
  <c r="D34" i="28"/>
  <c r="D17" i="28" s="1"/>
  <c r="D38" i="28"/>
  <c r="D21" i="28" s="1"/>
  <c r="H45" i="28"/>
  <c r="H53" i="28"/>
  <c r="R69" i="28"/>
  <c r="R65" i="28"/>
  <c r="R61" i="28"/>
  <c r="R58" i="28"/>
  <c r="R59" i="28"/>
  <c r="R60" i="28"/>
  <c r="R62" i="28"/>
  <c r="R63" i="28"/>
  <c r="R64" i="28"/>
  <c r="R66" i="28"/>
  <c r="R67" i="28"/>
  <c r="R68" i="28"/>
  <c r="R70" i="28"/>
  <c r="R71" i="28"/>
  <c r="R72" i="28"/>
  <c r="R37" i="28"/>
  <c r="R35" i="28"/>
  <c r="R33" i="28"/>
  <c r="R31" i="28"/>
  <c r="R29" i="28"/>
  <c r="R27" i="28"/>
  <c r="R10" i="28" s="1"/>
  <c r="R25" i="28"/>
  <c r="N24" i="28"/>
  <c r="D27" i="28"/>
  <c r="D10" i="28" s="1"/>
  <c r="N27" i="28"/>
  <c r="N10" i="28" s="1"/>
  <c r="N28" i="28"/>
  <c r="N11" i="28" s="1"/>
  <c r="D31" i="28"/>
  <c r="D14" i="28" s="1"/>
  <c r="N31" i="28"/>
  <c r="N14" i="28" s="1"/>
  <c r="N32" i="28"/>
  <c r="N15" i="28" s="1"/>
  <c r="N35" i="28"/>
  <c r="N18" i="28" s="1"/>
  <c r="P41" i="28"/>
  <c r="H44" i="28"/>
  <c r="P45" i="28"/>
  <c r="P11" i="28" s="1"/>
  <c r="P49" i="28"/>
  <c r="H52" i="28"/>
  <c r="H60" i="28"/>
  <c r="H64" i="28"/>
  <c r="H68" i="28"/>
  <c r="H72" i="28"/>
  <c r="P77" i="28"/>
  <c r="P81" i="28"/>
  <c r="P85" i="28"/>
  <c r="G20" i="27"/>
  <c r="G8" i="27" s="1"/>
  <c r="J8" i="27" s="1"/>
  <c r="I11" i="27"/>
  <c r="G19" i="27"/>
  <c r="G15" i="27"/>
  <c r="G14" i="27" s="1"/>
  <c r="R12" i="28" l="1"/>
  <c r="R15" i="28"/>
  <c r="R21" i="28"/>
  <c r="R18" i="28"/>
  <c r="P20" i="28"/>
  <c r="K8" i="27"/>
  <c r="G35" i="25" s="1"/>
  <c r="D13" i="29"/>
  <c r="P34" i="29"/>
  <c r="R9" i="29"/>
  <c r="H10" i="29"/>
  <c r="S10" i="29" s="1"/>
  <c r="P10" i="29"/>
  <c r="R20" i="29"/>
  <c r="R27" i="29"/>
  <c r="R11" i="29"/>
  <c r="R6" i="29" s="1"/>
  <c r="L6" i="28"/>
  <c r="R19" i="28"/>
  <c r="H11" i="28"/>
  <c r="P10" i="28"/>
  <c r="H41" i="28"/>
  <c r="H46" i="28"/>
  <c r="H55" i="28"/>
  <c r="H43" i="28"/>
  <c r="P9" i="28"/>
  <c r="P17" i="28"/>
  <c r="P14" i="28"/>
  <c r="H57" i="28"/>
  <c r="H48" i="28"/>
  <c r="R8" i="28"/>
  <c r="R16" i="28"/>
  <c r="R9" i="28"/>
  <c r="H49" i="28"/>
  <c r="H15" i="28" s="1"/>
  <c r="H42" i="28"/>
  <c r="R11" i="28"/>
  <c r="S11" i="28" s="1"/>
  <c r="R17" i="28"/>
  <c r="P12" i="28"/>
  <c r="P18" i="28"/>
  <c r="P19" i="28"/>
  <c r="D10" i="27"/>
  <c r="G18" i="27"/>
  <c r="G11" i="27"/>
  <c r="G10" i="27" s="1"/>
  <c r="J13" i="29"/>
  <c r="J7" i="29"/>
  <c r="J6" i="29" s="1"/>
  <c r="N7" i="29"/>
  <c r="N6" i="29" s="1"/>
  <c r="N13" i="29"/>
  <c r="H13" i="29"/>
  <c r="P7" i="29"/>
  <c r="P6" i="29" s="1"/>
  <c r="P27" i="29"/>
  <c r="H20" i="29"/>
  <c r="S9" i="29"/>
  <c r="D6" i="29"/>
  <c r="R8" i="29"/>
  <c r="L6" i="29"/>
  <c r="S8" i="29"/>
  <c r="H7" i="29"/>
  <c r="H6" i="29" s="1"/>
  <c r="R13" i="29"/>
  <c r="R23" i="28"/>
  <c r="P74" i="28"/>
  <c r="H40" i="28"/>
  <c r="R20" i="28"/>
  <c r="R57" i="28"/>
  <c r="H37" i="28"/>
  <c r="H20" i="28" s="1"/>
  <c r="H33" i="28"/>
  <c r="H16" i="28" s="1"/>
  <c r="S16" i="28" s="1"/>
  <c r="H29" i="28"/>
  <c r="H12" i="28" s="1"/>
  <c r="H25" i="28"/>
  <c r="H8" i="28" s="1"/>
  <c r="S8" i="28" s="1"/>
  <c r="H35" i="28"/>
  <c r="H18" i="28" s="1"/>
  <c r="H31" i="28"/>
  <c r="H27" i="28"/>
  <c r="H10" i="28" s="1"/>
  <c r="S10" i="28" s="1"/>
  <c r="H34" i="28"/>
  <c r="H17" i="28" s="1"/>
  <c r="H26" i="28"/>
  <c r="H38" i="28"/>
  <c r="H21" i="28" s="1"/>
  <c r="H30" i="28"/>
  <c r="H13" i="28" s="1"/>
  <c r="R40" i="28"/>
  <c r="R7" i="28"/>
  <c r="D6" i="28"/>
  <c r="H36" i="28"/>
  <c r="H19" i="28" s="1"/>
  <c r="P13" i="28"/>
  <c r="P57" i="28"/>
  <c r="H24" i="28"/>
  <c r="J23" i="28"/>
  <c r="J7" i="28"/>
  <c r="J6" i="28" s="1"/>
  <c r="P15" i="28"/>
  <c r="P40" i="28"/>
  <c r="P7" i="28"/>
  <c r="N23" i="28"/>
  <c r="N7" i="28"/>
  <c r="N6" i="28" s="1"/>
  <c r="R14" i="28"/>
  <c r="D23" i="28"/>
  <c r="R13" i="28"/>
  <c r="I7" i="27"/>
  <c r="I6" i="27" s="1"/>
  <c r="I10" i="27"/>
  <c r="S12" i="28" l="1"/>
  <c r="S18" i="28"/>
  <c r="T18" i="28" s="1"/>
  <c r="G26" i="25" s="1"/>
  <c r="S21" i="28"/>
  <c r="T21" i="28" s="1"/>
  <c r="G29" i="25" s="1"/>
  <c r="S19" i="28"/>
  <c r="T19" i="28" s="1"/>
  <c r="G27" i="25" s="1"/>
  <c r="S15" i="28"/>
  <c r="T15" i="28" s="1"/>
  <c r="G22" i="25" s="1"/>
  <c r="S17" i="28"/>
  <c r="T17" i="28" s="1"/>
  <c r="G25" i="25" s="1"/>
  <c r="T10" i="29"/>
  <c r="G19" i="25" s="1"/>
  <c r="T8" i="29"/>
  <c r="G13" i="25" s="1"/>
  <c r="T9" i="29"/>
  <c r="G14" i="25" s="1"/>
  <c r="T10" i="28"/>
  <c r="G16" i="25" s="1"/>
  <c r="T8" i="28"/>
  <c r="G12" i="25" s="1"/>
  <c r="T11" i="28"/>
  <c r="G17" i="25" s="1"/>
  <c r="T12" i="28"/>
  <c r="G18" i="25" s="1"/>
  <c r="T16" i="28"/>
  <c r="G23" i="25" s="1"/>
  <c r="S11" i="29"/>
  <c r="S13" i="28"/>
  <c r="H14" i="28"/>
  <c r="S14" i="28" s="1"/>
  <c r="R6" i="28"/>
  <c r="H9" i="28"/>
  <c r="S9" i="28" s="1"/>
  <c r="S20" i="28"/>
  <c r="G7" i="27"/>
  <c r="S7" i="29"/>
  <c r="P6" i="28"/>
  <c r="H23" i="28"/>
  <c r="H7" i="28"/>
  <c r="G6" i="27"/>
  <c r="J7" i="27"/>
  <c r="T11" i="29" l="1"/>
  <c r="G24" i="25" s="1"/>
  <c r="T7" i="29"/>
  <c r="T14" i="28"/>
  <c r="G21" i="25" s="1"/>
  <c r="T20" i="28"/>
  <c r="G28" i="25" s="1"/>
  <c r="T9" i="28"/>
  <c r="G15" i="25" s="1"/>
  <c r="T13" i="28"/>
  <c r="G20" i="25" s="1"/>
  <c r="K7" i="27"/>
  <c r="G34" i="25" s="1"/>
  <c r="S6" i="29"/>
  <c r="H6" i="28"/>
  <c r="S7" i="28"/>
  <c r="J6" i="27"/>
  <c r="K6" i="27"/>
  <c r="T6" i="29" l="1"/>
  <c r="G10" i="25"/>
  <c r="T7" i="28"/>
  <c r="G11" i="25" s="1"/>
  <c r="S6" i="28"/>
  <c r="T6" i="28" l="1"/>
  <c r="H35" i="25"/>
  <c r="H34" i="25"/>
  <c r="H33" i="25"/>
  <c r="H32" i="25"/>
  <c r="H31" i="25"/>
  <c r="H30" i="25"/>
  <c r="H29" i="25"/>
  <c r="H28" i="25"/>
  <c r="H27" i="25"/>
  <c r="H26" i="25"/>
  <c r="D26" i="25"/>
  <c r="F26" i="25" s="1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D11" i="25"/>
  <c r="F11" i="25" s="1"/>
  <c r="H10" i="25"/>
  <c r="D10" i="25"/>
  <c r="F10" i="25" s="1"/>
  <c r="D35" i="25"/>
  <c r="F35" i="25" s="1"/>
  <c r="I11" i="25" l="1"/>
  <c r="I26" i="25"/>
  <c r="I10" i="25"/>
  <c r="I35" i="25"/>
  <c r="D25" i="25"/>
  <c r="F25" i="25" s="1"/>
  <c r="I25" i="25" s="1"/>
  <c r="D27" i="25"/>
  <c r="F27" i="25" s="1"/>
  <c r="I27" i="25" s="1"/>
  <c r="D13" i="25"/>
  <c r="F13" i="25" s="1"/>
  <c r="I13" i="25" s="1"/>
  <c r="D15" i="25"/>
  <c r="F15" i="25" s="1"/>
  <c r="I15" i="25" s="1"/>
  <c r="D17" i="25"/>
  <c r="F17" i="25" s="1"/>
  <c r="I17" i="25" s="1"/>
  <c r="D19" i="25"/>
  <c r="F19" i="25" s="1"/>
  <c r="I19" i="25" s="1"/>
  <c r="D21" i="25"/>
  <c r="F21" i="25" s="1"/>
  <c r="I21" i="25" s="1"/>
  <c r="D23" i="25"/>
  <c r="F23" i="25" s="1"/>
  <c r="I23" i="25" s="1"/>
  <c r="D30" i="25"/>
  <c r="F30" i="25" s="1"/>
  <c r="I30" i="25" s="1"/>
  <c r="D34" i="25"/>
  <c r="F34" i="25" s="1"/>
  <c r="I34" i="25" s="1"/>
  <c r="D14" i="25"/>
  <c r="F14" i="25" s="1"/>
  <c r="I14" i="25" s="1"/>
  <c r="D18" i="25"/>
  <c r="F18" i="25" s="1"/>
  <c r="I18" i="25" s="1"/>
  <c r="D22" i="25"/>
  <c r="F22" i="25" s="1"/>
  <c r="I22" i="25" s="1"/>
  <c r="D29" i="25"/>
  <c r="F29" i="25" s="1"/>
  <c r="I29" i="25" s="1"/>
  <c r="D31" i="25"/>
  <c r="F31" i="25" s="1"/>
  <c r="I31" i="25" s="1"/>
  <c r="D33" i="25"/>
  <c r="F33" i="25" s="1"/>
  <c r="I33" i="25" s="1"/>
  <c r="H36" i="25"/>
  <c r="C36" i="25"/>
  <c r="G36" i="25"/>
  <c r="D12" i="25"/>
  <c r="F12" i="25" s="1"/>
  <c r="I12" i="25" s="1"/>
  <c r="D16" i="25"/>
  <c r="F16" i="25" s="1"/>
  <c r="I16" i="25" s="1"/>
  <c r="D20" i="25"/>
  <c r="F20" i="25" s="1"/>
  <c r="I20" i="25" s="1"/>
  <c r="D24" i="25"/>
  <c r="F24" i="25" s="1"/>
  <c r="I24" i="25" s="1"/>
  <c r="D28" i="25"/>
  <c r="F28" i="25" s="1"/>
  <c r="I28" i="25" s="1"/>
  <c r="D32" i="25"/>
  <c r="F32" i="25" s="1"/>
  <c r="I32" i="25" s="1"/>
  <c r="F36" i="25" l="1"/>
  <c r="D36" i="25"/>
  <c r="I36" i="25"/>
  <c r="E32" i="10" l="1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D37" i="18" l="1"/>
  <c r="C37" i="18"/>
  <c r="E35" i="18" l="1"/>
  <c r="E25" i="18"/>
  <c r="E12" i="18"/>
  <c r="E14" i="18"/>
  <c r="E16" i="18"/>
  <c r="E18" i="18"/>
  <c r="E20" i="18"/>
  <c r="E22" i="18"/>
  <c r="E24" i="18"/>
  <c r="E26" i="18"/>
  <c r="E28" i="18"/>
  <c r="E30" i="18"/>
  <c r="E32" i="18"/>
  <c r="E34" i="18"/>
  <c r="E36" i="18"/>
  <c r="E11" i="18"/>
  <c r="E13" i="18"/>
  <c r="E15" i="18"/>
  <c r="E17" i="18"/>
  <c r="E19" i="18"/>
  <c r="E21" i="18"/>
  <c r="E23" i="18"/>
  <c r="E27" i="18"/>
  <c r="E29" i="18"/>
  <c r="E31" i="18"/>
  <c r="E33" i="18"/>
  <c r="E37" i="18" l="1"/>
  <c r="E6" i="18" l="1"/>
  <c r="D37" i="17" l="1"/>
  <c r="E34" i="17" s="1"/>
  <c r="C37" i="17"/>
  <c r="E33" i="17"/>
  <c r="E29" i="17"/>
  <c r="E25" i="17"/>
  <c r="E24" i="17"/>
  <c r="E22" i="17"/>
  <c r="E21" i="17"/>
  <c r="E20" i="17"/>
  <c r="E18" i="17"/>
  <c r="E17" i="17"/>
  <c r="E14" i="17"/>
  <c r="E13" i="17"/>
  <c r="E12" i="17"/>
  <c r="E6" i="17"/>
  <c r="E28" i="17" l="1"/>
  <c r="E32" i="17"/>
  <c r="E36" i="17"/>
  <c r="E11" i="17"/>
  <c r="E15" i="17"/>
  <c r="E19" i="17"/>
  <c r="E23" i="17"/>
  <c r="E27" i="17"/>
  <c r="E31" i="17"/>
  <c r="E35" i="17"/>
  <c r="E37" i="17" l="1"/>
  <c r="C36" i="16" l="1"/>
  <c r="D36" i="16" l="1"/>
  <c r="D33" i="10"/>
  <c r="E33" i="10" s="1"/>
  <c r="C33" i="10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4" i="10"/>
  <c r="G14" i="10" s="1"/>
  <c r="F13" i="10"/>
  <c r="G13" i="10" s="1"/>
  <c r="F12" i="10"/>
  <c r="G12" i="10" s="1"/>
  <c r="F11" i="10"/>
  <c r="G11" i="10" s="1"/>
  <c r="F10" i="10"/>
  <c r="G10" i="10" s="1"/>
  <c r="F9" i="10"/>
  <c r="G9" i="10" s="1"/>
  <c r="F8" i="10"/>
  <c r="G8" i="10" s="1"/>
  <c r="F7" i="10"/>
  <c r="G7" i="10" s="1"/>
  <c r="F33" i="10" l="1"/>
  <c r="G33" i="10" l="1"/>
  <c r="G36" i="10" s="1"/>
  <c r="G38" i="10" s="1"/>
</calcChain>
</file>

<file path=xl/sharedStrings.xml><?xml version="1.0" encoding="utf-8"?>
<sst xmlns="http://schemas.openxmlformats.org/spreadsheetml/2006/main" count="821" uniqueCount="300">
  <si>
    <t>(Nezahrnuje dotace na programy reprodukce majetku)</t>
  </si>
  <si>
    <t>Položka</t>
  </si>
  <si>
    <t>Rok 2015</t>
  </si>
  <si>
    <t>Rok 2016</t>
  </si>
  <si>
    <t>meziroční změna</t>
  </si>
  <si>
    <t>Průměrný normativ</t>
  </si>
  <si>
    <t>Základní normativ</t>
  </si>
  <si>
    <t xml:space="preserve">Normativ absolventa </t>
  </si>
  <si>
    <t>x</t>
  </si>
  <si>
    <t>Výpočtová dotace na 1  jídlo</t>
  </si>
  <si>
    <t>Příspěvek *)</t>
  </si>
  <si>
    <t>Dotace *)</t>
  </si>
  <si>
    <t>Název ukazatele / položky</t>
  </si>
  <si>
    <r>
      <t xml:space="preserve">% podíl z celku </t>
    </r>
    <r>
      <rPr>
        <i/>
        <sz val="11"/>
        <color indexed="23"/>
        <rFont val="Arial"/>
        <family val="2"/>
        <charset val="238"/>
      </rPr>
      <t>(sl. 3)</t>
    </r>
  </si>
  <si>
    <r>
      <t xml:space="preserve">Meziroční vývoj 
</t>
    </r>
    <r>
      <rPr>
        <i/>
        <sz val="11"/>
        <color indexed="23"/>
        <rFont val="Arial"/>
        <family val="2"/>
        <charset val="238"/>
      </rPr>
      <t>(sl. 3 vs 2)</t>
    </r>
  </si>
  <si>
    <t>Rozpočet 2015</t>
  </si>
  <si>
    <r>
      <t xml:space="preserve">% podíl z celku </t>
    </r>
    <r>
      <rPr>
        <i/>
        <sz val="11"/>
        <color indexed="23"/>
        <rFont val="Arial"/>
        <family val="2"/>
        <charset val="238"/>
      </rPr>
      <t>(sl. 6)</t>
    </r>
  </si>
  <si>
    <r>
      <t xml:space="preserve">Meziroční vývoj 
</t>
    </r>
    <r>
      <rPr>
        <i/>
        <sz val="11"/>
        <color indexed="23"/>
        <rFont val="Arial"/>
        <family val="2"/>
        <charset val="238"/>
      </rPr>
      <t>(sl. 6 vs 3)</t>
    </r>
  </si>
  <si>
    <r>
      <t xml:space="preserve">% podíl z celku </t>
    </r>
    <r>
      <rPr>
        <i/>
        <sz val="11"/>
        <color indexed="23"/>
        <rFont val="Arial"/>
        <family val="2"/>
        <charset val="238"/>
      </rPr>
      <t>(sl. 9)</t>
    </r>
  </si>
  <si>
    <r>
      <t xml:space="preserve">Meziroční vývoj 
</t>
    </r>
    <r>
      <rPr>
        <i/>
        <sz val="11"/>
        <color indexed="23"/>
        <rFont val="Arial"/>
        <family val="2"/>
        <charset val="238"/>
      </rPr>
      <t>(sl. 9 vs 6)</t>
    </r>
  </si>
  <si>
    <t>P</t>
  </si>
  <si>
    <t>Celkem normativní část rozpočtu</t>
  </si>
  <si>
    <t>Rozpočtový okruh II, Sociální záležitosti studentů</t>
  </si>
  <si>
    <t>Ukazatel C - stipendia pro studenty doktorských stud. prog.</t>
  </si>
  <si>
    <t>D</t>
  </si>
  <si>
    <t>Ukazatel J - dotace na ubytování a stravování studentů</t>
  </si>
  <si>
    <t>Ukazatel S1 - příspěvek na sociální stipendia VVŠ</t>
  </si>
  <si>
    <t>Ukazatel S2 - dotace na sociální stipendia SVŠ</t>
  </si>
  <si>
    <t>Ukazatel U1- příspěvek na ubytovací stipendia VVŠ</t>
  </si>
  <si>
    <t>Ukazatel U2 - dotace na ubytovací stipendia SVŠ</t>
  </si>
  <si>
    <t>Celkem sociální záležitosti studentů</t>
  </si>
  <si>
    <t>Rozpočtový okruh III, Rozvoj vysokých škol</t>
  </si>
  <si>
    <t xml:space="preserve">Ukazatel I - rozvojové programy </t>
  </si>
  <si>
    <t>v tom</t>
  </si>
  <si>
    <t>Institucionální plány (dříve decentralizované)</t>
  </si>
  <si>
    <t>Centralizované rozvojové projekty</t>
  </si>
  <si>
    <t>Celkem rozvoj vysokých škol</t>
  </si>
  <si>
    <t>Rozpočtový okruh IV, Mezinárodní spolupráce a ostatní</t>
  </si>
  <si>
    <t>Ukazatel D - mezinárodní spolupráce</t>
  </si>
  <si>
    <t>V tom:</t>
  </si>
  <si>
    <t>CEEPUS</t>
  </si>
  <si>
    <t>Podpora mezinárodní spolupráce</t>
  </si>
  <si>
    <t>Ukazatel F - Fond vzdělávací politiky</t>
  </si>
  <si>
    <t>Systémová podpora VŠ</t>
  </si>
  <si>
    <t>Studium studentů se specifickými potřebami</t>
  </si>
  <si>
    <t>Univerzita třetího věku (U3V)</t>
  </si>
  <si>
    <t>Registr uměleckých výstupů (RUV)</t>
  </si>
  <si>
    <t>Soukromé VŠ</t>
  </si>
  <si>
    <t>Univerzita obrany</t>
  </si>
  <si>
    <t>další</t>
  </si>
  <si>
    <t>Celkem Mezinárodní spolupráce a ostatní</t>
  </si>
  <si>
    <t>Celkem příspěvek + dotace k rozpisu</t>
  </si>
  <si>
    <t>Prostředky přidělené sekci 4 pro účely spolufinancování programu VaVpI</t>
  </si>
  <si>
    <t>Prostředky přidělené na základě PV 36/2014</t>
  </si>
  <si>
    <t>Převod rezervy OP VK provedený v r. 2015</t>
  </si>
  <si>
    <t>Navýšení výdajů na VŠ v rámci rozpočtu MŠMT</t>
  </si>
  <si>
    <t>Snížení částky k rozpisu o převod sekci VI</t>
  </si>
  <si>
    <t>Ukazatel rozpočtu VŠ (zák. o státním rozpočtu)</t>
  </si>
  <si>
    <t>Rezerva na priority MŠMT</t>
  </si>
  <si>
    <t>Rozpočet 2016</t>
  </si>
  <si>
    <t>Celkem</t>
  </si>
  <si>
    <t>Kód VVŠ</t>
  </si>
  <si>
    <t>JU</t>
  </si>
  <si>
    <t>MU</t>
  </si>
  <si>
    <t>UP</t>
  </si>
  <si>
    <t>OU</t>
  </si>
  <si>
    <t>UHK</t>
  </si>
  <si>
    <t>SU</t>
  </si>
  <si>
    <t>ČVUT</t>
  </si>
  <si>
    <t>TUL</t>
  </si>
  <si>
    <t>VŠB-TUO</t>
  </si>
  <si>
    <t>VŠE</t>
  </si>
  <si>
    <t>MENDELU</t>
  </si>
  <si>
    <t>JAMU</t>
  </si>
  <si>
    <t>VŠTE</t>
  </si>
  <si>
    <t>Univerzita Hradec Králové</t>
  </si>
  <si>
    <t>Ukazatel C</t>
  </si>
  <si>
    <t>Počet stud. v DSPSP</t>
  </si>
  <si>
    <t>Jihočeská univerzita v Českých Budějovicích</t>
  </si>
  <si>
    <t>Univerzita Jana Evangelisty Purkyně v Ústí nad Labem</t>
  </si>
  <si>
    <t>Masarykova univerzita</t>
  </si>
  <si>
    <t>Univerzita Palackého v Olomouci</t>
  </si>
  <si>
    <t>Veterinární a farmaceutická univerzita Brno</t>
  </si>
  <si>
    <t>Slezská univerzita v Opavě</t>
  </si>
  <si>
    <t>České vysoké učení technické v Praze</t>
  </si>
  <si>
    <t>Vysoká škola chemicko-technologická v Praze</t>
  </si>
  <si>
    <t>Západočeská univerzita v Plzni</t>
  </si>
  <si>
    <t>Technická univerzita v Liberci</t>
  </si>
  <si>
    <t>Univerzita Pardubice</t>
  </si>
  <si>
    <t>Vysoké učení technické v Brně</t>
  </si>
  <si>
    <t>Vysoká škola báňská - Technická univerzita Ostrava</t>
  </si>
  <si>
    <t>Univerzita Tomáše Bati ve Zlíně</t>
  </si>
  <si>
    <t>Vysoká škola ekonomická v Praze</t>
  </si>
  <si>
    <t>Česká zemědělská univerzita v Praze</t>
  </si>
  <si>
    <t>Mendelova univerzita v Brně</t>
  </si>
  <si>
    <t>Akademie múzických umění v Praze</t>
  </si>
  <si>
    <t>Akademie výtvarných umění v Praze</t>
  </si>
  <si>
    <t>Vysoká škola uměleckoprůmyslová v Praze</t>
  </si>
  <si>
    <t>Janáčkova akademie múzických umění v Brně</t>
  </si>
  <si>
    <t>Vysoká škola polytechnická Jihlava</t>
  </si>
  <si>
    <t>Vysoká škola technická a ekonomická v Českých Budějovicích</t>
  </si>
  <si>
    <t xml:space="preserve">Ukazatel F </t>
  </si>
  <si>
    <t>Jednotková částka na jednu studentohodinu (Kč)</t>
  </si>
  <si>
    <t>Název VVŠ</t>
  </si>
  <si>
    <t>Upravený nárok</t>
  </si>
  <si>
    <t>Počet účastníků U3V</t>
  </si>
  <si>
    <t>Počet studento- hodin</t>
  </si>
  <si>
    <t>Ukazatel F</t>
  </si>
  <si>
    <t>Rozsah vykrytí kalkulovaných zvýšených nákladů (%)</t>
  </si>
  <si>
    <t>Počet studentů    se SP</t>
  </si>
  <si>
    <t>Kalkulované zvýšené náklady (Kč)</t>
  </si>
  <si>
    <t>Ukazatel I</t>
  </si>
  <si>
    <t>Orientační limit</t>
  </si>
  <si>
    <t>Ukazatel J</t>
  </si>
  <si>
    <t>dotace</t>
  </si>
  <si>
    <t>teplých</t>
  </si>
  <si>
    <t>studených</t>
  </si>
  <si>
    <t>stud. přepočt.</t>
  </si>
  <si>
    <t>celkem tep. + st. přep.</t>
  </si>
  <si>
    <t>Ukazatel U</t>
  </si>
  <si>
    <t>Základní údaje</t>
  </si>
  <si>
    <t>Počet studentů</t>
  </si>
  <si>
    <t>Ukazatel U1 - veřejné vysoké školy</t>
  </si>
  <si>
    <t>Ukazatel D</t>
  </si>
  <si>
    <t>Příspěvek poskytnutý na dofinancování programu Erasmus letech</t>
  </si>
  <si>
    <t>Podíl VVŠ na celkovém poskytnutém příspěvku v roce</t>
  </si>
  <si>
    <t>Průměr ročních podílů</t>
  </si>
  <si>
    <t>Kč</t>
  </si>
  <si>
    <t>Mimořádné přijímací řízení PF</t>
  </si>
  <si>
    <t>Navýšení výdajů na VŠ na zajištění mimořádného přijímacího řízení PF v rámci rozpočtu MŠMT</t>
  </si>
  <si>
    <t>Seznam tabulek: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</si>
  <si>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</si>
  <si>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</si>
  <si>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</si>
  <si>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</si>
  <si>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</si>
  <si>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</si>
  <si>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</si>
  <si>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</si>
  <si>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</si>
  <si>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</si>
  <si>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</si>
  <si>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Ostravská univerzita</t>
  </si>
  <si>
    <t>Univerzita Karlova</t>
  </si>
  <si>
    <t>údaje v Kć</t>
  </si>
  <si>
    <t>údaje v Kč</t>
  </si>
  <si>
    <t>Příspěvek na studium SSP    v r. 2017 
(v Kč)</t>
  </si>
  <si>
    <t>2014</t>
  </si>
  <si>
    <t>2015</t>
  </si>
  <si>
    <t>2016</t>
  </si>
  <si>
    <t xml:space="preserve">celkový počet vydaných jídel </t>
  </si>
  <si>
    <t>Rok 2017</t>
  </si>
  <si>
    <t>Rozpočet 2017</t>
  </si>
  <si>
    <t>Podpora VŠ - pozměňovací návrh PS</t>
  </si>
  <si>
    <t xml:space="preserve">Podpora pedagogických fakult </t>
  </si>
  <si>
    <t>Ukazatel M - mimořádné aktivity VŠ</t>
  </si>
  <si>
    <t>Rozpočtový okruh I, institucionální část rozpočtu</t>
  </si>
  <si>
    <t>Podíl VVŠ na fixní části 2017</t>
  </si>
  <si>
    <t>Výsledky výzkumu, vývoje a inovací (body RIV)</t>
  </si>
  <si>
    <t>Výsledky umělecké činnosti (body RUV)</t>
  </si>
  <si>
    <t>Zaměstnanost absolventů</t>
  </si>
  <si>
    <t>Podíl cizinců</t>
  </si>
  <si>
    <t>Pedagogové</t>
  </si>
  <si>
    <t xml:space="preserve">Vyslaní </t>
  </si>
  <si>
    <t>Přijatí</t>
  </si>
  <si>
    <t>Váhy parametrů</t>
  </si>
  <si>
    <t>VVŠ celkem</t>
  </si>
  <si>
    <t xml:space="preserve">UK </t>
  </si>
  <si>
    <t xml:space="preserve">UJEP </t>
  </si>
  <si>
    <t>VFU Brno</t>
  </si>
  <si>
    <t>VŠCHT Praha</t>
  </si>
  <si>
    <t>ZČU</t>
  </si>
  <si>
    <t>UPa</t>
  </si>
  <si>
    <t>VUT v Brně</t>
  </si>
  <si>
    <t>UTB ve Zlíně</t>
  </si>
  <si>
    <t>ČZU v Praze</t>
  </si>
  <si>
    <t>částka vyčleněná na RO I</t>
  </si>
  <si>
    <t xml:space="preserve">     v tom fixní část</t>
  </si>
  <si>
    <t xml:space="preserve">     v tom výkonová část </t>
  </si>
  <si>
    <t>Fixní část</t>
  </si>
  <si>
    <t>Výkonová část</t>
  </si>
  <si>
    <t>RO I celkem</t>
  </si>
  <si>
    <t>%</t>
  </si>
  <si>
    <t>údaje v %</t>
  </si>
  <si>
    <t>Externí příjmy VŠ spojené se vzdělávací a tvůrčí činností</t>
  </si>
  <si>
    <t>**)</t>
  </si>
  <si>
    <t xml:space="preserve">*) </t>
  </si>
  <si>
    <t>V některých ukazatelích může být poskytnut příspěvek nebo dotace v závislosti na účelu, na který se poskytuje.</t>
  </si>
  <si>
    <t>Rok 2018</t>
  </si>
  <si>
    <t>Rozpočet 2018</t>
  </si>
  <si>
    <t>Podíl VVŠ na fixní části 2018</t>
  </si>
  <si>
    <t>Externí příjmy VŠ spojené se vzdělávací a tvůrčí činností vč samoplátců</t>
  </si>
  <si>
    <t>Podíl na výkonové části v rámci segmentu (v %)</t>
  </si>
  <si>
    <t>Podíl na výkonové části v rámci všech VVŠ (v%)</t>
  </si>
  <si>
    <t>51000</t>
  </si>
  <si>
    <t>AMU</t>
  </si>
  <si>
    <t>52000</t>
  </si>
  <si>
    <t>AVU</t>
  </si>
  <si>
    <t>53000</t>
  </si>
  <si>
    <t>VŠUP</t>
  </si>
  <si>
    <t>54000</t>
  </si>
  <si>
    <t>2017</t>
  </si>
  <si>
    <t>Graduation rate</t>
  </si>
  <si>
    <t>55000</t>
  </si>
  <si>
    <t>VŠPJ</t>
  </si>
  <si>
    <t>56000</t>
  </si>
  <si>
    <t>C e l k e m</t>
  </si>
  <si>
    <t xml:space="preserve">C e l k e m </t>
  </si>
  <si>
    <t>Segment - 1</t>
  </si>
  <si>
    <t>Segment - 2</t>
  </si>
  <si>
    <t>Segment - 3</t>
  </si>
  <si>
    <t>Segment - 4</t>
  </si>
  <si>
    <t>Podíl na RO I</t>
  </si>
  <si>
    <t>3a.</t>
  </si>
  <si>
    <t>3b.</t>
  </si>
  <si>
    <t>3c.</t>
  </si>
  <si>
    <t>3d.</t>
  </si>
  <si>
    <t>Rozpis rozpočtu vysokých škol na rok 2018</t>
  </si>
  <si>
    <t>Výpočet RO I</t>
  </si>
  <si>
    <t>Výstup ze SIMS podle stavu k 31. 10. 2017</t>
  </si>
  <si>
    <t>Podpora umělecké tvůrčí činnosti</t>
  </si>
  <si>
    <t>Ubytovací stipendium v roce 2018</t>
  </si>
  <si>
    <t>Výstup SIMS k 31.10.2017</t>
  </si>
  <si>
    <t>Název VŠ</t>
  </si>
  <si>
    <t>výše příspěvku</t>
  </si>
  <si>
    <t>Celkem   V V Š</t>
  </si>
  <si>
    <t>Podpora mezinárodní spolupráce v roce 2018</t>
  </si>
  <si>
    <t>VVŠ</t>
  </si>
  <si>
    <t>Ukazatel F - SSP</t>
  </si>
  <si>
    <t>Ukazatel F - U3V</t>
  </si>
  <si>
    <t>Výše příspěvku           v ukazateli (navýšení o 50%)</t>
  </si>
  <si>
    <t xml:space="preserve">Příspěvek na U3V na r. 2018
</t>
  </si>
  <si>
    <t xml:space="preserve"> Dotace na ubytování a stravování studentů v roce 2018</t>
  </si>
  <si>
    <t>Bilance zdrojů pro rozdělení příspěvku a dotací vysokým školám v roce 2018</t>
  </si>
  <si>
    <r>
      <t>Rok 2018</t>
    </r>
    <r>
      <rPr>
        <b/>
        <vertAlign val="superscript"/>
        <sz val="12"/>
        <rFont val="Arial"/>
        <family val="2"/>
        <charset val="238"/>
      </rPr>
      <t xml:space="preserve"> **)</t>
    </r>
  </si>
  <si>
    <t>Výpočtové ubytovací stipendium (ročně)</t>
  </si>
  <si>
    <t>Sociální stipendium (měsíčně)</t>
  </si>
  <si>
    <t>údaje do r. 2015 v tis. Kč, od r. 2016 v Kč</t>
  </si>
  <si>
    <t>Ukazatel A -(fixní část)</t>
  </si>
  <si>
    <t>Ukazatel K - kvalita a výkon (výkonová část)</t>
  </si>
  <si>
    <t>Seznam</t>
  </si>
  <si>
    <t>Stanovení podílů výkonové části pro jednotlivé segmenty - 2018</t>
  </si>
  <si>
    <t>Podpora financování nákladů souvisejících se vzděláváním seniorů prostřednictvím tzv. Univerzit třetího věku v roce 2018</t>
  </si>
  <si>
    <t>Podpora financování zvýšených nákladů souvisejících se studiem studentů se specifickými potřebami v roce 2018</t>
  </si>
  <si>
    <t>Výsledný podíl</t>
  </si>
  <si>
    <t>Částka po krácení</t>
  </si>
  <si>
    <t>Podíl v %</t>
  </si>
  <si>
    <t>Částka</t>
  </si>
  <si>
    <t>Krácení finančních prostředků *)</t>
  </si>
  <si>
    <t>*) Finanční prostředky kráceny uplatněním čl. 10 odst. 7 Pravidel</t>
  </si>
  <si>
    <t>0.</t>
  </si>
  <si>
    <t>Částka **)</t>
  </si>
  <si>
    <t>Bilance zdrojů</t>
  </si>
  <si>
    <t xml:space="preserve">Vzhledem ke změně metodiky výpočtu Rozpočtového okruhu I (RO I) je hodnota průměrného normativu pro rok 2017 resp. 2018 stanovena jako podíl prostředků v RO I a celkového počtu normativních studentů k 31. 10. 2016 resp. 31. 10. 2017. Do roku 2015 se jednalo o podíl prostředků v RO I a započteného počtu financovaných normativních studentů, pro rok  2016 o podíl prostředků v RO I a počtu financovaných normativních studentů, odvozeného z roku 2015. </t>
  </si>
  <si>
    <t>Změna podílů pro rok 2018 je z důvodu zvýšení podílu segmentu 2 (VŠPJ na 0,58% a VŠTE na 0,82%) na úkor segmentů 3 a 4.</t>
  </si>
  <si>
    <t>Výkonová část RO I - 2018 - Segment 1</t>
  </si>
  <si>
    <t>Výkonová část RO I - 2018 - Segment 2</t>
  </si>
  <si>
    <t>Výkonová část RO I - 2018 - Segment 3</t>
  </si>
  <si>
    <t>Výkonová část RO I - 2018 - Segment 4</t>
  </si>
  <si>
    <t>Stipendia pro studenty doktorských studijních programů v roce 2018</t>
  </si>
  <si>
    <r>
      <rPr>
        <b/>
        <sz val="10"/>
        <color theme="1"/>
        <rFont val="Calibri"/>
        <family val="2"/>
        <charset val="238"/>
        <scheme val="minor"/>
      </rPr>
      <t xml:space="preserve">Pro rok 2017 </t>
    </r>
    <r>
      <rPr>
        <sz val="10"/>
        <color theme="1"/>
        <rFont val="Calibri"/>
        <family val="2"/>
        <charset val="238"/>
        <scheme val="minor"/>
      </rPr>
      <t xml:space="preserve">byly uplatněné </t>
    </r>
    <r>
      <rPr>
        <b/>
        <sz val="10"/>
        <color theme="1"/>
        <rFont val="Calibri"/>
        <family val="2"/>
        <charset val="238"/>
        <scheme val="minor"/>
      </rPr>
      <t>nároky vykryty ve výši 78,8 %.</t>
    </r>
  </si>
  <si>
    <t>Rozvojové programy - Institucionální plány 2018</t>
  </si>
  <si>
    <t>Výše příspěvku pro VVŠ (Kč)</t>
  </si>
  <si>
    <t>Jednotková sazba (Kč)</t>
  </si>
  <si>
    <t>Rok 2017 **)</t>
  </si>
  <si>
    <t>Rezerva na navýš. RO I dle čl. 9, odst. 6 v r. 2015, resp. dle čl. 10 odst. 7 Pravidel pro rok 2018</t>
  </si>
  <si>
    <t xml:space="preserve">Rozpočtový okruh I, institucionální část rozpočtu </t>
  </si>
  <si>
    <t>- stanovení podílů na rok 2018 ve fixní části</t>
  </si>
  <si>
    <t>(Podíly VVŠ v segmentech 2 - 4 vycházející z rozpisu RO I rozpočtu na r. 2017)</t>
  </si>
  <si>
    <t>Stanovení podílu VVŠ v segmentu 1</t>
  </si>
  <si>
    <t>měsíčně</t>
  </si>
  <si>
    <t>ročně</t>
  </si>
  <si>
    <t>Jednotková výše stipendia - 10 měsíců v roce (Kč)</t>
  </si>
  <si>
    <t>Jednotková výše stipendia (Kč)</t>
  </si>
  <si>
    <t>Celková částka podle rozpisu rozpočtu (Kč)</t>
  </si>
  <si>
    <t>Celková částka vyčleněná na studium SSP (Kč)</t>
  </si>
  <si>
    <t>Normativ na jedno hlavní jídlo (Kč)</t>
  </si>
  <si>
    <t>Roční příspěvek na stravování (Kč)</t>
  </si>
  <si>
    <t>Částka v rozpisu rozpočtu na rok 2018 (Kč)</t>
  </si>
  <si>
    <t>Rezerva na žádosti dle čl. 15 Pravidel (Kč)</t>
  </si>
  <si>
    <t>Stanovení podílů fixní části</t>
  </si>
  <si>
    <t>Stanovení podílů segmentů</t>
  </si>
  <si>
    <t>Výkonová část segment 1</t>
  </si>
  <si>
    <t>Výkonová část segment 2</t>
  </si>
  <si>
    <t>Výkonová část segment 3</t>
  </si>
  <si>
    <t>Výkonová část segment 4</t>
  </si>
  <si>
    <t xml:space="preserve">Rozpočtový okruh I, institucionální část rozpočtu - celkový výpočet na rok 2018 </t>
  </si>
  <si>
    <t>vč. krácení dle čl. 10 odst. 7 Pravidel</t>
  </si>
  <si>
    <t>Výpočt. stip. v doktor. studiu (ročně)</t>
  </si>
  <si>
    <t>Částky uváděné v minulých letech představují rozpočtované hodnoty, nikoliv skutečnosti</t>
  </si>
  <si>
    <r>
      <t xml:space="preserve">**) Finanční prostředky představující rozdíl mezi spočteným objemem výkonové části 3 130 127 604 Kč a rozpočtovaným objemem 3 118 602 323 Kč tj. </t>
    </r>
    <r>
      <rPr>
        <b/>
        <sz val="13.5"/>
        <color theme="1"/>
        <rFont val="Calibri"/>
        <family val="2"/>
        <charset val="238"/>
        <scheme val="minor"/>
      </rPr>
      <t>11 525 281 Kč budou dokryty z RO IV.</t>
    </r>
  </si>
  <si>
    <t>Výše prostředků pro r. 2018</t>
  </si>
  <si>
    <t>Vyslaní a přijatí studenti v rámci mobilitních programů</t>
  </si>
  <si>
    <t>Počet studentů splňujících podmínky VVŠ</t>
  </si>
  <si>
    <t>Počet studentů splňujících podmínky SVŠ</t>
  </si>
  <si>
    <t>Maximální možná výše dotace pro SVŠ (Kč)</t>
  </si>
  <si>
    <t>Členění rozpisu rozpočtu z pohledu struktury údajů státní pokladny</t>
  </si>
  <si>
    <t>Bude upřesněno v průběhu roku podle povahy schváleného výdaje fondu F</t>
  </si>
  <si>
    <t>Příspěvek celkem</t>
  </si>
  <si>
    <t>Dotace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</si>
</sst>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#,##0\ &quot;Kč&quot;;[Red]\-#,##0\ &quot;Kč&quot;"/>
    <numFmt numFmtId="8" formatCode="#,##0.00\ &quot;Kč&quot;;[Red]\-#,##0.00\ &quot;Kč&quot;"/>
    <numFmt numFmtId="164" formatCode="0.0%"/>
    <numFmt numFmtId="165" formatCode="0.0"/>
    <numFmt numFmtId="166" formatCode="#,##0.0"/>
    <numFmt numFmtId="167" formatCode="#,##0.000000"/>
    <numFmt numFmtId="168" formatCode="0.000"/>
    <numFmt numFmtId="169" formatCode="#,##0.00_ ;[Red]\-#,##0.00\ "/>
    <numFmt numFmtId="170" formatCode="0.0000%"/>
    <numFmt numFmtId="171" formatCode="0.0000"/>
    <numFmt numFmtId="172" formatCode="0.00000%"/>
    <numFmt numFmtId="173" formatCode="0.000%"/>
    <numFmt numFmtId="174" formatCode="#,##0_ ;[Red]\-#,##0\ ;\–\ "/>
  </numFmts>
  <fonts count="7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i/>
      <sz val="11"/>
      <name val="Arial"/>
      <family val="2"/>
      <charset val="238"/>
    </font>
    <font>
      <b/>
      <i/>
      <sz val="11"/>
      <color rgb="FF808080"/>
      <name val="Arial"/>
      <family val="2"/>
      <charset val="238"/>
    </font>
    <font>
      <i/>
      <sz val="11"/>
      <color indexed="23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color rgb="FF80808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i/>
      <sz val="12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808080"/>
      <name val="Arial"/>
      <family val="2"/>
      <charset val="238"/>
    </font>
    <font>
      <b/>
      <i/>
      <sz val="12"/>
      <color rgb="FF80808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11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b/>
      <sz val="15"/>
      <name val="Arial"/>
      <family val="2"/>
      <charset val="238"/>
    </font>
    <font>
      <b/>
      <sz val="2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2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1"/>
      <name val="Times New Roman CE"/>
      <family val="1"/>
      <charset val="238"/>
    </font>
    <font>
      <b/>
      <sz val="18"/>
      <color indexed="8"/>
      <name val="Arial"/>
      <family val="2"/>
      <charset val="238"/>
    </font>
    <font>
      <b/>
      <sz val="15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22"/>
      <name val="Arial"/>
      <family val="2"/>
      <charset val="238"/>
    </font>
    <font>
      <sz val="22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22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22"/>
      <name val="Calibri"/>
      <family val="2"/>
      <charset val="238"/>
      <scheme val="minor"/>
    </font>
    <font>
      <sz val="13.5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3.5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9D08E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theme="9" tint="-0.499984740745262"/>
      </right>
      <top style="medium">
        <color indexed="64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9" tint="-0.499984740745262"/>
      </right>
      <top/>
      <bottom style="medium">
        <color indexed="64"/>
      </bottom>
      <diagonal/>
    </border>
    <border>
      <left style="medium">
        <color theme="9" tint="-0.499984740745262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9" tint="-0.499984740745262"/>
      </top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thin">
        <color indexed="64"/>
      </top>
      <bottom/>
      <diagonal/>
    </border>
    <border>
      <left style="medium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5" fillId="0" borderId="0"/>
    <xf numFmtId="0" fontId="11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8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11" fillId="0" borderId="0"/>
    <xf numFmtId="0" fontId="46" fillId="0" borderId="0"/>
    <xf numFmtId="0" fontId="2" fillId="0" borderId="0"/>
    <xf numFmtId="0" fontId="2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131" applyFill="0" applyAlignment="0" applyProtection="0"/>
    <xf numFmtId="0" fontId="45" fillId="0" borderId="0" applyFont="0"/>
  </cellStyleXfs>
  <cellXfs count="1023">
    <xf numFmtId="0" fontId="0" fillId="0" borderId="0" xfId="0"/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2" borderId="0" xfId="1" applyFont="1" applyFill="1" applyBorder="1" applyAlignment="1">
      <alignment vertical="center"/>
    </xf>
    <xf numFmtId="164" fontId="7" fillId="2" borderId="0" xfId="1" applyNumberFormat="1" applyFont="1" applyFill="1" applyBorder="1" applyAlignment="1">
      <alignment horizontal="right" vertical="center"/>
    </xf>
    <xf numFmtId="164" fontId="7" fillId="2" borderId="0" xfId="1" applyNumberFormat="1" applyFont="1" applyFill="1" applyAlignment="1">
      <alignment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3" fontId="6" fillId="2" borderId="11" xfId="1" applyNumberFormat="1" applyFont="1" applyFill="1" applyBorder="1" applyAlignment="1">
      <alignment horizontal="center" vertical="center" wrapText="1"/>
    </xf>
    <xf numFmtId="3" fontId="6" fillId="2" borderId="12" xfId="1" applyNumberFormat="1" applyFont="1" applyFill="1" applyBorder="1" applyAlignment="1">
      <alignment horizontal="center" vertical="center" wrapText="1"/>
    </xf>
    <xf numFmtId="3" fontId="6" fillId="0" borderId="11" xfId="1" applyNumberFormat="1" applyFont="1" applyFill="1" applyBorder="1" applyAlignment="1">
      <alignment horizontal="center" vertical="center"/>
    </xf>
    <xf numFmtId="10" fontId="7" fillId="2" borderId="13" xfId="1" applyNumberFormat="1" applyFont="1" applyFill="1" applyBorder="1" applyAlignment="1">
      <alignment horizontal="center" vertical="center"/>
    </xf>
    <xf numFmtId="10" fontId="7" fillId="2" borderId="15" xfId="1" applyNumberFormat="1" applyFont="1" applyFill="1" applyBorder="1" applyAlignment="1">
      <alignment horizontal="center" vertical="center"/>
    </xf>
    <xf numFmtId="3" fontId="6" fillId="2" borderId="20" xfId="1" applyNumberFormat="1" applyFont="1" applyFill="1" applyBorder="1" applyAlignment="1">
      <alignment horizontal="center" vertical="center" wrapText="1"/>
    </xf>
    <xf numFmtId="3" fontId="6" fillId="0" borderId="19" xfId="1" applyNumberFormat="1" applyFont="1" applyFill="1" applyBorder="1" applyAlignment="1">
      <alignment horizontal="center" vertical="center"/>
    </xf>
    <xf numFmtId="10" fontId="7" fillId="2" borderId="21" xfId="1" applyNumberFormat="1" applyFont="1" applyFill="1" applyBorder="1" applyAlignment="1">
      <alignment horizontal="center" vertical="center"/>
    </xf>
    <xf numFmtId="6" fontId="6" fillId="2" borderId="23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 wrapText="1"/>
    </xf>
    <xf numFmtId="3" fontId="6" fillId="0" borderId="26" xfId="1" applyNumberFormat="1" applyFont="1" applyFill="1" applyBorder="1" applyAlignment="1">
      <alignment horizontal="center" vertical="center"/>
    </xf>
    <xf numFmtId="3" fontId="6" fillId="0" borderId="28" xfId="1" applyNumberFormat="1" applyFont="1" applyFill="1" applyBorder="1" applyAlignment="1">
      <alignment horizontal="center" vertical="center"/>
    </xf>
    <xf numFmtId="8" fontId="6" fillId="2" borderId="26" xfId="1" applyNumberFormat="1" applyFont="1" applyFill="1" applyBorder="1" applyAlignment="1">
      <alignment horizontal="center" vertical="center"/>
    </xf>
    <xf numFmtId="10" fontId="7" fillId="2" borderId="29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/>
    </xf>
    <xf numFmtId="1" fontId="6" fillId="0" borderId="2" xfId="1" applyNumberFormat="1" applyFont="1" applyFill="1" applyBorder="1" applyAlignment="1">
      <alignment horizontal="center" vertical="center"/>
    </xf>
    <xf numFmtId="1" fontId="6" fillId="0" borderId="45" xfId="1" applyNumberFormat="1" applyFont="1" applyFill="1" applyBorder="1" applyAlignment="1">
      <alignment horizontal="center" vertical="center"/>
    </xf>
    <xf numFmtId="1" fontId="13" fillId="0" borderId="46" xfId="1" applyNumberFormat="1" applyFont="1" applyFill="1" applyBorder="1" applyAlignment="1">
      <alignment horizontal="center" vertical="center"/>
    </xf>
    <xf numFmtId="1" fontId="13" fillId="0" borderId="41" xfId="1" applyNumberFormat="1" applyFont="1" applyFill="1" applyBorder="1" applyAlignment="1">
      <alignment horizontal="center" vertical="center"/>
    </xf>
    <xf numFmtId="1" fontId="15" fillId="3" borderId="47" xfId="1" applyNumberFormat="1" applyFont="1" applyFill="1" applyBorder="1" applyAlignment="1">
      <alignment horizontal="center" vertical="center"/>
    </xf>
    <xf numFmtId="1" fontId="13" fillId="0" borderId="48" xfId="1" applyNumberFormat="1" applyFont="1" applyFill="1" applyBorder="1" applyAlignment="1">
      <alignment horizontal="center" vertical="center"/>
    </xf>
    <xf numFmtId="0" fontId="12" fillId="2" borderId="36" xfId="1" applyFont="1" applyFill="1" applyBorder="1" applyAlignment="1">
      <alignment vertical="center"/>
    </xf>
    <xf numFmtId="0" fontId="12" fillId="2" borderId="0" xfId="1" applyFont="1" applyFill="1" applyBorder="1" applyAlignment="1">
      <alignment vertical="center"/>
    </xf>
    <xf numFmtId="0" fontId="16" fillId="2" borderId="0" xfId="1" applyFont="1" applyFill="1" applyBorder="1" applyAlignment="1">
      <alignment vertical="center"/>
    </xf>
    <xf numFmtId="3" fontId="12" fillId="2" borderId="0" xfId="1" applyNumberFormat="1" applyFont="1" applyFill="1" applyBorder="1" applyAlignment="1">
      <alignment horizontal="center" vertical="center"/>
    </xf>
    <xf numFmtId="10" fontId="17" fillId="2" borderId="0" xfId="1" applyNumberFormat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vertical="center"/>
    </xf>
    <xf numFmtId="3" fontId="18" fillId="3" borderId="49" xfId="1" applyNumberFormat="1" applyFont="1" applyFill="1" applyBorder="1" applyAlignment="1">
      <alignment horizontal="center" vertical="center"/>
    </xf>
    <xf numFmtId="0" fontId="17" fillId="2" borderId="50" xfId="1" applyFont="1" applyFill="1" applyBorder="1" applyAlignment="1">
      <alignment vertical="center"/>
    </xf>
    <xf numFmtId="0" fontId="19" fillId="2" borderId="0" xfId="1" applyFont="1" applyFill="1" applyBorder="1" applyAlignment="1">
      <alignment vertical="center"/>
    </xf>
    <xf numFmtId="3" fontId="20" fillId="3" borderId="49" xfId="1" applyNumberFormat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vertical="center"/>
    </xf>
    <xf numFmtId="0" fontId="12" fillId="2" borderId="11" xfId="1" applyFont="1" applyFill="1" applyBorder="1" applyAlignment="1">
      <alignment vertical="center"/>
    </xf>
    <xf numFmtId="3" fontId="7" fillId="2" borderId="6" xfId="1" applyNumberFormat="1" applyFont="1" applyFill="1" applyBorder="1" applyAlignment="1">
      <alignment vertical="center"/>
    </xf>
    <xf numFmtId="164" fontId="17" fillId="2" borderId="30" xfId="1" applyNumberFormat="1" applyFont="1" applyFill="1" applyBorder="1" applyAlignment="1">
      <alignment vertical="center"/>
    </xf>
    <xf numFmtId="164" fontId="17" fillId="2" borderId="33" xfId="1" applyNumberFormat="1" applyFont="1" applyFill="1" applyBorder="1" applyAlignment="1">
      <alignment vertical="center"/>
    </xf>
    <xf numFmtId="3" fontId="21" fillId="3" borderId="51" xfId="1" applyNumberFormat="1" applyFont="1" applyFill="1" applyBorder="1" applyAlignment="1">
      <alignment vertical="center"/>
    </xf>
    <xf numFmtId="164" fontId="17" fillId="2" borderId="7" xfId="1" applyNumberFormat="1" applyFont="1" applyFill="1" applyBorder="1" applyAlignment="1">
      <alignment vertical="center"/>
    </xf>
    <xf numFmtId="0" fontId="12" fillId="2" borderId="22" xfId="1" applyFont="1" applyFill="1" applyBorder="1" applyAlignment="1">
      <alignment vertical="center"/>
    </xf>
    <xf numFmtId="0" fontId="12" fillId="2" borderId="25" xfId="1" applyFont="1" applyFill="1" applyBorder="1" applyAlignment="1">
      <alignment vertical="center"/>
    </xf>
    <xf numFmtId="0" fontId="12" fillId="2" borderId="26" xfId="1" applyFont="1" applyFill="1" applyBorder="1" applyAlignment="1">
      <alignment vertical="center" wrapText="1"/>
    </xf>
    <xf numFmtId="3" fontId="7" fillId="2" borderId="26" xfId="1" applyNumberFormat="1" applyFont="1" applyFill="1" applyBorder="1" applyAlignment="1">
      <alignment vertical="center"/>
    </xf>
    <xf numFmtId="164" fontId="17" fillId="2" borderId="42" xfId="1" applyNumberFormat="1" applyFont="1" applyFill="1" applyBorder="1" applyAlignment="1">
      <alignment vertical="center"/>
    </xf>
    <xf numFmtId="164" fontId="17" fillId="2" borderId="27" xfId="1" applyNumberFormat="1" applyFont="1" applyFill="1" applyBorder="1" applyAlignment="1">
      <alignment horizontal="right" vertical="center"/>
    </xf>
    <xf numFmtId="3" fontId="21" fillId="3" borderId="43" xfId="1" applyNumberFormat="1" applyFont="1" applyFill="1" applyBorder="1" applyAlignment="1">
      <alignment vertical="center"/>
    </xf>
    <xf numFmtId="164" fontId="17" fillId="2" borderId="29" xfId="1" applyNumberFormat="1" applyFont="1" applyFill="1" applyBorder="1" applyAlignment="1">
      <alignment horizontal="right" vertical="center"/>
    </xf>
    <xf numFmtId="0" fontId="22" fillId="2" borderId="53" xfId="1" applyFont="1" applyFill="1" applyBorder="1" applyAlignment="1">
      <alignment vertical="center"/>
    </xf>
    <xf numFmtId="0" fontId="22" fillId="2" borderId="45" xfId="1" applyFont="1" applyFill="1" applyBorder="1" applyAlignment="1">
      <alignment vertical="center" wrapText="1"/>
    </xf>
    <xf numFmtId="3" fontId="19" fillId="2" borderId="45" xfId="1" applyNumberFormat="1" applyFont="1" applyFill="1" applyBorder="1" applyAlignment="1">
      <alignment horizontal="right" vertical="center"/>
    </xf>
    <xf numFmtId="164" fontId="23" fillId="2" borderId="41" xfId="1" applyNumberFormat="1" applyFont="1" applyFill="1" applyBorder="1" applyAlignment="1">
      <alignment horizontal="right" vertical="center"/>
    </xf>
    <xf numFmtId="164" fontId="24" fillId="2" borderId="46" xfId="1" applyNumberFormat="1" applyFont="1" applyFill="1" applyBorder="1" applyAlignment="1">
      <alignment horizontal="right" vertical="center"/>
    </xf>
    <xf numFmtId="3" fontId="25" fillId="3" borderId="47" xfId="1" applyNumberFormat="1" applyFont="1" applyFill="1" applyBorder="1" applyAlignment="1">
      <alignment horizontal="right" vertical="center"/>
    </xf>
    <xf numFmtId="164" fontId="24" fillId="2" borderId="48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right"/>
    </xf>
    <xf numFmtId="165" fontId="17" fillId="2" borderId="0" xfId="1" applyNumberFormat="1" applyFont="1" applyFill="1" applyBorder="1" applyAlignment="1">
      <alignment horizontal="right" vertical="center"/>
    </xf>
    <xf numFmtId="3" fontId="18" fillId="3" borderId="49" xfId="1" applyNumberFormat="1" applyFont="1" applyFill="1" applyBorder="1" applyAlignment="1">
      <alignment horizontal="right" vertical="center"/>
    </xf>
    <xf numFmtId="165" fontId="17" fillId="2" borderId="50" xfId="1" applyNumberFormat="1" applyFont="1" applyFill="1" applyBorder="1" applyAlignment="1">
      <alignment horizontal="right" vertical="center"/>
    </xf>
    <xf numFmtId="164" fontId="17" fillId="2" borderId="0" xfId="1" applyNumberFormat="1" applyFont="1" applyFill="1" applyBorder="1" applyAlignment="1">
      <alignment horizontal="right" vertical="center"/>
    </xf>
    <xf numFmtId="164" fontId="17" fillId="2" borderId="50" xfId="1" applyNumberFormat="1" applyFont="1" applyFill="1" applyBorder="1" applyAlignment="1">
      <alignment horizontal="right" vertical="center"/>
    </xf>
    <xf numFmtId="3" fontId="7" fillId="2" borderId="11" xfId="1" applyNumberFormat="1" applyFont="1" applyFill="1" applyBorder="1" applyAlignment="1">
      <alignment horizontal="right" vertical="center"/>
    </xf>
    <xf numFmtId="164" fontId="17" fillId="2" borderId="12" xfId="1" applyNumberFormat="1" applyFont="1" applyFill="1" applyBorder="1" applyAlignment="1">
      <alignment horizontal="right" vertical="center"/>
    </xf>
    <xf numFmtId="164" fontId="17" fillId="2" borderId="10" xfId="1" applyNumberFormat="1" applyFont="1" applyFill="1" applyBorder="1" applyAlignment="1">
      <alignment horizontal="right" vertical="center"/>
    </xf>
    <xf numFmtId="3" fontId="21" fillId="3" borderId="51" xfId="1" applyNumberFormat="1" applyFont="1" applyFill="1" applyBorder="1" applyAlignment="1">
      <alignment horizontal="right" vertical="center"/>
    </xf>
    <xf numFmtId="164" fontId="17" fillId="2" borderId="54" xfId="1" applyNumberFormat="1" applyFont="1" applyFill="1" applyBorder="1" applyAlignment="1">
      <alignment horizontal="right" vertical="center"/>
    </xf>
    <xf numFmtId="0" fontId="12" fillId="2" borderId="23" xfId="1" applyFont="1" applyFill="1" applyBorder="1" applyAlignment="1">
      <alignment vertical="center"/>
    </xf>
    <xf numFmtId="3" fontId="7" fillId="2" borderId="23" xfId="1" applyNumberFormat="1" applyFont="1" applyFill="1" applyBorder="1" applyAlignment="1">
      <alignment horizontal="right" vertical="center"/>
    </xf>
    <xf numFmtId="164" fontId="17" fillId="2" borderId="24" xfId="1" applyNumberFormat="1" applyFont="1" applyFill="1" applyBorder="1" applyAlignment="1">
      <alignment horizontal="right" vertical="center"/>
    </xf>
    <xf numFmtId="164" fontId="17" fillId="2" borderId="18" xfId="1" applyNumberFormat="1" applyFont="1" applyFill="1" applyBorder="1" applyAlignment="1">
      <alignment horizontal="right" vertical="center"/>
    </xf>
    <xf numFmtId="3" fontId="21" fillId="3" borderId="38" xfId="1" applyNumberFormat="1" applyFont="1" applyFill="1" applyBorder="1" applyAlignment="1">
      <alignment horizontal="right" vertical="center"/>
    </xf>
    <xf numFmtId="164" fontId="17" fillId="2" borderId="55" xfId="1" applyNumberFormat="1" applyFont="1" applyFill="1" applyBorder="1" applyAlignment="1">
      <alignment horizontal="right" vertical="center"/>
    </xf>
    <xf numFmtId="0" fontId="12" fillId="2" borderId="26" xfId="1" applyFont="1" applyFill="1" applyBorder="1" applyAlignment="1">
      <alignment vertical="center"/>
    </xf>
    <xf numFmtId="3" fontId="7" fillId="2" borderId="26" xfId="1" applyNumberFormat="1" applyFont="1" applyFill="1" applyBorder="1" applyAlignment="1">
      <alignment horizontal="right" vertical="center"/>
    </xf>
    <xf numFmtId="164" fontId="17" fillId="2" borderId="42" xfId="1" applyNumberFormat="1" applyFont="1" applyFill="1" applyBorder="1" applyAlignment="1">
      <alignment horizontal="right" vertical="center"/>
    </xf>
    <xf numFmtId="3" fontId="21" fillId="3" borderId="43" xfId="1" applyNumberFormat="1" applyFont="1" applyFill="1" applyBorder="1" applyAlignment="1">
      <alignment horizontal="right" vertical="center"/>
    </xf>
    <xf numFmtId="164" fontId="17" fillId="2" borderId="28" xfId="1" applyNumberFormat="1" applyFont="1" applyFill="1" applyBorder="1" applyAlignment="1">
      <alignment horizontal="right" vertical="center"/>
    </xf>
    <xf numFmtId="0" fontId="12" fillId="2" borderId="57" xfId="1" applyFont="1" applyFill="1" applyBorder="1" applyAlignment="1">
      <alignment vertical="center"/>
    </xf>
    <xf numFmtId="0" fontId="12" fillId="2" borderId="58" xfId="1" applyFont="1" applyFill="1" applyBorder="1" applyAlignment="1">
      <alignment vertical="center"/>
    </xf>
    <xf numFmtId="164" fontId="17" fillId="2" borderId="21" xfId="1" applyNumberFormat="1" applyFont="1" applyFill="1" applyBorder="1" applyAlignment="1">
      <alignment horizontal="right" vertical="center"/>
    </xf>
    <xf numFmtId="0" fontId="12" fillId="2" borderId="20" xfId="1" applyFont="1" applyFill="1" applyBorder="1" applyAlignment="1">
      <alignment vertical="center"/>
    </xf>
    <xf numFmtId="3" fontId="12" fillId="2" borderId="19" xfId="1" applyNumberFormat="1" applyFont="1" applyFill="1" applyBorder="1" applyAlignment="1">
      <alignment horizontal="right" vertical="center"/>
    </xf>
    <xf numFmtId="3" fontId="20" fillId="3" borderId="59" xfId="1" applyNumberFormat="1" applyFont="1" applyFill="1" applyBorder="1" applyAlignment="1">
      <alignment horizontal="right" vertical="center"/>
    </xf>
    <xf numFmtId="0" fontId="12" fillId="2" borderId="24" xfId="1" applyFont="1" applyFill="1" applyBorder="1" applyAlignment="1">
      <alignment vertical="center"/>
    </xf>
    <xf numFmtId="0" fontId="12" fillId="2" borderId="17" xfId="1" applyFont="1" applyFill="1" applyBorder="1" applyAlignment="1">
      <alignment vertical="center"/>
    </xf>
    <xf numFmtId="0" fontId="12" fillId="2" borderId="60" xfId="1" applyFont="1" applyFill="1" applyBorder="1" applyAlignment="1">
      <alignment vertical="center"/>
    </xf>
    <xf numFmtId="0" fontId="12" fillId="2" borderId="61" xfId="1" applyFont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0" fontId="12" fillId="2" borderId="3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7" fillId="2" borderId="44" xfId="1" applyFont="1" applyFill="1" applyBorder="1" applyAlignment="1">
      <alignment vertical="center"/>
    </xf>
    <xf numFmtId="3" fontId="7" fillId="2" borderId="2" xfId="1" applyNumberFormat="1" applyFont="1" applyFill="1" applyBorder="1" applyAlignment="1">
      <alignment horizontal="right" vertical="center"/>
    </xf>
    <xf numFmtId="164" fontId="17" fillId="2" borderId="3" xfId="1" applyNumberFormat="1" applyFont="1" applyFill="1" applyBorder="1" applyAlignment="1">
      <alignment horizontal="right" vertical="center"/>
    </xf>
    <xf numFmtId="164" fontId="17" fillId="2" borderId="62" xfId="1" applyNumberFormat="1" applyFont="1" applyFill="1" applyBorder="1" applyAlignment="1">
      <alignment horizontal="right" vertical="center"/>
    </xf>
    <xf numFmtId="3" fontId="21" fillId="3" borderId="63" xfId="1" applyNumberFormat="1" applyFont="1" applyFill="1" applyBorder="1" applyAlignment="1">
      <alignment horizontal="right" vertical="center"/>
    </xf>
    <xf numFmtId="164" fontId="17" fillId="2" borderId="4" xfId="1" applyNumberFormat="1" applyFont="1" applyFill="1" applyBorder="1" applyAlignment="1">
      <alignment horizontal="right" vertical="center"/>
    </xf>
    <xf numFmtId="0" fontId="12" fillId="0" borderId="22" xfId="1" applyFont="1" applyFill="1" applyBorder="1" applyAlignment="1">
      <alignment vertical="center"/>
    </xf>
    <xf numFmtId="3" fontId="21" fillId="3" borderId="59" xfId="1" applyNumberFormat="1" applyFont="1" applyFill="1" applyBorder="1" applyAlignment="1">
      <alignment horizontal="right" vertical="center"/>
    </xf>
    <xf numFmtId="164" fontId="17" fillId="2" borderId="13" xfId="1" applyNumberFormat="1" applyFont="1" applyFill="1" applyBorder="1" applyAlignment="1">
      <alignment horizontal="right" vertical="center"/>
    </xf>
    <xf numFmtId="0" fontId="12" fillId="0" borderId="24" xfId="1" applyFont="1" applyFill="1" applyBorder="1" applyAlignment="1">
      <alignment vertical="center"/>
    </xf>
    <xf numFmtId="0" fontId="12" fillId="2" borderId="64" xfId="1" applyFont="1" applyFill="1" applyBorder="1" applyAlignment="1">
      <alignment vertical="center"/>
    </xf>
    <xf numFmtId="0" fontId="12" fillId="0" borderId="17" xfId="1" applyFont="1" applyFill="1" applyBorder="1" applyAlignment="1">
      <alignment vertical="center"/>
    </xf>
    <xf numFmtId="0" fontId="12" fillId="0" borderId="34" xfId="1" applyFont="1" applyFill="1" applyBorder="1" applyAlignment="1">
      <alignment vertical="center"/>
    </xf>
    <xf numFmtId="0" fontId="12" fillId="2" borderId="65" xfId="1" applyFont="1" applyFill="1" applyBorder="1" applyAlignment="1">
      <alignment vertical="center"/>
    </xf>
    <xf numFmtId="0" fontId="12" fillId="2" borderId="44" xfId="1" applyFont="1" applyFill="1" applyBorder="1" applyAlignment="1">
      <alignment vertical="center"/>
    </xf>
    <xf numFmtId="3" fontId="7" fillId="0" borderId="2" xfId="4" applyNumberFormat="1" applyFont="1" applyFill="1" applyBorder="1" applyAlignment="1">
      <alignment horizontal="right" vertical="center"/>
    </xf>
    <xf numFmtId="3" fontId="21" fillId="3" borderId="63" xfId="4" applyNumberFormat="1" applyFont="1" applyFill="1" applyBorder="1" applyAlignment="1">
      <alignment horizontal="right" vertical="center"/>
    </xf>
    <xf numFmtId="0" fontId="12" fillId="0" borderId="61" xfId="1" applyFont="1" applyFill="1" applyBorder="1" applyAlignment="1">
      <alignment vertical="center"/>
    </xf>
    <xf numFmtId="3" fontId="7" fillId="0" borderId="23" xfId="1" applyNumberFormat="1" applyFont="1" applyFill="1" applyBorder="1" applyAlignment="1">
      <alignment horizontal="right" vertical="center"/>
    </xf>
    <xf numFmtId="164" fontId="17" fillId="0" borderId="24" xfId="1" applyNumberFormat="1" applyFont="1" applyFill="1" applyBorder="1" applyAlignment="1">
      <alignment horizontal="right" vertical="center"/>
    </xf>
    <xf numFmtId="164" fontId="17" fillId="0" borderId="18" xfId="1" applyNumberFormat="1" applyFont="1" applyFill="1" applyBorder="1" applyAlignment="1">
      <alignment horizontal="right" vertical="center"/>
    </xf>
    <xf numFmtId="0" fontId="12" fillId="2" borderId="66" xfId="1" applyFont="1" applyFill="1" applyBorder="1" applyAlignment="1">
      <alignment vertical="center"/>
    </xf>
    <xf numFmtId="0" fontId="12" fillId="0" borderId="67" xfId="1" applyFont="1" applyFill="1" applyBorder="1" applyAlignment="1">
      <alignment vertical="center"/>
    </xf>
    <xf numFmtId="3" fontId="7" fillId="0" borderId="19" xfId="1" applyNumberFormat="1" applyFont="1" applyFill="1" applyBorder="1" applyAlignment="1">
      <alignment horizontal="right" vertical="center"/>
    </xf>
    <xf numFmtId="164" fontId="17" fillId="0" borderId="20" xfId="1" applyNumberFormat="1" applyFont="1" applyFill="1" applyBorder="1" applyAlignment="1">
      <alignment horizontal="right" vertical="center"/>
    </xf>
    <xf numFmtId="164" fontId="17" fillId="0" borderId="67" xfId="1" applyNumberFormat="1" applyFont="1" applyFill="1" applyBorder="1" applyAlignment="1">
      <alignment horizontal="right" vertical="center"/>
    </xf>
    <xf numFmtId="0" fontId="12" fillId="0" borderId="68" xfId="1" applyFont="1" applyFill="1" applyBorder="1" applyAlignment="1">
      <alignment vertical="center"/>
    </xf>
    <xf numFmtId="0" fontId="27" fillId="2" borderId="36" xfId="1" applyFont="1" applyFill="1" applyBorder="1" applyAlignment="1">
      <alignment vertical="center"/>
    </xf>
    <xf numFmtId="0" fontId="27" fillId="2" borderId="0" xfId="1" applyFont="1" applyFill="1" applyBorder="1" applyAlignment="1">
      <alignment vertical="center"/>
    </xf>
    <xf numFmtId="0" fontId="28" fillId="2" borderId="0" xfId="1" applyFont="1" applyFill="1" applyBorder="1" applyAlignment="1">
      <alignment vertical="center"/>
    </xf>
    <xf numFmtId="3" fontId="22" fillId="2" borderId="14" xfId="1" applyNumberFormat="1" applyFont="1" applyFill="1" applyBorder="1" applyAlignment="1">
      <alignment vertical="center"/>
    </xf>
    <xf numFmtId="3" fontId="22" fillId="2" borderId="11" xfId="1" applyNumberFormat="1" applyFont="1" applyFill="1" applyBorder="1" applyAlignment="1">
      <alignment vertical="center"/>
    </xf>
    <xf numFmtId="0" fontId="9" fillId="2" borderId="12" xfId="1" applyFont="1" applyFill="1" applyBorder="1" applyAlignment="1">
      <alignment vertical="center"/>
    </xf>
    <xf numFmtId="3" fontId="10" fillId="2" borderId="9" xfId="1" applyNumberFormat="1" applyFont="1" applyFill="1" applyBorder="1" applyAlignment="1">
      <alignment vertical="center"/>
    </xf>
    <xf numFmtId="0" fontId="10" fillId="2" borderId="9" xfId="1" applyFont="1" applyFill="1" applyBorder="1" applyAlignment="1">
      <alignment vertical="center"/>
    </xf>
    <xf numFmtId="3" fontId="9" fillId="2" borderId="11" xfId="1" applyNumberFormat="1" applyFont="1" applyFill="1" applyBorder="1" applyAlignment="1">
      <alignment horizontal="right" vertical="center"/>
    </xf>
    <xf numFmtId="164" fontId="23" fillId="2" borderId="10" xfId="1" applyNumberFormat="1" applyFont="1" applyFill="1" applyBorder="1" applyAlignment="1">
      <alignment horizontal="right" vertical="center"/>
    </xf>
    <xf numFmtId="164" fontId="24" fillId="2" borderId="12" xfId="1" applyNumberFormat="1" applyFont="1" applyFill="1" applyBorder="1" applyAlignment="1">
      <alignment horizontal="right" vertical="center"/>
    </xf>
    <xf numFmtId="3" fontId="29" fillId="3" borderId="56" xfId="1" applyNumberFormat="1" applyFont="1" applyFill="1" applyBorder="1" applyAlignment="1">
      <alignment horizontal="right" vertical="center"/>
    </xf>
    <xf numFmtId="164" fontId="24" fillId="2" borderId="15" xfId="1" applyNumberFormat="1" applyFont="1" applyFill="1" applyBorder="1" applyAlignment="1">
      <alignment horizontal="right" vertical="center"/>
    </xf>
    <xf numFmtId="0" fontId="19" fillId="2" borderId="22" xfId="1" applyFont="1" applyFill="1" applyBorder="1" applyAlignment="1">
      <alignment vertical="center"/>
    </xf>
    <xf numFmtId="0" fontId="19" fillId="2" borderId="23" xfId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0" fontId="9" fillId="2" borderId="17" xfId="1" applyFont="1" applyFill="1" applyBorder="1" applyAlignment="1">
      <alignment vertical="center"/>
    </xf>
    <xf numFmtId="164" fontId="23" fillId="2" borderId="18" xfId="1" applyNumberFormat="1" applyFont="1" applyFill="1" applyBorder="1" applyAlignment="1">
      <alignment horizontal="right" vertical="center"/>
    </xf>
    <xf numFmtId="164" fontId="23" fillId="2" borderId="24" xfId="1" applyNumberFormat="1" applyFont="1" applyFill="1" applyBorder="1" applyAlignment="1">
      <alignment horizontal="right" vertical="center"/>
    </xf>
    <xf numFmtId="3" fontId="10" fillId="3" borderId="38" xfId="1" applyNumberFormat="1" applyFont="1" applyFill="1" applyBorder="1" applyAlignment="1">
      <alignment horizontal="right" vertical="center"/>
    </xf>
    <xf numFmtId="164" fontId="23" fillId="2" borderId="21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right" vertical="center"/>
    </xf>
    <xf numFmtId="3" fontId="7" fillId="3" borderId="38" xfId="1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/>
    <xf numFmtId="3" fontId="6" fillId="0" borderId="0" xfId="15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/>
    </xf>
    <xf numFmtId="3" fontId="6" fillId="0" borderId="0" xfId="15" applyNumberFormat="1" applyFont="1" applyFill="1" applyBorder="1" applyAlignment="1">
      <alignment horizontal="right" vertical="center" wrapText="1"/>
    </xf>
    <xf numFmtId="3" fontId="7" fillId="0" borderId="0" xfId="0" applyNumberFormat="1" applyFont="1" applyBorder="1" applyAlignment="1">
      <alignment vertical="center"/>
    </xf>
    <xf numFmtId="0" fontId="7" fillId="0" borderId="0" xfId="16" applyFont="1" applyAlignment="1">
      <alignment vertical="center"/>
    </xf>
    <xf numFmtId="0" fontId="32" fillId="0" borderId="0" xfId="5" applyFont="1" applyAlignment="1">
      <alignment vertical="center" wrapText="1"/>
    </xf>
    <xf numFmtId="0" fontId="36" fillId="0" borderId="0" xfId="16" applyFont="1" applyAlignment="1">
      <alignment vertical="center"/>
    </xf>
    <xf numFmtId="0" fontId="8" fillId="0" borderId="0" xfId="0" applyFont="1" applyAlignment="1">
      <alignment vertical="center"/>
    </xf>
    <xf numFmtId="167" fontId="7" fillId="0" borderId="0" xfId="16" applyNumberFormat="1" applyFont="1" applyAlignment="1">
      <alignment vertical="center"/>
    </xf>
    <xf numFmtId="0" fontId="0" fillId="0" borderId="0" xfId="0" applyAlignment="1">
      <alignment horizontal="center"/>
    </xf>
    <xf numFmtId="0" fontId="50" fillId="0" borderId="0" xfId="0" applyFont="1"/>
    <xf numFmtId="168" fontId="7" fillId="0" borderId="0" xfId="16" applyNumberFormat="1" applyFont="1" applyAlignment="1">
      <alignment vertical="center"/>
    </xf>
    <xf numFmtId="0" fontId="52" fillId="0" borderId="0" xfId="0" applyFont="1"/>
    <xf numFmtId="0" fontId="0" fillId="0" borderId="0" xfId="0" applyAlignment="1">
      <alignment horizontal="center" vertical="top"/>
    </xf>
    <xf numFmtId="0" fontId="21" fillId="0" borderId="0" xfId="17" applyFont="1" applyAlignment="1">
      <alignment vertical="center"/>
    </xf>
    <xf numFmtId="0" fontId="33" fillId="0" borderId="0" xfId="17" applyFont="1" applyAlignment="1">
      <alignment vertical="center"/>
    </xf>
    <xf numFmtId="166" fontId="21" fillId="0" borderId="0" xfId="17" applyNumberFormat="1" applyFont="1" applyAlignment="1">
      <alignment vertical="center"/>
    </xf>
    <xf numFmtId="3" fontId="21" fillId="0" borderId="0" xfId="17" applyNumberFormat="1" applyFont="1" applyAlignment="1">
      <alignment vertical="center"/>
    </xf>
    <xf numFmtId="3" fontId="34" fillId="0" borderId="0" xfId="17" applyNumberFormat="1" applyFont="1" applyAlignment="1">
      <alignment horizontal="right" vertical="center" indent="1"/>
    </xf>
    <xf numFmtId="0" fontId="21" fillId="0" borderId="0" xfId="17" applyFont="1"/>
    <xf numFmtId="0" fontId="35" fillId="0" borderId="0" xfId="17" applyFont="1" applyAlignment="1">
      <alignment vertical="center"/>
    </xf>
    <xf numFmtId="0" fontId="39" fillId="0" borderId="0" xfId="17" applyFont="1" applyAlignment="1">
      <alignment horizontal="center" vertical="center"/>
    </xf>
    <xf numFmtId="0" fontId="38" fillId="0" borderId="0" xfId="17" applyFont="1" applyAlignment="1">
      <alignment horizontal="left" vertical="center"/>
    </xf>
    <xf numFmtId="0" fontId="40" fillId="0" borderId="0" xfId="17" applyFont="1" applyFill="1" applyAlignment="1"/>
    <xf numFmtId="0" fontId="21" fillId="0" borderId="0" xfId="17" applyFont="1" applyFill="1"/>
    <xf numFmtId="0" fontId="29" fillId="0" borderId="0" xfId="17" applyFont="1" applyAlignment="1">
      <alignment horizontal="left" vertical="center" wrapText="1"/>
    </xf>
    <xf numFmtId="0" fontId="33" fillId="0" borderId="0" xfId="17" applyFont="1" applyFill="1"/>
    <xf numFmtId="0" fontId="33" fillId="0" borderId="0" xfId="17" applyFont="1"/>
    <xf numFmtId="0" fontId="33" fillId="0" borderId="0" xfId="17" applyFont="1" applyBorder="1" applyAlignment="1">
      <alignment horizontal="left"/>
    </xf>
    <xf numFmtId="169" fontId="33" fillId="0" borderId="0" xfId="17" applyNumberFormat="1" applyFont="1" applyBorder="1" applyAlignment="1">
      <alignment horizontal="right"/>
    </xf>
    <xf numFmtId="0" fontId="34" fillId="0" borderId="0" xfId="17" applyFont="1" applyAlignment="1">
      <alignment horizontal="right" indent="1"/>
    </xf>
    <xf numFmtId="0" fontId="53" fillId="0" borderId="0" xfId="17" applyFont="1" applyFill="1" applyAlignment="1">
      <alignment horizontal="center" wrapText="1"/>
    </xf>
    <xf numFmtId="0" fontId="53" fillId="0" borderId="0" xfId="17" applyFont="1" applyFill="1" applyAlignment="1">
      <alignment horizontal="center"/>
    </xf>
    <xf numFmtId="0" fontId="33" fillId="0" borderId="0" xfId="17" applyFont="1" applyAlignment="1">
      <alignment horizontal="center"/>
    </xf>
    <xf numFmtId="0" fontId="31" fillId="0" borderId="0" xfId="17" applyFont="1"/>
    <xf numFmtId="0" fontId="31" fillId="0" borderId="0" xfId="17" applyFont="1" applyAlignment="1">
      <alignment horizontal="center"/>
    </xf>
    <xf numFmtId="0" fontId="31" fillId="0" borderId="0" xfId="17" applyFont="1" applyFill="1"/>
    <xf numFmtId="0" fontId="29" fillId="0" borderId="0" xfId="17" applyFont="1"/>
    <xf numFmtId="0" fontId="21" fillId="0" borderId="0" xfId="17" applyFont="1" applyAlignment="1">
      <alignment horizontal="center"/>
    </xf>
    <xf numFmtId="0" fontId="2" fillId="0" borderId="0" xfId="18" applyFont="1" applyAlignment="1">
      <alignment vertical="center"/>
    </xf>
    <xf numFmtId="0" fontId="21" fillId="0" borderId="0" xfId="18" applyFont="1" applyAlignment="1">
      <alignment vertical="center"/>
    </xf>
    <xf numFmtId="0" fontId="33" fillId="0" borderId="24" xfId="18" applyFont="1" applyBorder="1" applyAlignment="1">
      <alignment vertical="center"/>
    </xf>
    <xf numFmtId="0" fontId="33" fillId="0" borderId="17" xfId="18" applyFont="1" applyBorder="1" applyAlignment="1">
      <alignment vertical="center"/>
    </xf>
    <xf numFmtId="0" fontId="33" fillId="0" borderId="18" xfId="18" applyFont="1" applyBorder="1" applyAlignment="1">
      <alignment vertical="center"/>
    </xf>
    <xf numFmtId="0" fontId="33" fillId="0" borderId="0" xfId="18" applyFont="1" applyAlignment="1">
      <alignment vertical="center"/>
    </xf>
    <xf numFmtId="0" fontId="33" fillId="0" borderId="0" xfId="18" applyFont="1" applyBorder="1" applyAlignment="1">
      <alignment vertical="center"/>
    </xf>
    <xf numFmtId="0" fontId="41" fillId="0" borderId="0" xfId="18" applyFont="1" applyBorder="1" applyAlignment="1">
      <alignment vertical="center"/>
    </xf>
    <xf numFmtId="165" fontId="33" fillId="0" borderId="0" xfId="18" applyNumberFormat="1" applyFont="1" applyBorder="1" applyAlignment="1">
      <alignment horizontal="right" vertical="center"/>
    </xf>
    <xf numFmtId="0" fontId="34" fillId="0" borderId="0" xfId="18" applyFont="1" applyAlignment="1">
      <alignment horizontal="center" vertical="center"/>
    </xf>
    <xf numFmtId="0" fontId="33" fillId="0" borderId="0" xfId="18" applyFont="1" applyAlignment="1">
      <alignment horizontal="right" vertical="center"/>
    </xf>
    <xf numFmtId="1" fontId="33" fillId="0" borderId="0" xfId="18" applyNumberFormat="1" applyFont="1" applyFill="1" applyAlignment="1">
      <alignment vertical="center"/>
    </xf>
    <xf numFmtId="1" fontId="33" fillId="0" borderId="0" xfId="18" applyNumberFormat="1" applyFont="1" applyAlignment="1">
      <alignment vertical="center"/>
    </xf>
    <xf numFmtId="1" fontId="34" fillId="0" borderId="0" xfId="18" applyNumberFormat="1" applyFont="1" applyFill="1" applyAlignment="1">
      <alignment vertical="center"/>
    </xf>
    <xf numFmtId="0" fontId="34" fillId="0" borderId="0" xfId="18" applyFont="1" applyFill="1" applyAlignment="1">
      <alignment vertical="center"/>
    </xf>
    <xf numFmtId="0" fontId="42" fillId="0" borderId="0" xfId="18" applyFont="1" applyFill="1" applyAlignment="1">
      <alignment vertical="center"/>
    </xf>
    <xf numFmtId="0" fontId="42" fillId="0" borderId="0" xfId="18" applyFont="1" applyAlignment="1">
      <alignment vertical="center"/>
    </xf>
    <xf numFmtId="164" fontId="43" fillId="0" borderId="0" xfId="18" applyNumberFormat="1" applyFont="1" applyAlignment="1">
      <alignment vertical="center"/>
    </xf>
    <xf numFmtId="0" fontId="44" fillId="0" borderId="0" xfId="18" applyFont="1" applyAlignment="1">
      <alignment vertical="center"/>
    </xf>
    <xf numFmtId="0" fontId="48" fillId="0" borderId="0" xfId="17" applyFont="1" applyAlignment="1">
      <alignment vertical="center"/>
    </xf>
    <xf numFmtId="3" fontId="7" fillId="0" borderId="0" xfId="16" applyNumberFormat="1" applyFont="1" applyAlignment="1">
      <alignment vertical="center"/>
    </xf>
    <xf numFmtId="0" fontId="8" fillId="0" borderId="0" xfId="19"/>
    <xf numFmtId="0" fontId="7" fillId="0" borderId="0" xfId="19" applyFont="1"/>
    <xf numFmtId="0" fontId="8" fillId="0" borderId="0" xfId="7" applyFont="1" applyFill="1" applyBorder="1" applyAlignment="1">
      <alignment vertical="center"/>
    </xf>
    <xf numFmtId="0" fontId="38" fillId="0" borderId="0" xfId="4" applyFont="1" applyFill="1" applyBorder="1" applyAlignment="1">
      <alignment vertical="center"/>
    </xf>
    <xf numFmtId="0" fontId="37" fillId="9" borderId="97" xfId="7" applyFont="1" applyFill="1" applyBorder="1" applyAlignment="1">
      <alignment horizontal="center" vertical="center"/>
    </xf>
    <xf numFmtId="0" fontId="54" fillId="9" borderId="40" xfId="7" applyFont="1" applyFill="1" applyBorder="1" applyAlignment="1">
      <alignment vertical="center" wrapText="1"/>
    </xf>
    <xf numFmtId="0" fontId="54" fillId="9" borderId="41" xfId="7" applyFont="1" applyFill="1" applyBorder="1" applyAlignment="1">
      <alignment vertical="center" wrapText="1"/>
    </xf>
    <xf numFmtId="164" fontId="54" fillId="9" borderId="62" xfId="8" applyNumberFormat="1" applyFont="1" applyFill="1" applyBorder="1" applyAlignment="1" applyProtection="1">
      <alignment horizontal="right" vertical="center"/>
    </xf>
    <xf numFmtId="164" fontId="37" fillId="0" borderId="65" xfId="7" applyNumberFormat="1" applyFont="1" applyFill="1" applyBorder="1" applyAlignment="1">
      <alignment horizontal="center" vertical="center"/>
    </xf>
    <xf numFmtId="164" fontId="54" fillId="11" borderId="82" xfId="8" applyNumberFormat="1" applyFont="1" applyFill="1" applyBorder="1" applyAlignment="1" applyProtection="1">
      <alignment horizontal="right" vertical="center"/>
    </xf>
    <xf numFmtId="164" fontId="54" fillId="0" borderId="3" xfId="8" applyNumberFormat="1" applyFont="1" applyFill="1" applyBorder="1" applyAlignment="1" applyProtection="1">
      <alignment horizontal="right" vertical="center"/>
    </xf>
    <xf numFmtId="164" fontId="54" fillId="0" borderId="44" xfId="8" applyNumberFormat="1" applyFont="1" applyFill="1" applyBorder="1" applyAlignment="1" applyProtection="1">
      <alignment horizontal="right" vertical="center"/>
    </xf>
    <xf numFmtId="164" fontId="54" fillId="6" borderId="10" xfId="8" applyNumberFormat="1" applyFont="1" applyFill="1" applyBorder="1" applyAlignment="1" applyProtection="1">
      <alignment horizontal="right" vertical="center"/>
    </xf>
    <xf numFmtId="0" fontId="37" fillId="6" borderId="98" xfId="7" applyFont="1" applyFill="1" applyBorder="1" applyAlignment="1">
      <alignment horizontal="center" vertical="center" wrapText="1"/>
    </xf>
    <xf numFmtId="0" fontId="37" fillId="6" borderId="12" xfId="7" applyFont="1" applyFill="1" applyBorder="1" applyAlignment="1">
      <alignment horizontal="center" vertical="center" wrapText="1"/>
    </xf>
    <xf numFmtId="164" fontId="54" fillId="6" borderId="54" xfId="8" applyNumberFormat="1" applyFont="1" applyFill="1" applyBorder="1" applyAlignment="1" applyProtection="1">
      <alignment horizontal="right" vertical="center"/>
    </xf>
    <xf numFmtId="164" fontId="54" fillId="6" borderId="8" xfId="8" applyNumberFormat="1" applyFont="1" applyFill="1" applyBorder="1" applyAlignment="1" applyProtection="1">
      <alignment horizontal="right" vertical="center"/>
    </xf>
    <xf numFmtId="164" fontId="54" fillId="6" borderId="9" xfId="8" applyNumberFormat="1" applyFont="1" applyFill="1" applyBorder="1" applyAlignment="1" applyProtection="1">
      <alignment horizontal="right" vertical="center"/>
    </xf>
    <xf numFmtId="49" fontId="37" fillId="0" borderId="36" xfId="7" applyNumberFormat="1" applyFont="1" applyFill="1" applyBorder="1" applyAlignment="1" applyProtection="1">
      <alignment horizontal="center" vertical="center"/>
    </xf>
    <xf numFmtId="49" fontId="54" fillId="0" borderId="50" xfId="7" applyNumberFormat="1" applyFont="1" applyFill="1" applyBorder="1" applyAlignment="1" applyProtection="1">
      <alignment horizontal="left" vertical="center"/>
    </xf>
    <xf numFmtId="3" fontId="37" fillId="6" borderId="36" xfId="7" applyNumberFormat="1" applyFont="1" applyFill="1" applyBorder="1" applyAlignment="1" applyProtection="1">
      <alignment horizontal="right" vertical="center"/>
    </xf>
    <xf numFmtId="164" fontId="54" fillId="6" borderId="37" xfId="8" applyNumberFormat="1" applyFont="1" applyFill="1" applyBorder="1" applyAlignment="1" applyProtection="1">
      <alignment horizontal="right" vertical="center"/>
    </xf>
    <xf numFmtId="172" fontId="37" fillId="6" borderId="35" xfId="7" applyNumberFormat="1" applyFont="1" applyFill="1" applyBorder="1" applyAlignment="1">
      <alignment vertical="center"/>
    </xf>
    <xf numFmtId="164" fontId="54" fillId="6" borderId="50" xfId="8" applyNumberFormat="1" applyFont="1" applyFill="1" applyBorder="1" applyAlignment="1" applyProtection="1">
      <alignment horizontal="right" vertical="center"/>
    </xf>
    <xf numFmtId="172" fontId="54" fillId="6" borderId="36" xfId="8" applyNumberFormat="1" applyFont="1" applyFill="1" applyBorder="1" applyAlignment="1" applyProtection="1">
      <alignment horizontal="right" vertical="center"/>
    </xf>
    <xf numFmtId="172" fontId="54" fillId="6" borderId="0" xfId="8" applyNumberFormat="1" applyFont="1" applyFill="1" applyBorder="1" applyAlignment="1" applyProtection="1">
      <alignment horizontal="right" vertical="center"/>
    </xf>
    <xf numFmtId="173" fontId="37" fillId="5" borderId="99" xfId="8" applyNumberFormat="1" applyFont="1" applyFill="1" applyBorder="1" applyAlignment="1" applyProtection="1">
      <alignment horizontal="right" vertical="center"/>
    </xf>
    <xf numFmtId="0" fontId="37" fillId="6" borderId="35" xfId="7" applyFont="1" applyFill="1" applyBorder="1" applyAlignment="1">
      <alignment vertical="center"/>
    </xf>
    <xf numFmtId="164" fontId="54" fillId="6" borderId="36" xfId="8" applyNumberFormat="1" applyFont="1" applyFill="1" applyBorder="1" applyAlignment="1" applyProtection="1">
      <alignment horizontal="right" vertical="center"/>
    </xf>
    <xf numFmtId="164" fontId="54" fillId="6" borderId="0" xfId="8" applyNumberFormat="1" applyFont="1" applyFill="1" applyBorder="1" applyAlignment="1" applyProtection="1">
      <alignment horizontal="right" vertical="center"/>
    </xf>
    <xf numFmtId="49" fontId="37" fillId="0" borderId="39" xfId="7" applyNumberFormat="1" applyFont="1" applyFill="1" applyBorder="1" applyAlignment="1" applyProtection="1">
      <alignment horizontal="center" vertical="center"/>
    </xf>
    <xf numFmtId="49" fontId="54" fillId="0" borderId="96" xfId="7" applyNumberFormat="1" applyFont="1" applyFill="1" applyBorder="1" applyAlignment="1" applyProtection="1">
      <alignment horizontal="left" vertical="center"/>
    </xf>
    <xf numFmtId="3" fontId="37" fillId="6" borderId="39" xfId="7" applyNumberFormat="1" applyFont="1" applyFill="1" applyBorder="1" applyAlignment="1" applyProtection="1">
      <alignment horizontal="right" vertical="center"/>
    </xf>
    <xf numFmtId="164" fontId="54" fillId="6" borderId="41" xfId="8" applyNumberFormat="1" applyFont="1" applyFill="1" applyBorder="1" applyAlignment="1" applyProtection="1">
      <alignment horizontal="right" vertical="center"/>
    </xf>
    <xf numFmtId="164" fontId="54" fillId="6" borderId="96" xfId="8" applyNumberFormat="1" applyFont="1" applyFill="1" applyBorder="1" applyAlignment="1" applyProtection="1">
      <alignment horizontal="right" vertical="center"/>
    </xf>
    <xf numFmtId="164" fontId="54" fillId="6" borderId="39" xfId="8" applyNumberFormat="1" applyFont="1" applyFill="1" applyBorder="1" applyAlignment="1" applyProtection="1">
      <alignment horizontal="right" vertical="center"/>
    </xf>
    <xf numFmtId="164" fontId="54" fillId="6" borderId="40" xfId="8" applyNumberFormat="1" applyFont="1" applyFill="1" applyBorder="1" applyAlignment="1" applyProtection="1">
      <alignment horizontal="right" vertical="center"/>
    </xf>
    <xf numFmtId="173" fontId="37" fillId="5" borderId="97" xfId="8" applyNumberFormat="1" applyFont="1" applyFill="1" applyBorder="1" applyAlignment="1" applyProtection="1">
      <alignment horizontal="right" vertical="center"/>
    </xf>
    <xf numFmtId="0" fontId="8" fillId="0" borderId="0" xfId="13" applyFill="1" applyBorder="1"/>
    <xf numFmtId="174" fontId="37" fillId="6" borderId="24" xfId="7" applyNumberFormat="1" applyFont="1" applyFill="1" applyBorder="1" applyAlignment="1" applyProtection="1">
      <alignment horizontal="right" vertical="center"/>
    </xf>
    <xf numFmtId="164" fontId="37" fillId="6" borderId="18" xfId="7" applyNumberFormat="1" applyFont="1" applyFill="1" applyBorder="1" applyAlignment="1" applyProtection="1">
      <alignment horizontal="right" vertical="center"/>
    </xf>
    <xf numFmtId="165" fontId="37" fillId="6" borderId="101" xfId="7" applyNumberFormat="1" applyFont="1" applyFill="1" applyBorder="1" applyAlignment="1" applyProtection="1">
      <alignment horizontal="right" vertical="center"/>
    </xf>
    <xf numFmtId="165" fontId="37" fillId="6" borderId="102" xfId="7" applyNumberFormat="1" applyFont="1" applyFill="1" applyBorder="1" applyAlignment="1" applyProtection="1">
      <alignment horizontal="right" vertical="center"/>
    </xf>
    <xf numFmtId="164" fontId="37" fillId="6" borderId="103" xfId="8" applyNumberFormat="1" applyFont="1" applyFill="1" applyBorder="1" applyAlignment="1" applyProtection="1">
      <alignment horizontal="right" vertical="center"/>
    </xf>
    <xf numFmtId="3" fontId="37" fillId="6" borderId="69" xfId="7" applyNumberFormat="1" applyFont="1" applyFill="1" applyBorder="1" applyAlignment="1">
      <alignment vertical="center"/>
    </xf>
    <xf numFmtId="3" fontId="37" fillId="6" borderId="68" xfId="7" applyNumberFormat="1" applyFont="1" applyFill="1" applyBorder="1" applyAlignment="1">
      <alignment vertical="center"/>
    </xf>
    <xf numFmtId="174" fontId="37" fillId="6" borderId="68" xfId="7" applyNumberFormat="1" applyFont="1" applyFill="1" applyBorder="1" applyAlignment="1" applyProtection="1">
      <alignment horizontal="right" vertical="center"/>
    </xf>
    <xf numFmtId="164" fontId="37" fillId="6" borderId="70" xfId="7" applyNumberFormat="1" applyFont="1" applyFill="1" applyBorder="1" applyAlignment="1" applyProtection="1">
      <alignment horizontal="right" vertical="center"/>
    </xf>
    <xf numFmtId="49" fontId="37" fillId="0" borderId="81" xfId="7" applyNumberFormat="1" applyFont="1" applyFill="1" applyBorder="1" applyAlignment="1" applyProtection="1">
      <alignment horizontal="center" vertical="center"/>
    </xf>
    <xf numFmtId="49" fontId="54" fillId="0" borderId="104" xfId="7" applyNumberFormat="1" applyFont="1" applyFill="1" applyBorder="1" applyAlignment="1" applyProtection="1">
      <alignment horizontal="left" vertical="center"/>
    </xf>
    <xf numFmtId="174" fontId="37" fillId="6" borderId="35" xfId="7" applyNumberFormat="1" applyFont="1" applyFill="1" applyBorder="1" applyAlignment="1" applyProtection="1">
      <alignment horizontal="right" vertical="center"/>
    </xf>
    <xf numFmtId="164" fontId="37" fillId="6" borderId="37" xfId="8" applyNumberFormat="1" applyFont="1" applyFill="1" applyBorder="1" applyAlignment="1" applyProtection="1">
      <alignment horizontal="right" vertical="center"/>
    </xf>
    <xf numFmtId="165" fontId="37" fillId="6" borderId="105" xfId="7" applyNumberFormat="1" applyFont="1" applyFill="1" applyBorder="1" applyAlignment="1" applyProtection="1">
      <alignment horizontal="right" vertical="center"/>
    </xf>
    <xf numFmtId="164" fontId="37" fillId="6" borderId="106" xfId="8" applyNumberFormat="1" applyFont="1" applyFill="1" applyBorder="1" applyAlignment="1" applyProtection="1">
      <alignment horizontal="right" vertical="center"/>
    </xf>
    <xf numFmtId="164" fontId="37" fillId="6" borderId="70" xfId="8" applyNumberFormat="1" applyFont="1" applyFill="1" applyBorder="1" applyAlignment="1" applyProtection="1">
      <alignment horizontal="right" vertical="center"/>
    </xf>
    <xf numFmtId="3" fontId="37" fillId="6" borderId="35" xfId="7" applyNumberFormat="1" applyFont="1" applyFill="1" applyBorder="1" applyAlignment="1">
      <alignment vertical="center"/>
    </xf>
    <xf numFmtId="3" fontId="37" fillId="6" borderId="0" xfId="7" applyNumberFormat="1" applyFont="1" applyFill="1" applyBorder="1" applyAlignment="1">
      <alignment vertical="center"/>
    </xf>
    <xf numFmtId="174" fontId="37" fillId="6" borderId="0" xfId="7" applyNumberFormat="1" applyFont="1" applyFill="1" applyBorder="1" applyAlignment="1" applyProtection="1">
      <alignment horizontal="right" vertical="center"/>
    </xf>
    <xf numFmtId="174" fontId="37" fillId="6" borderId="20" xfId="7" applyNumberFormat="1" applyFont="1" applyFill="1" applyBorder="1" applyAlignment="1" applyProtection="1">
      <alignment horizontal="right" vertical="center"/>
    </xf>
    <xf numFmtId="164" fontId="37" fillId="6" borderId="67" xfId="8" applyNumberFormat="1" applyFont="1" applyFill="1" applyBorder="1" applyAlignment="1" applyProtection="1">
      <alignment horizontal="right" vertical="center"/>
    </xf>
    <xf numFmtId="165" fontId="37" fillId="6" borderId="107" xfId="7" applyNumberFormat="1" applyFont="1" applyFill="1" applyBorder="1" applyAlignment="1" applyProtection="1">
      <alignment horizontal="right" vertical="center"/>
    </xf>
    <xf numFmtId="164" fontId="37" fillId="6" borderId="108" xfId="8" applyNumberFormat="1" applyFont="1" applyFill="1" applyBorder="1" applyAlignment="1" applyProtection="1">
      <alignment horizontal="right" vertical="center"/>
    </xf>
    <xf numFmtId="3" fontId="37" fillId="6" borderId="20" xfId="7" applyNumberFormat="1" applyFont="1" applyFill="1" applyBorder="1" applyAlignment="1">
      <alignment vertical="center"/>
    </xf>
    <xf numFmtId="3" fontId="37" fillId="6" borderId="61" xfId="7" applyNumberFormat="1" applyFont="1" applyFill="1" applyBorder="1" applyAlignment="1">
      <alignment vertical="center"/>
    </xf>
    <xf numFmtId="174" fontId="37" fillId="6" borderId="61" xfId="7" applyNumberFormat="1" applyFont="1" applyFill="1" applyBorder="1" applyAlignment="1" applyProtection="1">
      <alignment horizontal="right" vertical="center"/>
    </xf>
    <xf numFmtId="0" fontId="8" fillId="0" borderId="61" xfId="7" applyFont="1" applyFill="1" applyBorder="1" applyAlignment="1">
      <alignment vertical="center"/>
    </xf>
    <xf numFmtId="49" fontId="54" fillId="0" borderId="23" xfId="7" applyNumberFormat="1" applyFont="1" applyFill="1" applyBorder="1" applyAlignment="1" applyProtection="1">
      <alignment horizontal="left" vertical="center"/>
    </xf>
    <xf numFmtId="174" fontId="37" fillId="0" borderId="0" xfId="7" applyNumberFormat="1" applyFont="1" applyFill="1" applyBorder="1" applyAlignment="1" applyProtection="1">
      <alignment horizontal="right" vertical="center"/>
    </xf>
    <xf numFmtId="164" fontId="37" fillId="0" borderId="0" xfId="7" applyNumberFormat="1" applyFont="1" applyFill="1" applyBorder="1" applyAlignment="1" applyProtection="1">
      <alignment horizontal="right" vertical="center"/>
    </xf>
    <xf numFmtId="164" fontId="37" fillId="0" borderId="0" xfId="8" applyNumberFormat="1" applyFont="1" applyFill="1" applyBorder="1" applyAlignment="1" applyProtection="1">
      <alignment horizontal="right" vertical="center"/>
    </xf>
    <xf numFmtId="49" fontId="54" fillId="0" borderId="64" xfId="7" applyNumberFormat="1" applyFont="1" applyFill="1" applyBorder="1" applyAlignment="1" applyProtection="1">
      <alignment horizontal="left" vertical="center"/>
    </xf>
    <xf numFmtId="49" fontId="54" fillId="0" borderId="19" xfId="7" applyNumberFormat="1" applyFont="1" applyFill="1" applyBorder="1" applyAlignment="1" applyProtection="1">
      <alignment horizontal="left" vertical="center"/>
    </xf>
    <xf numFmtId="10" fontId="37" fillId="0" borderId="0" xfId="7" applyNumberFormat="1" applyFont="1" applyFill="1" applyBorder="1" applyAlignment="1">
      <alignment vertical="center"/>
    </xf>
    <xf numFmtId="0" fontId="2" fillId="0" borderId="0" xfId="18"/>
    <xf numFmtId="0" fontId="2" fillId="0" borderId="0" xfId="18" applyBorder="1"/>
    <xf numFmtId="3" fontId="2" fillId="0" borderId="0" xfId="18" applyNumberFormat="1"/>
    <xf numFmtId="0" fontId="2" fillId="0" borderId="0" xfId="18" applyAlignment="1">
      <alignment horizontal="right"/>
    </xf>
    <xf numFmtId="0" fontId="0" fillId="0" borderId="0" xfId="0" applyFont="1" applyBorder="1" applyAlignment="1">
      <alignment horizontal="right" vertical="center" indent="1"/>
    </xf>
    <xf numFmtId="0" fontId="0" fillId="0" borderId="0" xfId="0" applyFont="1" applyAlignment="1">
      <alignment horizontal="right" vertical="center"/>
    </xf>
    <xf numFmtId="0" fontId="9" fillId="7" borderId="2" xfId="1" applyFont="1" applyFill="1" applyBorder="1" applyAlignment="1">
      <alignment horizontal="center" vertical="center" wrapText="1"/>
    </xf>
    <xf numFmtId="3" fontId="6" fillId="7" borderId="12" xfId="1" applyNumberFormat="1" applyFont="1" applyFill="1" applyBorder="1" applyAlignment="1">
      <alignment horizontal="center" vertical="center"/>
    </xf>
    <xf numFmtId="3" fontId="6" fillId="7" borderId="24" xfId="1" applyNumberFormat="1" applyFont="1" applyFill="1" applyBorder="1" applyAlignment="1">
      <alignment horizontal="center" vertical="center"/>
    </xf>
    <xf numFmtId="4" fontId="6" fillId="7" borderId="27" xfId="1" applyNumberFormat="1" applyFont="1" applyFill="1" applyBorder="1" applyAlignment="1">
      <alignment horizontal="center" vertical="center"/>
    </xf>
    <xf numFmtId="3" fontId="6" fillId="7" borderId="11" xfId="1" applyNumberFormat="1" applyFont="1" applyFill="1" applyBorder="1" applyAlignment="1">
      <alignment horizontal="center" vertical="center"/>
    </xf>
    <xf numFmtId="3" fontId="6" fillId="7" borderId="19" xfId="1" applyNumberFormat="1" applyFont="1" applyFill="1" applyBorder="1" applyAlignment="1">
      <alignment horizontal="center" vertical="center"/>
    </xf>
    <xf numFmtId="3" fontId="6" fillId="7" borderId="26" xfId="1" applyNumberFormat="1" applyFont="1" applyFill="1" applyBorder="1" applyAlignment="1">
      <alignment horizontal="center" vertical="center"/>
    </xf>
    <xf numFmtId="164" fontId="54" fillId="9" borderId="44" xfId="8" applyNumberFormat="1" applyFont="1" applyFill="1" applyBorder="1" applyAlignment="1" applyProtection="1">
      <alignment horizontal="right" vertical="center"/>
    </xf>
    <xf numFmtId="0" fontId="56" fillId="0" borderId="0" xfId="4" applyFont="1" applyFill="1" applyAlignment="1">
      <alignment horizontal="right" vertical="center"/>
    </xf>
    <xf numFmtId="1" fontId="15" fillId="7" borderId="111" xfId="1" applyNumberFormat="1" applyFont="1" applyFill="1" applyBorder="1" applyAlignment="1">
      <alignment horizontal="center" vertical="center"/>
    </xf>
    <xf numFmtId="3" fontId="18" fillId="7" borderId="110" xfId="1" applyNumberFormat="1" applyFont="1" applyFill="1" applyBorder="1" applyAlignment="1">
      <alignment horizontal="center" vertical="center"/>
    </xf>
    <xf numFmtId="3" fontId="20" fillId="7" borderId="110" xfId="1" applyNumberFormat="1" applyFont="1" applyFill="1" applyBorder="1" applyAlignment="1">
      <alignment horizontal="center" vertical="center"/>
    </xf>
    <xf numFmtId="3" fontId="21" fillId="7" borderId="112" xfId="1" applyNumberFormat="1" applyFont="1" applyFill="1" applyBorder="1" applyAlignment="1">
      <alignment vertical="center"/>
    </xf>
    <xf numFmtId="3" fontId="21" fillId="7" borderId="113" xfId="1" applyNumberFormat="1" applyFont="1" applyFill="1" applyBorder="1" applyAlignment="1">
      <alignment vertical="center"/>
    </xf>
    <xf numFmtId="3" fontId="25" fillId="7" borderId="111" xfId="1" applyNumberFormat="1" applyFont="1" applyFill="1" applyBorder="1" applyAlignment="1">
      <alignment horizontal="right" vertical="center"/>
    </xf>
    <xf numFmtId="3" fontId="18" fillId="7" borderId="110" xfId="1" applyNumberFormat="1" applyFont="1" applyFill="1" applyBorder="1" applyAlignment="1">
      <alignment horizontal="right" vertical="center"/>
    </xf>
    <xf numFmtId="3" fontId="21" fillId="7" borderId="112" xfId="1" applyNumberFormat="1" applyFont="1" applyFill="1" applyBorder="1" applyAlignment="1">
      <alignment horizontal="right" vertical="center"/>
    </xf>
    <xf numFmtId="3" fontId="21" fillId="7" borderId="114" xfId="1" applyNumberFormat="1" applyFont="1" applyFill="1" applyBorder="1" applyAlignment="1">
      <alignment horizontal="right" vertical="center"/>
    </xf>
    <xf numFmtId="3" fontId="21" fillId="7" borderId="113" xfId="1" applyNumberFormat="1" applyFont="1" applyFill="1" applyBorder="1" applyAlignment="1">
      <alignment horizontal="right" vertical="center"/>
    </xf>
    <xf numFmtId="3" fontId="20" fillId="7" borderId="116" xfId="1" applyNumberFormat="1" applyFont="1" applyFill="1" applyBorder="1" applyAlignment="1">
      <alignment horizontal="right" vertical="center"/>
    </xf>
    <xf numFmtId="3" fontId="21" fillId="7" borderId="117" xfId="1" applyNumberFormat="1" applyFont="1" applyFill="1" applyBorder="1" applyAlignment="1">
      <alignment horizontal="right" vertical="center"/>
    </xf>
    <xf numFmtId="3" fontId="21" fillId="7" borderId="116" xfId="1" applyNumberFormat="1" applyFont="1" applyFill="1" applyBorder="1" applyAlignment="1">
      <alignment horizontal="right" vertical="center"/>
    </xf>
    <xf numFmtId="3" fontId="21" fillId="7" borderId="117" xfId="4" applyNumberFormat="1" applyFont="1" applyFill="1" applyBorder="1" applyAlignment="1">
      <alignment horizontal="right" vertical="center"/>
    </xf>
    <xf numFmtId="3" fontId="29" fillId="7" borderId="115" xfId="1" applyNumberFormat="1" applyFont="1" applyFill="1" applyBorder="1" applyAlignment="1">
      <alignment horizontal="right" vertical="center"/>
    </xf>
    <xf numFmtId="3" fontId="10" fillId="7" borderId="114" xfId="1" applyNumberFormat="1" applyFont="1" applyFill="1" applyBorder="1" applyAlignment="1">
      <alignment horizontal="right" vertical="center"/>
    </xf>
    <xf numFmtId="3" fontId="7" fillId="7" borderId="114" xfId="1" applyNumberFormat="1" applyFont="1" applyFill="1" applyBorder="1" applyAlignment="1">
      <alignment horizontal="right" vertical="center"/>
    </xf>
    <xf numFmtId="10" fontId="8" fillId="0" borderId="0" xfId="19" applyNumberFormat="1" applyAlignment="1">
      <alignment vertical="center"/>
    </xf>
    <xf numFmtId="0" fontId="8" fillId="0" borderId="0" xfId="19" applyAlignment="1">
      <alignment vertical="center"/>
    </xf>
    <xf numFmtId="171" fontId="8" fillId="0" borderId="0" xfId="19" applyNumberFormat="1" applyAlignment="1">
      <alignment vertical="center"/>
    </xf>
    <xf numFmtId="3" fontId="53" fillId="0" borderId="0" xfId="17" applyNumberFormat="1" applyFont="1" applyFill="1" applyAlignment="1">
      <alignment vertical="center"/>
    </xf>
    <xf numFmtId="0" fontId="53" fillId="0" borderId="0" xfId="17" applyFont="1" applyFill="1" applyAlignment="1">
      <alignment vertical="center"/>
    </xf>
    <xf numFmtId="0" fontId="7" fillId="0" borderId="39" xfId="16" applyFont="1" applyBorder="1" applyAlignment="1">
      <alignment vertical="center"/>
    </xf>
    <xf numFmtId="0" fontId="35" fillId="0" borderId="32" xfId="16" applyFont="1" applyBorder="1" applyAlignment="1">
      <alignment horizontal="centerContinuous" vertical="center"/>
    </xf>
    <xf numFmtId="0" fontId="35" fillId="0" borderId="33" xfId="16" applyFont="1" applyBorder="1" applyAlignment="1">
      <alignment horizontal="centerContinuous" vertical="center"/>
    </xf>
    <xf numFmtId="0" fontId="35" fillId="0" borderId="26" xfId="16" applyFont="1" applyBorder="1" applyAlignment="1">
      <alignment horizontal="center" vertical="center" wrapText="1"/>
    </xf>
    <xf numFmtId="0" fontId="21" fillId="0" borderId="14" xfId="17" applyFont="1" applyBorder="1" applyAlignment="1">
      <alignment horizontal="center" vertical="center" wrapText="1"/>
    </xf>
    <xf numFmtId="0" fontId="21" fillId="0" borderId="22" xfId="17" applyFont="1" applyBorder="1" applyAlignment="1">
      <alignment horizontal="center" vertical="center" wrapText="1"/>
    </xf>
    <xf numFmtId="0" fontId="21" fillId="0" borderId="25" xfId="17" applyFont="1" applyBorder="1" applyAlignment="1">
      <alignment horizontal="center" vertical="center" wrapText="1"/>
    </xf>
    <xf numFmtId="0" fontId="6" fillId="0" borderId="65" xfId="19" applyFont="1" applyFill="1" applyBorder="1" applyAlignment="1">
      <alignment vertical="center"/>
    </xf>
    <xf numFmtId="0" fontId="15" fillId="0" borderId="1" xfId="17" applyFont="1" applyBorder="1" applyAlignment="1">
      <alignment horizontal="center" vertical="center"/>
    </xf>
    <xf numFmtId="0" fontId="21" fillId="0" borderId="0" xfId="18" applyFont="1"/>
    <xf numFmtId="3" fontId="21" fillId="0" borderId="23" xfId="18" applyNumberFormat="1" applyFont="1" applyBorder="1" applyAlignment="1">
      <alignment horizontal="right" vertical="center" indent="1"/>
    </xf>
    <xf numFmtId="3" fontId="21" fillId="0" borderId="58" xfId="18" applyNumberFormat="1" applyFont="1" applyBorder="1" applyAlignment="1">
      <alignment horizontal="right" vertical="center" indent="1"/>
    </xf>
    <xf numFmtId="3" fontId="15" fillId="0" borderId="2" xfId="18" applyNumberFormat="1" applyFont="1" applyBorder="1" applyAlignment="1">
      <alignment horizontal="right" vertical="center" indent="1"/>
    </xf>
    <xf numFmtId="3" fontId="15" fillId="0" borderId="4" xfId="18" applyNumberFormat="1" applyFont="1" applyBorder="1" applyAlignment="1">
      <alignment horizontal="right" vertical="center" indent="1"/>
    </xf>
    <xf numFmtId="3" fontId="21" fillId="0" borderId="83" xfId="17" applyNumberFormat="1" applyFont="1" applyBorder="1" applyAlignment="1">
      <alignment horizontal="right" vertical="center" wrapText="1" indent="1"/>
    </xf>
    <xf numFmtId="3" fontId="21" fillId="0" borderId="84" xfId="17" applyNumberFormat="1" applyFont="1" applyBorder="1" applyAlignment="1">
      <alignment horizontal="right" vertical="center" wrapText="1" indent="1"/>
    </xf>
    <xf numFmtId="3" fontId="21" fillId="0" borderId="85" xfId="17" applyNumberFormat="1" applyFont="1" applyBorder="1" applyAlignment="1">
      <alignment horizontal="right" vertical="center" wrapText="1" indent="1"/>
    </xf>
    <xf numFmtId="0" fontId="6" fillId="0" borderId="1" xfId="17" applyFont="1" applyBorder="1" applyAlignment="1">
      <alignment vertical="center"/>
    </xf>
    <xf numFmtId="3" fontId="15" fillId="0" borderId="86" xfId="17" applyNumberFormat="1" applyFont="1" applyBorder="1" applyAlignment="1">
      <alignment horizontal="right" vertical="center" indent="1"/>
    </xf>
    <xf numFmtId="0" fontId="6" fillId="0" borderId="1" xfId="17" applyFont="1" applyBorder="1" applyAlignment="1">
      <alignment horizontal="center" vertical="center" wrapText="1"/>
    </xf>
    <xf numFmtId="3" fontId="15" fillId="0" borderId="4" xfId="17" applyNumberFormat="1" applyFont="1" applyBorder="1" applyAlignment="1">
      <alignment horizontal="center" vertical="center" wrapText="1"/>
    </xf>
    <xf numFmtId="0" fontId="15" fillId="0" borderId="27" xfId="17" applyFont="1" applyFill="1" applyBorder="1" applyAlignment="1">
      <alignment horizontal="center" vertical="center" wrapText="1"/>
    </xf>
    <xf numFmtId="49" fontId="57" fillId="0" borderId="66" xfId="17" applyNumberFormat="1" applyFont="1" applyFill="1" applyBorder="1" applyAlignment="1">
      <alignment horizontal="center" vertical="center"/>
    </xf>
    <xf numFmtId="3" fontId="7" fillId="0" borderId="20" xfId="7" applyNumberFormat="1" applyFont="1" applyFill="1" applyBorder="1" applyAlignment="1">
      <alignment horizontal="right" vertical="center" indent="1"/>
    </xf>
    <xf numFmtId="3" fontId="15" fillId="0" borderId="73" xfId="17" applyNumberFormat="1" applyFont="1" applyBorder="1" applyAlignment="1">
      <alignment horizontal="right" vertical="center" indent="1"/>
    </xf>
    <xf numFmtId="49" fontId="57" fillId="0" borderId="22" xfId="17" applyNumberFormat="1" applyFont="1" applyFill="1" applyBorder="1" applyAlignment="1">
      <alignment horizontal="center" vertical="center"/>
    </xf>
    <xf numFmtId="3" fontId="7" fillId="0" borderId="24" xfId="7" applyNumberFormat="1" applyFont="1" applyFill="1" applyBorder="1" applyAlignment="1">
      <alignment horizontal="right" vertical="center" indent="1"/>
    </xf>
    <xf numFmtId="3" fontId="7" fillId="0" borderId="24" xfId="17" applyNumberFormat="1" applyFont="1" applyFill="1" applyBorder="1" applyAlignment="1">
      <alignment horizontal="right" vertical="center" indent="1"/>
    </xf>
    <xf numFmtId="3" fontId="15" fillId="0" borderId="73" xfId="17" quotePrefix="1" applyNumberFormat="1" applyFont="1" applyBorder="1" applyAlignment="1">
      <alignment horizontal="right" vertical="center" indent="1"/>
    </xf>
    <xf numFmtId="49" fontId="57" fillId="0" borderId="57" xfId="17" applyNumberFormat="1" applyFont="1" applyFill="1" applyBorder="1" applyAlignment="1">
      <alignment horizontal="center" vertical="center"/>
    </xf>
    <xf numFmtId="3" fontId="21" fillId="0" borderId="69" xfId="17" applyNumberFormat="1" applyFont="1" applyFill="1" applyBorder="1" applyAlignment="1">
      <alignment horizontal="right" vertical="center" indent="1"/>
    </xf>
    <xf numFmtId="0" fontId="15" fillId="0" borderId="65" xfId="17" applyFont="1" applyBorder="1" applyAlignment="1">
      <alignment vertical="center"/>
    </xf>
    <xf numFmtId="3" fontId="15" fillId="0" borderId="3" xfId="17" applyNumberFormat="1" applyFont="1" applyFill="1" applyBorder="1" applyAlignment="1">
      <alignment horizontal="right" vertical="center" indent="1"/>
    </xf>
    <xf numFmtId="3" fontId="15" fillId="0" borderId="78" xfId="17" applyNumberFormat="1" applyFont="1" applyBorder="1" applyAlignment="1">
      <alignment horizontal="right" vertical="center" indent="1"/>
    </xf>
    <xf numFmtId="0" fontId="15" fillId="0" borderId="27" xfId="18" applyFont="1" applyFill="1" applyBorder="1" applyAlignment="1">
      <alignment horizontal="center" vertical="center" wrapText="1"/>
    </xf>
    <xf numFmtId="49" fontId="57" fillId="0" borderId="66" xfId="18" applyNumberFormat="1" applyFont="1" applyFill="1" applyBorder="1" applyAlignment="1">
      <alignment horizontal="center" vertical="center"/>
    </xf>
    <xf numFmtId="3" fontId="7" fillId="0" borderId="20" xfId="18" applyNumberFormat="1" applyFont="1" applyBorder="1" applyAlignment="1">
      <alignment horizontal="right" vertical="center" indent="1"/>
    </xf>
    <xf numFmtId="3" fontId="6" fillId="0" borderId="13" xfId="18" applyNumberFormat="1" applyFont="1" applyBorder="1" applyAlignment="1">
      <alignment horizontal="right" vertical="center" indent="1"/>
    </xf>
    <xf numFmtId="49" fontId="57" fillId="0" borderId="22" xfId="18" applyNumberFormat="1" applyFont="1" applyFill="1" applyBorder="1" applyAlignment="1">
      <alignment horizontal="center" vertical="center"/>
    </xf>
    <xf numFmtId="3" fontId="7" fillId="0" borderId="24" xfId="18" applyNumberFormat="1" applyFont="1" applyBorder="1" applyAlignment="1">
      <alignment horizontal="right" vertical="center" indent="1"/>
    </xf>
    <xf numFmtId="3" fontId="6" fillId="0" borderId="21" xfId="18" applyNumberFormat="1" applyFont="1" applyBorder="1" applyAlignment="1">
      <alignment horizontal="right" vertical="center" indent="1"/>
    </xf>
    <xf numFmtId="49" fontId="57" fillId="0" borderId="57" xfId="18" applyNumberFormat="1" applyFont="1" applyFill="1" applyBorder="1" applyAlignment="1">
      <alignment horizontal="center" vertical="center"/>
    </xf>
    <xf numFmtId="3" fontId="7" fillId="0" borderId="69" xfId="18" applyNumberFormat="1" applyFont="1" applyBorder="1" applyAlignment="1">
      <alignment horizontal="right" vertical="center" indent="1"/>
    </xf>
    <xf numFmtId="3" fontId="6" fillId="0" borderId="77" xfId="18" applyNumberFormat="1" applyFont="1" applyBorder="1" applyAlignment="1">
      <alignment horizontal="right" vertical="center" indent="1"/>
    </xf>
    <xf numFmtId="0" fontId="15" fillId="0" borderId="1" xfId="18" applyFont="1" applyFill="1" applyBorder="1" applyAlignment="1">
      <alignment horizontal="center" vertical="center"/>
    </xf>
    <xf numFmtId="3" fontId="6" fillId="0" borderId="2" xfId="18" applyNumberFormat="1" applyFont="1" applyFill="1" applyBorder="1" applyAlignment="1">
      <alignment horizontal="right" vertical="center" indent="1"/>
    </xf>
    <xf numFmtId="3" fontId="6" fillId="0" borderId="4" xfId="18" applyNumberFormat="1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1" fillId="0" borderId="87" xfId="17" applyFont="1" applyBorder="1" applyAlignment="1">
      <alignment horizontal="center" vertical="center" wrapText="1"/>
    </xf>
    <xf numFmtId="0" fontId="8" fillId="0" borderId="0" xfId="19" applyFont="1"/>
    <xf numFmtId="0" fontId="8" fillId="0" borderId="0" xfId="19" applyFont="1" applyAlignment="1">
      <alignment horizontal="right"/>
    </xf>
    <xf numFmtId="10" fontId="8" fillId="0" borderId="0" xfId="19" applyNumberFormat="1" applyFont="1" applyAlignment="1">
      <alignment vertical="center"/>
    </xf>
    <xf numFmtId="172" fontId="8" fillId="0" borderId="0" xfId="19" applyNumberFormat="1" applyFont="1" applyAlignment="1">
      <alignment vertical="center"/>
    </xf>
    <xf numFmtId="3" fontId="21" fillId="0" borderId="19" xfId="18" applyNumberFormat="1" applyFont="1" applyBorder="1" applyAlignment="1">
      <alignment horizontal="right" vertical="center" indent="1"/>
    </xf>
    <xf numFmtId="0" fontId="15" fillId="0" borderId="0" xfId="18" applyFont="1"/>
    <xf numFmtId="3" fontId="15" fillId="0" borderId="0" xfId="18" applyNumberFormat="1" applyFont="1"/>
    <xf numFmtId="0" fontId="21" fillId="0" borderId="118" xfId="5" applyFont="1" applyBorder="1" applyAlignment="1">
      <alignment horizontal="center" vertical="center" wrapText="1"/>
    </xf>
    <xf numFmtId="3" fontId="7" fillId="0" borderId="19" xfId="16" applyNumberFormat="1" applyFont="1" applyBorder="1" applyAlignment="1">
      <alignment horizontal="right" vertical="center" indent="1"/>
    </xf>
    <xf numFmtId="3" fontId="7" fillId="0" borderId="13" xfId="16" applyNumberFormat="1" applyFont="1" applyFill="1" applyBorder="1" applyAlignment="1">
      <alignment horizontal="right" vertical="center" indent="1"/>
    </xf>
    <xf numFmtId="0" fontId="21" fillId="0" borderId="119" xfId="5" applyFont="1" applyBorder="1" applyAlignment="1">
      <alignment horizontal="center" vertical="center" wrapText="1"/>
    </xf>
    <xf numFmtId="0" fontId="21" fillId="0" borderId="120" xfId="5" applyFont="1" applyBorder="1" applyAlignment="1">
      <alignment horizontal="center" vertical="center" wrapText="1"/>
    </xf>
    <xf numFmtId="3" fontId="7" fillId="0" borderId="64" xfId="16" applyNumberFormat="1" applyFont="1" applyBorder="1" applyAlignment="1">
      <alignment horizontal="right" vertical="center" indent="1"/>
    </xf>
    <xf numFmtId="3" fontId="6" fillId="0" borderId="2" xfId="16" applyNumberFormat="1" applyFont="1" applyBorder="1" applyAlignment="1">
      <alignment horizontal="right" vertical="center" indent="1"/>
    </xf>
    <xf numFmtId="3" fontId="6" fillId="0" borderId="4" xfId="16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vertical="center"/>
    </xf>
    <xf numFmtId="0" fontId="7" fillId="0" borderId="65" xfId="16" applyFont="1" applyBorder="1" applyAlignment="1">
      <alignment vertical="center"/>
    </xf>
    <xf numFmtId="0" fontId="7" fillId="0" borderId="44" xfId="16" applyFont="1" applyBorder="1" applyAlignment="1">
      <alignment vertical="center"/>
    </xf>
    <xf numFmtId="3" fontId="7" fillId="0" borderId="78" xfId="16" applyNumberFormat="1" applyFont="1" applyBorder="1" applyAlignment="1">
      <alignment horizontal="right" vertical="center" indent="1"/>
    </xf>
    <xf numFmtId="3" fontId="7" fillId="0" borderId="78" xfId="16" applyNumberFormat="1" applyFont="1" applyFill="1" applyBorder="1" applyAlignment="1">
      <alignment horizontal="right" vertical="center" indent="1"/>
    </xf>
    <xf numFmtId="0" fontId="6" fillId="0" borderId="4" xfId="0" applyFont="1" applyBorder="1" applyAlignment="1">
      <alignment horizontal="left" vertical="center" indent="1"/>
    </xf>
    <xf numFmtId="0" fontId="21" fillId="0" borderId="24" xfId="17" applyFont="1" applyBorder="1" applyAlignment="1"/>
    <xf numFmtId="0" fontId="21" fillId="0" borderId="17" xfId="17" applyFont="1" applyBorder="1" applyAlignment="1"/>
    <xf numFmtId="0" fontId="21" fillId="0" borderId="18" xfId="17" applyFont="1" applyBorder="1" applyAlignment="1"/>
    <xf numFmtId="0" fontId="15" fillId="0" borderId="65" xfId="18" applyFont="1" applyBorder="1" applyAlignment="1">
      <alignment vertical="center"/>
    </xf>
    <xf numFmtId="0" fontId="7" fillId="0" borderId="13" xfId="16" applyFont="1" applyBorder="1" applyAlignment="1">
      <alignment horizontal="left" vertical="center" indent="1"/>
    </xf>
    <xf numFmtId="0" fontId="7" fillId="0" borderId="21" xfId="16" applyFont="1" applyBorder="1" applyAlignment="1">
      <alignment horizontal="left" vertical="center" indent="1"/>
    </xf>
    <xf numFmtId="0" fontId="7" fillId="0" borderId="77" xfId="16" applyFont="1" applyBorder="1" applyAlignment="1">
      <alignment horizontal="left" vertical="center" indent="1"/>
    </xf>
    <xf numFmtId="3" fontId="21" fillId="0" borderId="121" xfId="17" applyNumberFormat="1" applyFont="1" applyBorder="1" applyAlignment="1">
      <alignment horizontal="right" vertical="center" wrapText="1" indent="1"/>
    </xf>
    <xf numFmtId="3" fontId="6" fillId="0" borderId="62" xfId="17" applyNumberFormat="1" applyFont="1" applyBorder="1" applyAlignment="1">
      <alignment horizontal="right" vertical="center" indent="1"/>
    </xf>
    <xf numFmtId="0" fontId="21" fillId="0" borderId="84" xfId="17" applyFont="1" applyBorder="1" applyAlignment="1">
      <alignment horizontal="left" vertical="center" wrapText="1" indent="1"/>
    </xf>
    <xf numFmtId="0" fontId="35" fillId="0" borderId="42" xfId="16" applyFont="1" applyBorder="1" applyAlignment="1">
      <alignment horizontal="center" vertical="center" wrapText="1"/>
    </xf>
    <xf numFmtId="3" fontId="7" fillId="0" borderId="67" xfId="16" applyNumberFormat="1" applyFont="1" applyBorder="1" applyAlignment="1">
      <alignment horizontal="right" vertical="center" indent="1"/>
    </xf>
    <xf numFmtId="3" fontId="7" fillId="0" borderId="37" xfId="16" applyNumberFormat="1" applyFont="1" applyBorder="1" applyAlignment="1">
      <alignment horizontal="right" vertical="center" indent="1"/>
    </xf>
    <xf numFmtId="3" fontId="6" fillId="0" borderId="62" xfId="16" applyNumberFormat="1" applyFont="1" applyBorder="1" applyAlignment="1">
      <alignment horizontal="right" vertical="center" indent="1"/>
    </xf>
    <xf numFmtId="0" fontId="6" fillId="0" borderId="4" xfId="16" applyFont="1" applyBorder="1" applyAlignment="1">
      <alignment horizontal="left" vertical="center" indent="1"/>
    </xf>
    <xf numFmtId="0" fontId="6" fillId="0" borderId="4" xfId="17" applyFont="1" applyBorder="1" applyAlignment="1">
      <alignment horizontal="left" vertical="center" indent="1"/>
    </xf>
    <xf numFmtId="0" fontId="6" fillId="0" borderId="82" xfId="0" applyFont="1" applyBorder="1" applyAlignment="1">
      <alignment horizontal="right" vertical="center" wrapText="1" indent="1"/>
    </xf>
    <xf numFmtId="3" fontId="21" fillId="0" borderId="55" xfId="0" applyNumberFormat="1" applyFont="1" applyBorder="1" applyAlignment="1">
      <alignment horizontal="right" vertical="center" indent="1"/>
    </xf>
    <xf numFmtId="3" fontId="21" fillId="2" borderId="55" xfId="0" applyNumberFormat="1" applyFont="1" applyFill="1" applyBorder="1" applyAlignment="1">
      <alignment horizontal="right" vertical="center" indent="1"/>
    </xf>
    <xf numFmtId="3" fontId="21" fillId="2" borderId="104" xfId="0" applyNumberFormat="1" applyFont="1" applyFill="1" applyBorder="1" applyAlignment="1">
      <alignment horizontal="right" vertical="center" indent="1"/>
    </xf>
    <xf numFmtId="3" fontId="6" fillId="2" borderId="82" xfId="0" applyNumberFormat="1" applyFont="1" applyFill="1" applyBorder="1" applyAlignment="1">
      <alignment horizontal="right" vertical="center" indent="1"/>
    </xf>
    <xf numFmtId="0" fontId="6" fillId="0" borderId="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indent="1"/>
    </xf>
    <xf numFmtId="0" fontId="7" fillId="2" borderId="21" xfId="0" applyFont="1" applyFill="1" applyBorder="1" applyAlignment="1">
      <alignment horizontal="left" vertical="center" indent="1"/>
    </xf>
    <xf numFmtId="0" fontId="57" fillId="0" borderId="77" xfId="18" applyFont="1" applyFill="1" applyBorder="1" applyAlignment="1">
      <alignment horizontal="left" vertical="center" indent="1"/>
    </xf>
    <xf numFmtId="0" fontId="15" fillId="0" borderId="42" xfId="18" applyFont="1" applyFill="1" applyBorder="1" applyAlignment="1">
      <alignment horizontal="center" vertical="center" wrapText="1"/>
    </xf>
    <xf numFmtId="3" fontId="7" fillId="0" borderId="67" xfId="18" applyNumberFormat="1" applyFont="1" applyBorder="1" applyAlignment="1">
      <alignment horizontal="right" vertical="center" indent="1"/>
    </xf>
    <xf numFmtId="3" fontId="7" fillId="0" borderId="18" xfId="18" applyNumberFormat="1" applyFont="1" applyBorder="1" applyAlignment="1">
      <alignment horizontal="right" vertical="center" indent="1"/>
    </xf>
    <xf numFmtId="3" fontId="7" fillId="0" borderId="70" xfId="18" applyNumberFormat="1" applyFont="1" applyBorder="1" applyAlignment="1">
      <alignment horizontal="right" vertical="center" indent="1"/>
    </xf>
    <xf numFmtId="3" fontId="6" fillId="0" borderId="62" xfId="18" applyNumberFormat="1" applyFont="1" applyFill="1" applyBorder="1" applyAlignment="1">
      <alignment horizontal="right" vertical="center" indent="1"/>
    </xf>
    <xf numFmtId="0" fontId="57" fillId="0" borderId="13" xfId="18" applyFont="1" applyFill="1" applyBorder="1" applyAlignment="1">
      <alignment horizontal="left" vertical="center" indent="1"/>
    </xf>
    <xf numFmtId="0" fontId="57" fillId="0" borderId="21" xfId="18" applyFont="1" applyFill="1" applyBorder="1" applyAlignment="1">
      <alignment horizontal="left" vertical="center" indent="1"/>
    </xf>
    <xf numFmtId="0" fontId="58" fillId="0" borderId="4" xfId="18" applyFont="1" applyFill="1" applyBorder="1" applyAlignment="1">
      <alignment horizontal="left" vertical="center" indent="1"/>
    </xf>
    <xf numFmtId="0" fontId="15" fillId="0" borderId="42" xfId="17" applyFont="1" applyFill="1" applyBorder="1" applyAlignment="1">
      <alignment horizontal="center" vertical="center" wrapText="1"/>
    </xf>
    <xf numFmtId="3" fontId="7" fillId="0" borderId="67" xfId="7" applyNumberFormat="1" applyFont="1" applyFill="1" applyBorder="1" applyAlignment="1">
      <alignment horizontal="right" vertical="center" indent="1"/>
    </xf>
    <xf numFmtId="3" fontId="7" fillId="0" borderId="18" xfId="7" applyNumberFormat="1" applyFont="1" applyFill="1" applyBorder="1" applyAlignment="1">
      <alignment horizontal="right" vertical="center" indent="1"/>
    </xf>
    <xf numFmtId="3" fontId="7" fillId="0" borderId="18" xfId="17" applyNumberFormat="1" applyFont="1" applyFill="1" applyBorder="1" applyAlignment="1">
      <alignment horizontal="right" vertical="center" indent="1"/>
    </xf>
    <xf numFmtId="3" fontId="21" fillId="0" borderId="70" xfId="17" applyNumberFormat="1" applyFont="1" applyFill="1" applyBorder="1" applyAlignment="1">
      <alignment horizontal="right" vertical="center" indent="1"/>
    </xf>
    <xf numFmtId="3" fontId="15" fillId="0" borderId="62" xfId="17" applyNumberFormat="1" applyFont="1" applyFill="1" applyBorder="1" applyAlignment="1">
      <alignment horizontal="right" vertical="center" indent="1"/>
    </xf>
    <xf numFmtId="0" fontId="57" fillId="0" borderId="13" xfId="17" applyFont="1" applyFill="1" applyBorder="1" applyAlignment="1">
      <alignment horizontal="left" vertical="center" indent="1"/>
    </xf>
    <xf numFmtId="0" fontId="57" fillId="0" borderId="21" xfId="17" applyFont="1" applyFill="1" applyBorder="1" applyAlignment="1">
      <alignment horizontal="left" vertical="center" indent="1"/>
    </xf>
    <xf numFmtId="0" fontId="57" fillId="0" borderId="77" xfId="17" applyFont="1" applyFill="1" applyBorder="1" applyAlignment="1">
      <alignment horizontal="left" vertical="center" indent="1"/>
    </xf>
    <xf numFmtId="0" fontId="15" fillId="0" borderId="4" xfId="17" applyFont="1" applyBorder="1" applyAlignment="1">
      <alignment horizontal="left" vertical="center" indent="1"/>
    </xf>
    <xf numFmtId="0" fontId="6" fillId="0" borderId="62" xfId="17" applyFont="1" applyBorder="1" applyAlignment="1">
      <alignment horizontal="center" vertical="center" wrapText="1"/>
    </xf>
    <xf numFmtId="3" fontId="21" fillId="0" borderId="122" xfId="17" applyNumberFormat="1" applyFont="1" applyBorder="1" applyAlignment="1">
      <alignment horizontal="right" vertical="center" wrapText="1" indent="1"/>
    </xf>
    <xf numFmtId="0" fontId="6" fillId="0" borderId="4" xfId="17" applyFont="1" applyBorder="1" applyAlignment="1">
      <alignment horizontal="center" vertical="center" wrapText="1"/>
    </xf>
    <xf numFmtId="0" fontId="21" fillId="0" borderId="123" xfId="17" applyFont="1" applyBorder="1" applyAlignment="1">
      <alignment horizontal="center" vertical="center" wrapText="1"/>
    </xf>
    <xf numFmtId="0" fontId="21" fillId="0" borderId="124" xfId="17" applyFont="1" applyBorder="1" applyAlignment="1">
      <alignment horizontal="left" vertical="center" wrapText="1" indent="1"/>
    </xf>
    <xf numFmtId="10" fontId="7" fillId="0" borderId="18" xfId="20" applyNumberFormat="1" applyFont="1" applyFill="1" applyBorder="1" applyAlignment="1">
      <alignment horizontal="right" vertical="center" indent="1"/>
    </xf>
    <xf numFmtId="10" fontId="15" fillId="0" borderId="62" xfId="18" applyNumberFormat="1" applyFont="1" applyBorder="1" applyAlignment="1">
      <alignment horizontal="right" vertical="center" indent="1"/>
    </xf>
    <xf numFmtId="0" fontId="21" fillId="0" borderId="60" xfId="18" applyFont="1" applyBorder="1" applyAlignment="1">
      <alignment horizontal="center" vertical="center"/>
    </xf>
    <xf numFmtId="0" fontId="21" fillId="0" borderId="16" xfId="18" applyFont="1" applyBorder="1" applyAlignment="1">
      <alignment horizontal="center" vertical="center"/>
    </xf>
    <xf numFmtId="0" fontId="21" fillId="0" borderId="81" xfId="18" applyFont="1" applyBorder="1" applyAlignment="1">
      <alignment horizontal="center" vertical="center"/>
    </xf>
    <xf numFmtId="0" fontId="15" fillId="0" borderId="4" xfId="18" applyFont="1" applyBorder="1" applyAlignment="1">
      <alignment horizontal="left" vertical="center" indent="1"/>
    </xf>
    <xf numFmtId="0" fontId="6" fillId="0" borderId="4" xfId="7" applyFont="1" applyFill="1" applyBorder="1" applyAlignment="1">
      <alignment horizontal="center" vertical="center" wrapText="1"/>
    </xf>
    <xf numFmtId="0" fontId="7" fillId="0" borderId="15" xfId="7" applyFont="1" applyFill="1" applyBorder="1" applyAlignment="1">
      <alignment horizontal="left" vertical="center" indent="1"/>
    </xf>
    <xf numFmtId="0" fontId="21" fillId="0" borderId="21" xfId="7" applyFont="1" applyFill="1" applyBorder="1" applyAlignment="1">
      <alignment horizontal="left" vertical="center" indent="1"/>
    </xf>
    <xf numFmtId="0" fontId="7" fillId="0" borderId="21" xfId="7" applyFont="1" applyFill="1" applyBorder="1" applyAlignment="1">
      <alignment horizontal="left" vertical="center" indent="1"/>
    </xf>
    <xf numFmtId="0" fontId="7" fillId="0" borderId="29" xfId="7" applyFont="1" applyFill="1" applyBorder="1" applyAlignment="1">
      <alignment horizontal="left" vertical="center" indent="1"/>
    </xf>
    <xf numFmtId="0" fontId="6" fillId="0" borderId="82" xfId="19" applyFont="1" applyBorder="1" applyAlignment="1">
      <alignment horizontal="left" vertical="center" indent="1"/>
    </xf>
    <xf numFmtId="3" fontId="43" fillId="0" borderId="0" xfId="18" applyNumberFormat="1" applyFont="1" applyFill="1" applyAlignment="1">
      <alignment horizontal="right" vertical="center" indent="1"/>
    </xf>
    <xf numFmtId="0" fontId="42" fillId="0" borderId="0" xfId="18" applyFont="1" applyFill="1" applyAlignment="1">
      <alignment horizontal="right" vertical="center" indent="1"/>
    </xf>
    <xf numFmtId="49" fontId="54" fillId="0" borderId="8" xfId="7" applyNumberFormat="1" applyFont="1" applyFill="1" applyBorder="1" applyAlignment="1" applyProtection="1">
      <alignment horizontal="center" vertical="center"/>
    </xf>
    <xf numFmtId="164" fontId="17" fillId="2" borderId="77" xfId="1" applyNumberFormat="1" applyFont="1" applyFill="1" applyBorder="1" applyAlignment="1">
      <alignment horizontal="right" vertical="center"/>
    </xf>
    <xf numFmtId="0" fontId="22" fillId="2" borderId="1" xfId="1" applyFont="1" applyFill="1" applyBorder="1" applyAlignment="1">
      <alignment vertical="center"/>
    </xf>
    <xf numFmtId="3" fontId="19" fillId="2" borderId="2" xfId="1" applyNumberFormat="1" applyFont="1" applyFill="1" applyBorder="1" applyAlignment="1">
      <alignment horizontal="right" vertical="center"/>
    </xf>
    <xf numFmtId="164" fontId="23" fillId="2" borderId="62" xfId="1" applyNumberFormat="1" applyFont="1" applyFill="1" applyBorder="1" applyAlignment="1">
      <alignment horizontal="right" vertical="center"/>
    </xf>
    <xf numFmtId="164" fontId="24" fillId="2" borderId="3" xfId="1" applyNumberFormat="1" applyFont="1" applyFill="1" applyBorder="1" applyAlignment="1">
      <alignment horizontal="right" vertical="center"/>
    </xf>
    <xf numFmtId="3" fontId="25" fillId="3" borderId="63" xfId="1" applyNumberFormat="1" applyFont="1" applyFill="1" applyBorder="1" applyAlignment="1">
      <alignment horizontal="right" vertical="center"/>
    </xf>
    <xf numFmtId="164" fontId="24" fillId="2" borderId="4" xfId="1" applyNumberFormat="1" applyFont="1" applyFill="1" applyBorder="1" applyAlignment="1">
      <alignment horizontal="right" vertical="center"/>
    </xf>
    <xf numFmtId="3" fontId="25" fillId="7" borderId="117" xfId="1" applyNumberFormat="1" applyFont="1" applyFill="1" applyBorder="1" applyAlignment="1">
      <alignment horizontal="right" vertical="center"/>
    </xf>
    <xf numFmtId="0" fontId="12" fillId="2" borderId="34" xfId="1" applyFont="1" applyFill="1" applyBorder="1" applyAlignment="1">
      <alignment vertical="center"/>
    </xf>
    <xf numFmtId="0" fontId="12" fillId="2" borderId="35" xfId="1" applyFont="1" applyFill="1" applyBorder="1" applyAlignment="1">
      <alignment vertical="center"/>
    </xf>
    <xf numFmtId="3" fontId="7" fillId="0" borderId="64" xfId="1" applyNumberFormat="1" applyFont="1" applyFill="1" applyBorder="1" applyAlignment="1">
      <alignment horizontal="right" vertical="center"/>
    </xf>
    <xf numFmtId="164" fontId="17" fillId="0" borderId="37" xfId="1" applyNumberFormat="1" applyFont="1" applyFill="1" applyBorder="1" applyAlignment="1">
      <alignment horizontal="right" vertical="center"/>
    </xf>
    <xf numFmtId="164" fontId="17" fillId="0" borderId="35" xfId="1" applyNumberFormat="1" applyFont="1" applyFill="1" applyBorder="1" applyAlignment="1">
      <alignment horizontal="right" vertical="center"/>
    </xf>
    <xf numFmtId="3" fontId="21" fillId="3" borderId="49" xfId="1" applyNumberFormat="1" applyFont="1" applyFill="1" applyBorder="1" applyAlignment="1">
      <alignment horizontal="right" vertical="center"/>
    </xf>
    <xf numFmtId="164" fontId="17" fillId="0" borderId="70" xfId="1" applyNumberFormat="1" applyFont="1" applyFill="1" applyBorder="1" applyAlignment="1">
      <alignment horizontal="right" vertical="center"/>
    </xf>
    <xf numFmtId="3" fontId="21" fillId="7" borderId="110" xfId="1" applyNumberFormat="1" applyFont="1" applyFill="1" applyBorder="1" applyAlignment="1">
      <alignment horizontal="right" vertical="center"/>
    </xf>
    <xf numFmtId="0" fontId="22" fillId="2" borderId="3" xfId="1" applyFont="1" applyFill="1" applyBorder="1" applyAlignment="1">
      <alignment vertical="center" wrapText="1"/>
    </xf>
    <xf numFmtId="0" fontId="19" fillId="2" borderId="3" xfId="1" applyFont="1" applyFill="1" applyBorder="1" applyAlignment="1">
      <alignment vertical="center"/>
    </xf>
    <xf numFmtId="0" fontId="19" fillId="2" borderId="44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8" xfId="1" applyFont="1" applyFill="1" applyBorder="1" applyAlignment="1">
      <alignment horizontal="left" vertical="center"/>
    </xf>
    <xf numFmtId="0" fontId="6" fillId="0" borderId="7" xfId="19" applyFont="1" applyBorder="1" applyAlignment="1">
      <alignment horizontal="center" vertical="center" wrapText="1"/>
    </xf>
    <xf numFmtId="0" fontId="6" fillId="0" borderId="78" xfId="19" applyFont="1" applyBorder="1" applyAlignment="1">
      <alignment horizontal="center" vertical="center" wrapText="1"/>
    </xf>
    <xf numFmtId="170" fontId="7" fillId="0" borderId="8" xfId="20" applyNumberFormat="1" applyFont="1" applyFill="1" applyBorder="1" applyAlignment="1">
      <alignment horizontal="right" vertical="center" indent="1"/>
    </xf>
    <xf numFmtId="170" fontId="7" fillId="0" borderId="16" xfId="20" applyNumberFormat="1" applyFont="1" applyFill="1" applyBorder="1" applyAlignment="1">
      <alignment horizontal="right" vertical="center" indent="1"/>
    </xf>
    <xf numFmtId="170" fontId="7" fillId="0" borderId="75" xfId="20" applyNumberFormat="1" applyFont="1" applyFill="1" applyBorder="1" applyAlignment="1">
      <alignment horizontal="right" vertical="center" indent="1"/>
    </xf>
    <xf numFmtId="170" fontId="15" fillId="0" borderId="72" xfId="20" applyNumberFormat="1" applyFont="1" applyFill="1" applyBorder="1" applyAlignment="1">
      <alignment horizontal="right" vertical="center" indent="1"/>
    </xf>
    <xf numFmtId="173" fontId="7" fillId="0" borderId="0" xfId="19" applyNumberFormat="1" applyFont="1" applyAlignment="1"/>
    <xf numFmtId="170" fontId="8" fillId="0" borderId="0" xfId="24" applyNumberFormat="1" applyAlignment="1">
      <alignment vertical="center"/>
    </xf>
    <xf numFmtId="0" fontId="8" fillId="0" borderId="0" xfId="4"/>
    <xf numFmtId="0" fontId="8" fillId="0" borderId="0" xfId="4" applyAlignment="1"/>
    <xf numFmtId="0" fontId="2" fillId="0" borderId="0" xfId="17"/>
    <xf numFmtId="0" fontId="2" fillId="0" borderId="65" xfId="17" applyFill="1" applyBorder="1"/>
    <xf numFmtId="164" fontId="54" fillId="9" borderId="82" xfId="8" applyNumberFormat="1" applyFont="1" applyFill="1" applyBorder="1" applyAlignment="1" applyProtection="1">
      <alignment horizontal="right" vertical="center"/>
    </xf>
    <xf numFmtId="173" fontId="54" fillId="10" borderId="97" xfId="8" applyNumberFormat="1" applyFont="1" applyFill="1" applyBorder="1" applyAlignment="1">
      <alignment horizontal="right" vertical="center"/>
    </xf>
    <xf numFmtId="173" fontId="54" fillId="10" borderId="78" xfId="8" applyNumberFormat="1" applyFont="1" applyFill="1" applyBorder="1" applyAlignment="1">
      <alignment horizontal="right" vertical="center"/>
    </xf>
    <xf numFmtId="0" fontId="2" fillId="6" borderId="8" xfId="17" applyFill="1" applyBorder="1"/>
    <xf numFmtId="173" fontId="54" fillId="5" borderId="98" xfId="8" applyNumberFormat="1" applyFont="1" applyFill="1" applyBorder="1" applyAlignment="1" applyProtection="1">
      <alignment horizontal="right" vertical="center"/>
    </xf>
    <xf numFmtId="173" fontId="54" fillId="5" borderId="79" xfId="8" applyNumberFormat="1" applyFont="1" applyFill="1" applyBorder="1" applyAlignment="1" applyProtection="1">
      <alignment horizontal="right" vertical="center"/>
    </xf>
    <xf numFmtId="173" fontId="37" fillId="5" borderId="128" xfId="8" applyNumberFormat="1" applyFont="1" applyFill="1" applyBorder="1" applyAlignment="1" applyProtection="1">
      <alignment horizontal="right" vertical="center"/>
    </xf>
    <xf numFmtId="0" fontId="37" fillId="6" borderId="46" xfId="7" applyFont="1" applyFill="1" applyBorder="1" applyAlignment="1">
      <alignment vertical="center"/>
    </xf>
    <xf numFmtId="173" fontId="37" fillId="5" borderId="72" xfId="8" applyNumberFormat="1" applyFont="1" applyFill="1" applyBorder="1" applyAlignment="1" applyProtection="1">
      <alignment horizontal="right" vertical="center"/>
    </xf>
    <xf numFmtId="0" fontId="1" fillId="0" borderId="0" xfId="23"/>
    <xf numFmtId="49" fontId="54" fillId="0" borderId="24" xfId="7" applyNumberFormat="1" applyFont="1" applyFill="1" applyBorder="1" applyAlignment="1" applyProtection="1">
      <alignment horizontal="center" vertical="center"/>
    </xf>
    <xf numFmtId="174" fontId="37" fillId="6" borderId="69" xfId="7" applyNumberFormat="1" applyFont="1" applyFill="1" applyBorder="1" applyAlignment="1" applyProtection="1">
      <alignment horizontal="right" vertical="center"/>
    </xf>
    <xf numFmtId="49" fontId="54" fillId="0" borderId="18" xfId="7" applyNumberFormat="1" applyFont="1" applyFill="1" applyBorder="1" applyAlignment="1" applyProtection="1">
      <alignment horizontal="left" vertical="center"/>
    </xf>
    <xf numFmtId="0" fontId="2" fillId="0" borderId="0" xfId="17" applyFill="1" applyBorder="1"/>
    <xf numFmtId="164" fontId="59" fillId="0" borderId="0" xfId="7" applyNumberFormat="1" applyFont="1" applyFill="1" applyBorder="1" applyAlignment="1" applyProtection="1">
      <alignment horizontal="right" vertical="center"/>
    </xf>
    <xf numFmtId="164" fontId="59" fillId="0" borderId="0" xfId="8" applyNumberFormat="1" applyFont="1" applyFill="1" applyBorder="1" applyAlignment="1" applyProtection="1">
      <alignment horizontal="right" vertical="center"/>
    </xf>
    <xf numFmtId="49" fontId="54" fillId="0" borderId="54" xfId="7" applyNumberFormat="1" applyFont="1" applyFill="1" applyBorder="1" applyAlignment="1" applyProtection="1">
      <alignment horizontal="left" vertical="center"/>
    </xf>
    <xf numFmtId="49" fontId="54" fillId="0" borderId="15" xfId="7" applyNumberFormat="1" applyFont="1" applyFill="1" applyBorder="1" applyAlignment="1" applyProtection="1">
      <alignment horizontal="left" vertical="center"/>
    </xf>
    <xf numFmtId="0" fontId="2" fillId="0" borderId="44" xfId="17" applyFill="1" applyBorder="1"/>
    <xf numFmtId="164" fontId="54" fillId="6" borderId="36" xfId="7" applyNumberFormat="1" applyFont="1" applyFill="1" applyBorder="1" applyAlignment="1" applyProtection="1">
      <alignment horizontal="left" vertical="center"/>
    </xf>
    <xf numFmtId="164" fontId="54" fillId="6" borderId="39" xfId="7" applyNumberFormat="1" applyFont="1" applyFill="1" applyBorder="1" applyAlignment="1" applyProtection="1">
      <alignment horizontal="left" vertical="center"/>
    </xf>
    <xf numFmtId="0" fontId="60" fillId="6" borderId="8" xfId="17" applyFont="1" applyFill="1" applyBorder="1"/>
    <xf numFmtId="0" fontId="37" fillId="6" borderId="20" xfId="4" applyFont="1" applyFill="1" applyBorder="1"/>
    <xf numFmtId="174" fontId="37" fillId="6" borderId="17" xfId="7" applyNumberFormat="1" applyFont="1" applyFill="1" applyBorder="1" applyAlignment="1" applyProtection="1">
      <alignment horizontal="right" vertical="center"/>
    </xf>
    <xf numFmtId="0" fontId="54" fillId="9" borderId="100" xfId="7" applyFont="1" applyFill="1" applyBorder="1" applyAlignment="1">
      <alignment vertical="center" wrapText="1"/>
    </xf>
    <xf numFmtId="164" fontId="54" fillId="0" borderId="65" xfId="8" applyNumberFormat="1" applyFont="1" applyFill="1" applyBorder="1" applyAlignment="1" applyProtection="1">
      <alignment horizontal="right" vertical="center"/>
    </xf>
    <xf numFmtId="164" fontId="54" fillId="0" borderId="65" xfId="7" applyNumberFormat="1" applyFont="1" applyFill="1" applyBorder="1" applyAlignment="1">
      <alignment horizontal="center" vertical="center"/>
    </xf>
    <xf numFmtId="173" fontId="54" fillId="10" borderId="72" xfId="8" applyNumberFormat="1" applyFont="1" applyFill="1" applyBorder="1" applyAlignment="1">
      <alignment horizontal="right" vertical="center"/>
    </xf>
    <xf numFmtId="0" fontId="37" fillId="6" borderId="8" xfId="7" applyFont="1" applyFill="1" applyBorder="1" applyAlignment="1">
      <alignment horizontal="center" vertical="center" wrapText="1"/>
    </xf>
    <xf numFmtId="0" fontId="2" fillId="6" borderId="31" xfId="17" applyFill="1" applyBorder="1"/>
    <xf numFmtId="164" fontId="54" fillId="6" borderId="127" xfId="8" applyNumberFormat="1" applyFont="1" applyFill="1" applyBorder="1" applyAlignment="1" applyProtection="1">
      <alignment horizontal="right" vertical="center"/>
    </xf>
    <xf numFmtId="0" fontId="37" fillId="6" borderId="36" xfId="7" applyFont="1" applyFill="1" applyBorder="1" applyAlignment="1">
      <alignment vertical="center"/>
    </xf>
    <xf numFmtId="164" fontId="54" fillId="6" borderId="31" xfId="7" applyNumberFormat="1" applyFont="1" applyFill="1" applyBorder="1" applyAlignment="1" applyProtection="1">
      <alignment horizontal="left" vertical="center"/>
    </xf>
    <xf numFmtId="0" fontId="2" fillId="6" borderId="99" xfId="17" applyFill="1" applyBorder="1"/>
    <xf numFmtId="0" fontId="37" fillId="6" borderId="39" xfId="7" applyFont="1" applyFill="1" applyBorder="1" applyAlignment="1">
      <alignment vertical="center"/>
    </xf>
    <xf numFmtId="0" fontId="2" fillId="6" borderId="97" xfId="17" applyFill="1" applyBorder="1"/>
    <xf numFmtId="3" fontId="37" fillId="6" borderId="24" xfId="7" applyNumberFormat="1" applyFont="1" applyFill="1" applyBorder="1" applyAlignment="1">
      <alignment vertical="center"/>
    </xf>
    <xf numFmtId="3" fontId="37" fillId="6" borderId="17" xfId="7" applyNumberFormat="1" applyFont="1" applyFill="1" applyBorder="1" applyAlignment="1">
      <alignment vertical="center"/>
    </xf>
    <xf numFmtId="49" fontId="37" fillId="0" borderId="35" xfId="7" applyNumberFormat="1" applyFont="1" applyFill="1" applyBorder="1" applyAlignment="1" applyProtection="1">
      <alignment horizontal="center" vertical="center"/>
    </xf>
    <xf numFmtId="49" fontId="54" fillId="0" borderId="37" xfId="7" applyNumberFormat="1" applyFont="1" applyFill="1" applyBorder="1" applyAlignment="1" applyProtection="1">
      <alignment horizontal="left" vertical="center"/>
    </xf>
    <xf numFmtId="49" fontId="37" fillId="0" borderId="20" xfId="7" applyNumberFormat="1" applyFont="1" applyFill="1" applyBorder="1" applyAlignment="1" applyProtection="1">
      <alignment horizontal="center" vertical="center"/>
    </xf>
    <xf numFmtId="49" fontId="54" fillId="0" borderId="67" xfId="7" applyNumberFormat="1" applyFont="1" applyFill="1" applyBorder="1" applyAlignment="1" applyProtection="1">
      <alignment horizontal="left" vertical="center"/>
    </xf>
    <xf numFmtId="3" fontId="37" fillId="6" borderId="18" xfId="7" applyNumberFormat="1" applyFont="1" applyFill="1" applyBorder="1" applyAlignment="1">
      <alignment vertical="center"/>
    </xf>
    <xf numFmtId="3" fontId="37" fillId="6" borderId="37" xfId="7" applyNumberFormat="1" applyFont="1" applyFill="1" applyBorder="1" applyAlignment="1">
      <alignment vertical="center"/>
    </xf>
    <xf numFmtId="3" fontId="37" fillId="6" borderId="67" xfId="7" applyNumberFormat="1" applyFont="1" applyFill="1" applyBorder="1" applyAlignment="1">
      <alignment vertical="center"/>
    </xf>
    <xf numFmtId="173" fontId="54" fillId="5" borderId="8" xfId="8" applyNumberFormat="1" applyFont="1" applyFill="1" applyBorder="1" applyAlignment="1" applyProtection="1">
      <alignment horizontal="right" vertical="center"/>
    </xf>
    <xf numFmtId="172" fontId="37" fillId="6" borderId="36" xfId="7" applyNumberFormat="1" applyFont="1" applyFill="1" applyBorder="1" applyAlignment="1">
      <alignment vertical="center"/>
    </xf>
    <xf numFmtId="172" fontId="2" fillId="6" borderId="99" xfId="17" applyNumberFormat="1" applyFill="1" applyBorder="1"/>
    <xf numFmtId="173" fontId="37" fillId="5" borderId="36" xfId="8" applyNumberFormat="1" applyFont="1" applyFill="1" applyBorder="1" applyAlignment="1" applyProtection="1">
      <alignment horizontal="right" vertical="center"/>
    </xf>
    <xf numFmtId="173" fontId="37" fillId="5" borderId="39" xfId="8" applyNumberFormat="1" applyFont="1" applyFill="1" applyBorder="1" applyAlignment="1" applyProtection="1">
      <alignment horizontal="right" vertical="center"/>
    </xf>
    <xf numFmtId="165" fontId="1" fillId="0" borderId="0" xfId="23" applyNumberFormat="1"/>
    <xf numFmtId="49" fontId="54" fillId="0" borderId="77" xfId="7" applyNumberFormat="1" applyFont="1" applyFill="1" applyBorder="1" applyAlignment="1" applyProtection="1">
      <alignment horizontal="left" vertical="center"/>
    </xf>
    <xf numFmtId="49" fontId="54" fillId="0" borderId="88" xfId="7" applyNumberFormat="1" applyFont="1" applyFill="1" applyBorder="1" applyAlignment="1" applyProtection="1">
      <alignment horizontal="left" vertical="center"/>
    </xf>
    <xf numFmtId="49" fontId="54" fillId="0" borderId="48" xfId="7" applyNumberFormat="1" applyFont="1" applyFill="1" applyBorder="1" applyAlignment="1" applyProtection="1">
      <alignment horizontal="left" vertical="center"/>
    </xf>
    <xf numFmtId="3" fontId="21" fillId="0" borderId="13" xfId="18" applyNumberFormat="1" applyFont="1" applyBorder="1" applyAlignment="1">
      <alignment horizontal="right" vertical="center" indent="1"/>
    </xf>
    <xf numFmtId="3" fontId="21" fillId="0" borderId="21" xfId="18" applyNumberFormat="1" applyFont="1" applyBorder="1" applyAlignment="1">
      <alignment horizontal="right" vertical="center" indent="1"/>
    </xf>
    <xf numFmtId="3" fontId="21" fillId="0" borderId="77" xfId="18" applyNumberFormat="1" applyFont="1" applyBorder="1" applyAlignment="1">
      <alignment horizontal="right" vertical="center" indent="1"/>
    </xf>
    <xf numFmtId="10" fontId="15" fillId="0" borderId="1" xfId="18" applyNumberFormat="1" applyFont="1" applyBorder="1" applyAlignment="1">
      <alignment horizontal="right" vertical="center" indent="1"/>
    </xf>
    <xf numFmtId="173" fontId="21" fillId="5" borderId="79" xfId="0" applyNumberFormat="1" applyFont="1" applyFill="1" applyBorder="1" applyAlignment="1">
      <alignment horizontal="right" indent="1"/>
    </xf>
    <xf numFmtId="173" fontId="21" fillId="13" borderId="74" xfId="0" applyNumberFormat="1" applyFont="1" applyFill="1" applyBorder="1" applyAlignment="1">
      <alignment horizontal="right" indent="1"/>
    </xf>
    <xf numFmtId="173" fontId="21" fillId="10" borderId="74" xfId="0" applyNumberFormat="1" applyFont="1" applyFill="1" applyBorder="1" applyAlignment="1">
      <alignment horizontal="right" indent="1"/>
    </xf>
    <xf numFmtId="10" fontId="15" fillId="0" borderId="78" xfId="18" applyNumberFormat="1" applyFont="1" applyBorder="1" applyAlignment="1">
      <alignment horizontal="right" vertical="center" indent="1"/>
    </xf>
    <xf numFmtId="10" fontId="15" fillId="0" borderId="0" xfId="24" applyNumberFormat="1" applyFont="1"/>
    <xf numFmtId="0" fontId="47" fillId="0" borderId="0" xfId="5" applyFont="1" applyAlignment="1">
      <alignment vertical="center"/>
    </xf>
    <xf numFmtId="0" fontId="33" fillId="0" borderId="0" xfId="5" applyFont="1" applyAlignment="1">
      <alignment vertical="center"/>
    </xf>
    <xf numFmtId="0" fontId="48" fillId="0" borderId="0" xfId="5" applyFont="1" applyAlignment="1">
      <alignment vertical="center"/>
    </xf>
    <xf numFmtId="0" fontId="49" fillId="0" borderId="0" xfId="5" applyFont="1" applyAlignment="1">
      <alignment vertical="center"/>
    </xf>
    <xf numFmtId="0" fontId="33" fillId="0" borderId="0" xfId="5" applyFont="1" applyAlignment="1">
      <alignment horizontal="right" vertical="center" indent="1"/>
    </xf>
    <xf numFmtId="3" fontId="33" fillId="0" borderId="15" xfId="5" applyNumberFormat="1" applyFont="1" applyBorder="1" applyAlignment="1">
      <alignment horizontal="right" vertical="center" indent="1"/>
    </xf>
    <xf numFmtId="3" fontId="33" fillId="0" borderId="21" xfId="5" applyNumberFormat="1" applyFont="1" applyFill="1" applyBorder="1" applyAlignment="1">
      <alignment horizontal="right" vertical="center" indent="1"/>
    </xf>
    <xf numFmtId="3" fontId="33" fillId="0" borderId="21" xfId="5" applyNumberFormat="1" applyFont="1" applyBorder="1" applyAlignment="1">
      <alignment horizontal="right" vertical="center" indent="1"/>
    </xf>
    <xf numFmtId="0" fontId="33" fillId="0" borderId="0" xfId="5" applyFont="1" applyBorder="1" applyAlignment="1">
      <alignment vertical="center"/>
    </xf>
    <xf numFmtId="0" fontId="33" fillId="0" borderId="0" xfId="5" applyFont="1" applyBorder="1" applyAlignment="1">
      <alignment vertical="center" wrapText="1"/>
    </xf>
    <xf numFmtId="0" fontId="33" fillId="0" borderId="0" xfId="5" applyFont="1" applyBorder="1" applyAlignment="1">
      <alignment horizontal="center" vertical="center" wrapText="1"/>
    </xf>
    <xf numFmtId="0" fontId="33" fillId="0" borderId="14" xfId="5" applyFont="1" applyBorder="1" applyAlignment="1">
      <alignment horizontal="center" vertical="center" wrapText="1"/>
    </xf>
    <xf numFmtId="3" fontId="33" fillId="0" borderId="11" xfId="5" applyNumberFormat="1" applyFont="1" applyBorder="1" applyAlignment="1">
      <alignment horizontal="right" vertical="center" wrapText="1" indent="1"/>
    </xf>
    <xf numFmtId="0" fontId="33" fillId="0" borderId="22" xfId="5" applyFont="1" applyBorder="1" applyAlignment="1">
      <alignment horizontal="center" vertical="center" wrapText="1"/>
    </xf>
    <xf numFmtId="3" fontId="33" fillId="0" borderId="23" xfId="5" applyNumberFormat="1" applyFont="1" applyBorder="1" applyAlignment="1">
      <alignment horizontal="right" vertical="center" wrapText="1" indent="1"/>
    </xf>
    <xf numFmtId="3" fontId="35" fillId="0" borderId="45" xfId="5" applyNumberFormat="1" applyFont="1" applyBorder="1" applyAlignment="1">
      <alignment horizontal="right" vertical="center" indent="1"/>
    </xf>
    <xf numFmtId="0" fontId="33" fillId="0" borderId="25" xfId="5" applyFont="1" applyBorder="1" applyAlignment="1">
      <alignment horizontal="center" vertical="center" wrapText="1"/>
    </xf>
    <xf numFmtId="3" fontId="33" fillId="0" borderId="26" xfId="5" applyNumberFormat="1" applyFont="1" applyBorder="1" applyAlignment="1">
      <alignment horizontal="right" vertical="center" wrapText="1" indent="1"/>
    </xf>
    <xf numFmtId="3" fontId="33" fillId="0" borderId="29" xfId="5" applyNumberFormat="1" applyFont="1" applyBorder="1" applyAlignment="1">
      <alignment horizontal="right" vertical="center" indent="1"/>
    </xf>
    <xf numFmtId="3" fontId="35" fillId="0" borderId="48" xfId="5" applyNumberFormat="1" applyFont="1" applyBorder="1" applyAlignment="1">
      <alignment horizontal="right" vertical="center" indent="1"/>
    </xf>
    <xf numFmtId="2" fontId="0" fillId="0" borderId="79" xfId="0" applyNumberFormat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3" fontId="6" fillId="2" borderId="19" xfId="1" applyNumberFormat="1" applyFont="1" applyFill="1" applyBorder="1" applyAlignment="1">
      <alignment horizontal="center" vertical="center" wrapText="1"/>
    </xf>
    <xf numFmtId="3" fontId="6" fillId="2" borderId="26" xfId="1" applyNumberFormat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vertical="center"/>
    </xf>
    <xf numFmtId="3" fontId="12" fillId="2" borderId="17" xfId="1" applyNumberFormat="1" applyFont="1" applyFill="1" applyBorder="1" applyAlignment="1">
      <alignment horizontal="right" vertical="center"/>
    </xf>
    <xf numFmtId="3" fontId="12" fillId="2" borderId="23" xfId="1" applyNumberFormat="1" applyFont="1" applyFill="1" applyBorder="1" applyAlignment="1">
      <alignment horizontal="right" vertical="center"/>
    </xf>
    <xf numFmtId="3" fontId="20" fillId="3" borderId="38" xfId="1" applyNumberFormat="1" applyFont="1" applyFill="1" applyBorder="1" applyAlignment="1">
      <alignment horizontal="right" vertical="center"/>
    </xf>
    <xf numFmtId="3" fontId="20" fillId="7" borderId="114" xfId="1" applyNumberFormat="1" applyFont="1" applyFill="1" applyBorder="1" applyAlignment="1">
      <alignment horizontal="right" vertical="center"/>
    </xf>
    <xf numFmtId="3" fontId="7" fillId="2" borderId="17" xfId="1" applyNumberFormat="1" applyFont="1" applyFill="1" applyBorder="1" applyAlignment="1">
      <alignment horizontal="right" vertical="center"/>
    </xf>
    <xf numFmtId="3" fontId="27" fillId="2" borderId="0" xfId="1" applyNumberFormat="1" applyFont="1" applyFill="1" applyBorder="1" applyAlignment="1">
      <alignment horizontal="right" vertical="center"/>
    </xf>
    <xf numFmtId="164" fontId="27" fillId="2" borderId="0" xfId="1" applyNumberFormat="1" applyFont="1" applyFill="1" applyBorder="1" applyAlignment="1">
      <alignment horizontal="right" vertical="center"/>
    </xf>
    <xf numFmtId="0" fontId="27" fillId="2" borderId="0" xfId="1" applyFont="1" applyFill="1" applyBorder="1" applyAlignment="1">
      <alignment horizontal="right" vertical="center"/>
    </xf>
    <xf numFmtId="3" fontId="27" fillId="3" borderId="49" xfId="1" applyNumberFormat="1" applyFont="1" applyFill="1" applyBorder="1" applyAlignment="1">
      <alignment horizontal="right" vertical="center"/>
    </xf>
    <xf numFmtId="0" fontId="27" fillId="2" borderId="50" xfId="1" applyFont="1" applyFill="1" applyBorder="1" applyAlignment="1">
      <alignment horizontal="right" vertical="center"/>
    </xf>
    <xf numFmtId="3" fontId="27" fillId="7" borderId="11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vertical="center"/>
    </xf>
    <xf numFmtId="0" fontId="12" fillId="2" borderId="18" xfId="1" applyFont="1" applyFill="1" applyBorder="1" applyAlignment="1">
      <alignment vertical="center"/>
    </xf>
    <xf numFmtId="0" fontId="12" fillId="0" borderId="18" xfId="1" applyFont="1" applyFill="1" applyBorder="1" applyAlignment="1">
      <alignment vertical="center"/>
    </xf>
    <xf numFmtId="3" fontId="7" fillId="2" borderId="58" xfId="1" applyNumberFormat="1" applyFont="1" applyFill="1" applyBorder="1" applyAlignment="1">
      <alignment horizontal="right" vertical="center"/>
    </xf>
    <xf numFmtId="3" fontId="26" fillId="3" borderId="59" xfId="1" applyNumberFormat="1" applyFont="1" applyFill="1" applyBorder="1" applyAlignment="1">
      <alignment horizontal="right" vertical="center"/>
    </xf>
    <xf numFmtId="3" fontId="26" fillId="7" borderId="116" xfId="1" applyNumberFormat="1" applyFont="1" applyFill="1" applyBorder="1" applyAlignment="1">
      <alignment horizontal="right" vertical="center"/>
    </xf>
    <xf numFmtId="0" fontId="19" fillId="2" borderId="57" xfId="1" applyFont="1" applyFill="1" applyBorder="1" applyAlignment="1">
      <alignment vertical="center"/>
    </xf>
    <xf numFmtId="0" fontId="19" fillId="2" borderId="58" xfId="1" applyFont="1" applyFill="1" applyBorder="1" applyAlignment="1">
      <alignment vertical="center"/>
    </xf>
    <xf numFmtId="0" fontId="7" fillId="2" borderId="69" xfId="1" applyFont="1" applyFill="1" applyBorder="1" applyAlignment="1">
      <alignment vertical="center"/>
    </xf>
    <xf numFmtId="0" fontId="9" fillId="2" borderId="68" xfId="1" applyFont="1" applyFill="1" applyBorder="1" applyAlignment="1">
      <alignment vertical="center"/>
    </xf>
    <xf numFmtId="164" fontId="23" fillId="2" borderId="70" xfId="1" applyNumberFormat="1" applyFont="1" applyFill="1" applyBorder="1" applyAlignment="1">
      <alignment horizontal="right" vertical="center"/>
    </xf>
    <xf numFmtId="164" fontId="23" fillId="2" borderId="69" xfId="1" applyNumberFormat="1" applyFont="1" applyFill="1" applyBorder="1" applyAlignment="1">
      <alignment horizontal="right" vertical="center"/>
    </xf>
    <xf numFmtId="3" fontId="7" fillId="3" borderId="125" xfId="1" applyNumberFormat="1" applyFont="1" applyFill="1" applyBorder="1" applyAlignment="1">
      <alignment horizontal="right" vertical="center"/>
    </xf>
    <xf numFmtId="164" fontId="23" fillId="2" borderId="77" xfId="1" applyNumberFormat="1" applyFont="1" applyFill="1" applyBorder="1" applyAlignment="1">
      <alignment horizontal="right" vertical="center"/>
    </xf>
    <xf numFmtId="3" fontId="7" fillId="7" borderId="126" xfId="1" applyNumberFormat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vertical="center"/>
    </xf>
    <xf numFmtId="0" fontId="9" fillId="2" borderId="2" xfId="1" applyFont="1" applyFill="1" applyBorder="1" applyAlignment="1">
      <alignment vertical="center"/>
    </xf>
    <xf numFmtId="3" fontId="9" fillId="2" borderId="2" xfId="1" applyNumberFormat="1" applyFont="1" applyFill="1" applyBorder="1" applyAlignment="1">
      <alignment horizontal="right" vertical="center"/>
    </xf>
    <xf numFmtId="3" fontId="30" fillId="4" borderId="63" xfId="1" applyNumberFormat="1" applyFont="1" applyFill="1" applyBorder="1" applyAlignment="1">
      <alignment horizontal="right" vertical="center"/>
    </xf>
    <xf numFmtId="3" fontId="30" fillId="8" borderId="117" xfId="1" applyNumberFormat="1" applyFont="1" applyFill="1" applyBorder="1" applyAlignment="1">
      <alignment horizontal="right" vertical="center"/>
    </xf>
    <xf numFmtId="0" fontId="0" fillId="2" borderId="0" xfId="0" applyFill="1"/>
    <xf numFmtId="0" fontId="62" fillId="0" borderId="0" xfId="0" applyFont="1"/>
    <xf numFmtId="49" fontId="54" fillId="0" borderId="8" xfId="7" applyNumberFormat="1" applyFont="1" applyFill="1" applyBorder="1" applyAlignment="1" applyProtection="1">
      <alignment horizontal="center" vertical="center"/>
    </xf>
    <xf numFmtId="0" fontId="21" fillId="0" borderId="75" xfId="18" applyFont="1" applyBorder="1" applyAlignment="1">
      <alignment horizontal="center" vertical="center"/>
    </xf>
    <xf numFmtId="0" fontId="21" fillId="0" borderId="129" xfId="17" applyFont="1" applyBorder="1" applyAlignment="1">
      <alignment horizontal="left" vertical="center" wrapText="1" indent="1"/>
    </xf>
    <xf numFmtId="0" fontId="21" fillId="0" borderId="130" xfId="17" applyFont="1" applyBorder="1" applyAlignment="1">
      <alignment horizontal="left" vertical="center" wrapText="1" indent="1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21" fillId="0" borderId="26" xfId="18" applyFont="1" applyBorder="1" applyAlignment="1">
      <alignment horizontal="center" vertical="center"/>
    </xf>
    <xf numFmtId="0" fontId="21" fillId="0" borderId="26" xfId="18" applyFont="1" applyBorder="1" applyAlignment="1">
      <alignment horizontal="center" vertical="center" wrapText="1"/>
    </xf>
    <xf numFmtId="10" fontId="21" fillId="0" borderId="67" xfId="18" applyNumberFormat="1" applyFont="1" applyBorder="1" applyAlignment="1">
      <alignment horizontal="right" vertical="center" indent="1"/>
    </xf>
    <xf numFmtId="10" fontId="21" fillId="0" borderId="18" xfId="18" applyNumberFormat="1" applyFont="1" applyBorder="1" applyAlignment="1">
      <alignment horizontal="right" vertical="center" indent="1"/>
    </xf>
    <xf numFmtId="0" fontId="21" fillId="0" borderId="25" xfId="18" applyFont="1" applyBorder="1" applyAlignment="1">
      <alignment horizontal="center" vertical="center"/>
    </xf>
    <xf numFmtId="0" fontId="21" fillId="0" borderId="29" xfId="18" applyFont="1" applyBorder="1" applyAlignment="1">
      <alignment horizontal="center" vertical="center"/>
    </xf>
    <xf numFmtId="10" fontId="7" fillId="0" borderId="66" xfId="20" applyNumberFormat="1" applyFont="1" applyFill="1" applyBorder="1" applyAlignment="1">
      <alignment horizontal="right" vertical="center" indent="1"/>
    </xf>
    <xf numFmtId="10" fontId="7" fillId="0" borderId="22" xfId="20" applyNumberFormat="1" applyFont="1" applyFill="1" applyBorder="1" applyAlignment="1">
      <alignment horizontal="right" vertical="center" indent="1"/>
    </xf>
    <xf numFmtId="10" fontId="7" fillId="0" borderId="57" xfId="20" applyNumberFormat="1" applyFont="1" applyFill="1" applyBorder="1" applyAlignment="1">
      <alignment horizontal="right" vertical="center" indent="1"/>
    </xf>
    <xf numFmtId="3" fontId="21" fillId="0" borderId="20" xfId="18" applyNumberFormat="1" applyFont="1" applyBorder="1" applyAlignment="1">
      <alignment horizontal="right" vertical="center" indent="1"/>
    </xf>
    <xf numFmtId="3" fontId="21" fillId="0" borderId="24" xfId="18" applyNumberFormat="1" applyFont="1" applyBorder="1" applyAlignment="1">
      <alignment horizontal="right" vertical="center" indent="1"/>
    </xf>
    <xf numFmtId="3" fontId="21" fillId="0" borderId="69" xfId="18" applyNumberFormat="1" applyFont="1" applyBorder="1" applyAlignment="1">
      <alignment horizontal="right" vertical="center" indent="1"/>
    </xf>
    <xf numFmtId="3" fontId="15" fillId="0" borderId="3" xfId="18" applyNumberFormat="1" applyFont="1" applyBorder="1" applyAlignment="1">
      <alignment horizontal="right" vertical="center" indent="1"/>
    </xf>
    <xf numFmtId="3" fontId="15" fillId="12" borderId="79" xfId="18" applyNumberFormat="1" applyFont="1" applyFill="1" applyBorder="1" applyAlignment="1">
      <alignment horizontal="right" vertical="center" indent="1"/>
    </xf>
    <xf numFmtId="3" fontId="15" fillId="10" borderId="74" xfId="18" applyNumberFormat="1" applyFont="1" applyFill="1" applyBorder="1" applyAlignment="1">
      <alignment horizontal="right" vertical="center" indent="1"/>
    </xf>
    <xf numFmtId="3" fontId="15" fillId="12" borderId="74" xfId="18" applyNumberFormat="1" applyFont="1" applyFill="1" applyBorder="1" applyAlignment="1">
      <alignment horizontal="right" vertical="center" indent="1"/>
    </xf>
    <xf numFmtId="3" fontId="15" fillId="5" borderId="74" xfId="18" applyNumberFormat="1" applyFont="1" applyFill="1" applyBorder="1" applyAlignment="1">
      <alignment horizontal="right" vertical="center" indent="1"/>
    </xf>
    <xf numFmtId="3" fontId="15" fillId="13" borderId="74" xfId="18" applyNumberFormat="1" applyFont="1" applyFill="1" applyBorder="1" applyAlignment="1">
      <alignment horizontal="right" vertical="center" indent="1"/>
    </xf>
    <xf numFmtId="3" fontId="15" fillId="13" borderId="76" xfId="18" applyNumberFormat="1" applyFont="1" applyFill="1" applyBorder="1" applyAlignment="1">
      <alignment horizontal="right" vertical="center" indent="1"/>
    </xf>
    <xf numFmtId="3" fontId="15" fillId="0" borderId="78" xfId="18" applyNumberFormat="1" applyFont="1" applyBorder="1" applyAlignment="1">
      <alignment horizontal="right" vertical="center" indent="1"/>
    </xf>
    <xf numFmtId="3" fontId="8" fillId="0" borderId="0" xfId="4" applyNumberFormat="1"/>
    <xf numFmtId="10" fontId="21" fillId="10" borderId="74" xfId="18" applyNumberFormat="1" applyFont="1" applyFill="1" applyBorder="1" applyAlignment="1">
      <alignment horizontal="right" vertical="center" indent="1"/>
    </xf>
    <xf numFmtId="10" fontId="21" fillId="12" borderId="74" xfId="18" applyNumberFormat="1" applyFont="1" applyFill="1" applyBorder="1" applyAlignment="1">
      <alignment horizontal="right" vertical="center" indent="1"/>
    </xf>
    <xf numFmtId="10" fontId="21" fillId="5" borderId="74" xfId="18" applyNumberFormat="1" applyFont="1" applyFill="1" applyBorder="1" applyAlignment="1">
      <alignment horizontal="right" vertical="center" indent="1"/>
    </xf>
    <xf numFmtId="10" fontId="7" fillId="13" borderId="74" xfId="20" applyNumberFormat="1" applyFont="1" applyFill="1" applyBorder="1" applyAlignment="1">
      <alignment horizontal="right" vertical="center" indent="1"/>
    </xf>
    <xf numFmtId="0" fontId="21" fillId="0" borderId="80" xfId="18" applyFont="1" applyBorder="1" applyAlignment="1">
      <alignment horizontal="center" vertical="center"/>
    </xf>
    <xf numFmtId="0" fontId="21" fillId="0" borderId="23" xfId="17" applyFont="1" applyBorder="1" applyAlignment="1">
      <alignment horizontal="left" vertical="center" wrapText="1" indent="1"/>
    </xf>
    <xf numFmtId="0" fontId="21" fillId="0" borderId="0" xfId="17" applyFont="1" applyBorder="1" applyAlignment="1">
      <alignment horizontal="left" vertical="center" wrapText="1" indent="1"/>
    </xf>
    <xf numFmtId="3" fontId="21" fillId="0" borderId="0" xfId="17" applyNumberFormat="1" applyFont="1" applyBorder="1" applyAlignment="1">
      <alignment horizontal="left" vertical="center" wrapText="1" indent="1"/>
    </xf>
    <xf numFmtId="4" fontId="7" fillId="0" borderId="78" xfId="16" applyNumberFormat="1" applyFont="1" applyBorder="1" applyAlignment="1">
      <alignment horizontal="right" vertical="center" indent="1"/>
    </xf>
    <xf numFmtId="0" fontId="0" fillId="0" borderId="0" xfId="0"/>
    <xf numFmtId="0" fontId="7" fillId="0" borderId="0" xfId="4" applyFont="1" applyFill="1" applyAlignment="1">
      <alignment horizontal="left" vertical="center" wrapText="1"/>
    </xf>
    <xf numFmtId="0" fontId="0" fillId="0" borderId="0" xfId="0"/>
    <xf numFmtId="0" fontId="8" fillId="0" borderId="0" xfId="27" applyFont="1"/>
    <xf numFmtId="0" fontId="64" fillId="0" borderId="0" xfId="27" applyFont="1"/>
    <xf numFmtId="0" fontId="65" fillId="0" borderId="0" xfId="27" applyFont="1"/>
    <xf numFmtId="0" fontId="64" fillId="0" borderId="0" xfId="4" applyFont="1" applyFill="1" applyBorder="1" applyAlignment="1">
      <alignment vertical="center"/>
    </xf>
    <xf numFmtId="0" fontId="64" fillId="0" borderId="0" xfId="18" applyFont="1"/>
    <xf numFmtId="0" fontId="36" fillId="0" borderId="0" xfId="17" applyFont="1" applyAlignment="1">
      <alignment horizontal="left" vertical="center"/>
    </xf>
    <xf numFmtId="0" fontId="64" fillId="0" borderId="0" xfId="0" applyFont="1" applyBorder="1" applyAlignment="1">
      <alignment horizontal="left" vertical="center"/>
    </xf>
    <xf numFmtId="0" fontId="64" fillId="0" borderId="0" xfId="5" applyFont="1" applyAlignment="1">
      <alignment vertical="center"/>
    </xf>
    <xf numFmtId="0" fontId="67" fillId="0" borderId="0" xfId="5" applyFont="1" applyAlignment="1">
      <alignment vertical="center"/>
    </xf>
    <xf numFmtId="0" fontId="68" fillId="0" borderId="0" xfId="5" applyFont="1" applyAlignment="1">
      <alignment vertical="center"/>
    </xf>
    <xf numFmtId="0" fontId="64" fillId="0" borderId="0" xfId="0" applyFont="1"/>
    <xf numFmtId="0" fontId="40" fillId="0" borderId="0" xfId="0" applyFont="1"/>
    <xf numFmtId="0" fontId="64" fillId="0" borderId="0" xfId="19" applyFont="1"/>
    <xf numFmtId="3" fontId="21" fillId="0" borderId="23" xfId="17" applyNumberFormat="1" applyFont="1" applyBorder="1" applyAlignment="1">
      <alignment horizontal="right" vertical="center" wrapText="1" indent="1"/>
    </xf>
    <xf numFmtId="170" fontId="21" fillId="12" borderId="79" xfId="0" applyNumberFormat="1" applyFont="1" applyFill="1" applyBorder="1" applyAlignment="1">
      <alignment horizontal="right" indent="1"/>
    </xf>
    <xf numFmtId="170" fontId="21" fillId="10" borderId="74" xfId="0" applyNumberFormat="1" applyFont="1" applyFill="1" applyBorder="1" applyAlignment="1">
      <alignment horizontal="right" indent="1"/>
    </xf>
    <xf numFmtId="170" fontId="21" fillId="12" borderId="74" xfId="0" applyNumberFormat="1" applyFont="1" applyFill="1" applyBorder="1" applyAlignment="1">
      <alignment horizontal="right" indent="1"/>
    </xf>
    <xf numFmtId="170" fontId="21" fillId="15" borderId="74" xfId="24" applyNumberFormat="1" applyFont="1" applyFill="1" applyBorder="1" applyAlignment="1">
      <alignment horizontal="right" indent="1"/>
    </xf>
    <xf numFmtId="170" fontId="21" fillId="13" borderId="74" xfId="0" applyNumberFormat="1" applyFont="1" applyFill="1" applyBorder="1" applyAlignment="1">
      <alignment horizontal="right" indent="1"/>
    </xf>
    <xf numFmtId="170" fontId="21" fillId="13" borderId="80" xfId="0" applyNumberFormat="1" applyFont="1" applyFill="1" applyBorder="1" applyAlignment="1">
      <alignment horizontal="right" indent="1"/>
    </xf>
    <xf numFmtId="170" fontId="15" fillId="0" borderId="72" xfId="24" applyNumberFormat="1" applyFont="1" applyBorder="1" applyAlignment="1">
      <alignment horizontal="right" indent="1"/>
    </xf>
    <xf numFmtId="0" fontId="15" fillId="0" borderId="0" xfId="18" applyFont="1" applyBorder="1" applyAlignment="1">
      <alignment horizontal="center" vertical="center"/>
    </xf>
    <xf numFmtId="10" fontId="15" fillId="0" borderId="0" xfId="18" applyNumberFormat="1" applyFont="1" applyBorder="1" applyAlignment="1">
      <alignment horizontal="right" vertical="center" indent="1"/>
    </xf>
    <xf numFmtId="0" fontId="0" fillId="0" borderId="0" xfId="0" applyAlignment="1"/>
    <xf numFmtId="0" fontId="35" fillId="0" borderId="78" xfId="0" applyFont="1" applyBorder="1" applyAlignment="1">
      <alignment horizontal="center" vertical="center" wrapText="1"/>
    </xf>
    <xf numFmtId="0" fontId="21" fillId="0" borderId="8" xfId="18" applyFont="1" applyBorder="1" applyAlignment="1">
      <alignment horizontal="center" vertical="center"/>
    </xf>
    <xf numFmtId="0" fontId="15" fillId="0" borderId="79" xfId="18" applyFont="1" applyBorder="1" applyAlignment="1">
      <alignment horizontal="center" vertical="center" wrapText="1"/>
    </xf>
    <xf numFmtId="10" fontId="0" fillId="0" borderId="66" xfId="24" applyNumberFormat="1" applyFont="1" applyBorder="1" applyAlignment="1">
      <alignment horizontal="right" indent="1"/>
    </xf>
    <xf numFmtId="10" fontId="0" fillId="0" borderId="19" xfId="24" applyNumberFormat="1" applyFont="1" applyBorder="1" applyAlignment="1">
      <alignment horizontal="right" indent="1"/>
    </xf>
    <xf numFmtId="10" fontId="0" fillId="0" borderId="20" xfId="24" applyNumberFormat="1" applyFont="1" applyBorder="1" applyAlignment="1">
      <alignment horizontal="right" indent="1"/>
    </xf>
    <xf numFmtId="10" fontId="8" fillId="15" borderId="79" xfId="24" applyNumberFormat="1" applyFont="1" applyFill="1" applyBorder="1" applyAlignment="1">
      <alignment horizontal="right" indent="1"/>
    </xf>
    <xf numFmtId="10" fontId="0" fillId="0" borderId="22" xfId="24" applyNumberFormat="1" applyFont="1" applyBorder="1" applyAlignment="1">
      <alignment horizontal="right" indent="1"/>
    </xf>
    <xf numFmtId="10" fontId="0" fillId="0" borderId="23" xfId="24" applyNumberFormat="1" applyFont="1" applyBorder="1" applyAlignment="1">
      <alignment horizontal="right" indent="1"/>
    </xf>
    <xf numFmtId="10" fontId="0" fillId="0" borderId="24" xfId="24" applyNumberFormat="1" applyFont="1" applyBorder="1" applyAlignment="1">
      <alignment horizontal="right" indent="1"/>
    </xf>
    <xf numFmtId="10" fontId="8" fillId="15" borderId="74" xfId="24" applyNumberFormat="1" applyFont="1" applyFill="1" applyBorder="1" applyAlignment="1">
      <alignment horizontal="right" indent="1"/>
    </xf>
    <xf numFmtId="10" fontId="0" fillId="0" borderId="57" xfId="24" applyNumberFormat="1" applyFont="1" applyBorder="1" applyAlignment="1">
      <alignment horizontal="right" indent="1"/>
    </xf>
    <xf numFmtId="10" fontId="0" fillId="0" borderId="58" xfId="24" applyNumberFormat="1" applyFont="1" applyBorder="1" applyAlignment="1">
      <alignment horizontal="right" indent="1"/>
    </xf>
    <xf numFmtId="10" fontId="0" fillId="0" borderId="69" xfId="24" applyNumberFormat="1" applyFont="1" applyBorder="1" applyAlignment="1">
      <alignment horizontal="right" indent="1"/>
    </xf>
    <xf numFmtId="10" fontId="8" fillId="15" borderId="76" xfId="24" applyNumberFormat="1" applyFont="1" applyFill="1" applyBorder="1" applyAlignment="1">
      <alignment horizontal="right" indent="1"/>
    </xf>
    <xf numFmtId="173" fontId="35" fillId="0" borderId="1" xfId="0" applyNumberFormat="1" applyFont="1" applyBorder="1" applyAlignment="1">
      <alignment horizontal="right" indent="1"/>
    </xf>
    <xf numFmtId="173" fontId="35" fillId="0" borderId="2" xfId="0" applyNumberFormat="1" applyFont="1" applyBorder="1" applyAlignment="1">
      <alignment horizontal="right" indent="1"/>
    </xf>
    <xf numFmtId="173" fontId="35" fillId="0" borderId="3" xfId="0" applyNumberFormat="1" applyFont="1" applyBorder="1" applyAlignment="1">
      <alignment horizontal="right" indent="1"/>
    </xf>
    <xf numFmtId="173" fontId="35" fillId="15" borderId="78" xfId="24" applyNumberFormat="1" applyFont="1" applyFill="1" applyBorder="1" applyAlignment="1">
      <alignment horizontal="right" indent="1"/>
    </xf>
    <xf numFmtId="10" fontId="21" fillId="12" borderId="79" xfId="18" applyNumberFormat="1" applyFont="1" applyFill="1" applyBorder="1" applyAlignment="1">
      <alignment horizontal="right" vertical="center" indent="1"/>
    </xf>
    <xf numFmtId="10" fontId="7" fillId="13" borderId="80" xfId="20" applyNumberFormat="1" applyFont="1" applyFill="1" applyBorder="1" applyAlignment="1">
      <alignment horizontal="right" vertical="center" indent="1"/>
    </xf>
    <xf numFmtId="173" fontId="21" fillId="12" borderId="80" xfId="0" applyNumberFormat="1" applyFont="1" applyFill="1" applyBorder="1" applyAlignment="1">
      <alignment horizontal="right" indent="1"/>
    </xf>
    <xf numFmtId="0" fontId="2" fillId="0" borderId="65" xfId="17" applyFill="1" applyBorder="1" applyAlignment="1"/>
    <xf numFmtId="0" fontId="2" fillId="0" borderId="44" xfId="17" applyFill="1" applyBorder="1" applyAlignment="1"/>
    <xf numFmtId="0" fontId="2" fillId="6" borderId="8" xfId="17" applyFill="1" applyBorder="1" applyAlignment="1"/>
    <xf numFmtId="0" fontId="2" fillId="6" borderId="9" xfId="17" applyFill="1" applyBorder="1" applyAlignment="1"/>
    <xf numFmtId="3" fontId="21" fillId="0" borderId="23" xfId="17" applyNumberFormat="1" applyFont="1" applyBorder="1" applyAlignment="1">
      <alignment horizontal="right" indent="1"/>
    </xf>
    <xf numFmtId="169" fontId="21" fillId="0" borderId="23" xfId="17" applyNumberFormat="1" applyFont="1" applyBorder="1" applyAlignment="1">
      <alignment horizontal="right" indent="1"/>
    </xf>
    <xf numFmtId="3" fontId="33" fillId="0" borderId="23" xfId="18" applyNumberFormat="1" applyFont="1" applyBorder="1" applyAlignment="1">
      <alignment horizontal="right" vertical="center" indent="1"/>
    </xf>
    <xf numFmtId="165" fontId="33" fillId="0" borderId="23" xfId="18" applyNumberFormat="1" applyFont="1" applyBorder="1" applyAlignment="1">
      <alignment horizontal="right" vertical="center" indent="1"/>
    </xf>
    <xf numFmtId="0" fontId="33" fillId="0" borderId="11" xfId="5" applyFont="1" applyBorder="1" applyAlignment="1">
      <alignment horizontal="left" vertical="center" wrapText="1" indent="1"/>
    </xf>
    <xf numFmtId="0" fontId="33" fillId="0" borderId="23" xfId="5" applyFont="1" applyBorder="1" applyAlignment="1">
      <alignment horizontal="left" vertical="center" wrapText="1" indent="1"/>
    </xf>
    <xf numFmtId="0" fontId="33" fillId="0" borderId="26" xfId="5" applyFont="1" applyBorder="1" applyAlignment="1">
      <alignment horizontal="left" vertical="center" wrapText="1" indent="1"/>
    </xf>
    <xf numFmtId="3" fontId="0" fillId="0" borderId="66" xfId="0" applyNumberFormat="1" applyBorder="1" applyAlignment="1">
      <alignment horizontal="right" indent="1"/>
    </xf>
    <xf numFmtId="3" fontId="0" fillId="0" borderId="19" xfId="0" applyNumberFormat="1" applyBorder="1" applyAlignment="1">
      <alignment horizontal="right" indent="1"/>
    </xf>
    <xf numFmtId="3" fontId="0" fillId="0" borderId="13" xfId="0" applyNumberFormat="1" applyBorder="1" applyAlignment="1">
      <alignment horizontal="right" indent="1"/>
    </xf>
    <xf numFmtId="164" fontId="0" fillId="0" borderId="67" xfId="0" applyNumberFormat="1" applyBorder="1" applyAlignment="1">
      <alignment horizontal="right" indent="1"/>
    </xf>
    <xf numFmtId="164" fontId="0" fillId="0" borderId="19" xfId="0" applyNumberFormat="1" applyBorder="1" applyAlignment="1">
      <alignment horizontal="right" indent="1"/>
    </xf>
    <xf numFmtId="164" fontId="0" fillId="0" borderId="20" xfId="0" applyNumberFormat="1" applyBorder="1" applyAlignment="1">
      <alignment horizontal="right" indent="1"/>
    </xf>
    <xf numFmtId="164" fontId="0" fillId="0" borderId="73" xfId="0" applyNumberFormat="1" applyBorder="1" applyAlignment="1">
      <alignment horizontal="right" indent="1"/>
    </xf>
    <xf numFmtId="3" fontId="0" fillId="0" borderId="73" xfId="0" applyNumberFormat="1" applyBorder="1" applyAlignment="1">
      <alignment horizontal="right" indent="1"/>
    </xf>
    <xf numFmtId="3" fontId="0" fillId="0" borderId="22" xfId="0" applyNumberFormat="1" applyBorder="1" applyAlignment="1">
      <alignment horizontal="right" indent="1"/>
    </xf>
    <xf numFmtId="3" fontId="0" fillId="0" borderId="23" xfId="0" applyNumberFormat="1" applyBorder="1" applyAlignment="1">
      <alignment horizontal="right" indent="1"/>
    </xf>
    <xf numFmtId="3" fontId="0" fillId="0" borderId="21" xfId="0" applyNumberFormat="1" applyBorder="1" applyAlignment="1">
      <alignment horizontal="right" indent="1"/>
    </xf>
    <xf numFmtId="164" fontId="0" fillId="0" borderId="18" xfId="0" applyNumberFormat="1" applyBorder="1" applyAlignment="1">
      <alignment horizontal="right" indent="1"/>
    </xf>
    <xf numFmtId="164" fontId="0" fillId="0" borderId="23" xfId="0" applyNumberFormat="1" applyBorder="1" applyAlignment="1">
      <alignment horizontal="right" indent="1"/>
    </xf>
    <xf numFmtId="164" fontId="0" fillId="0" borderId="24" xfId="0" applyNumberFormat="1" applyBorder="1" applyAlignment="1">
      <alignment horizontal="right" indent="1"/>
    </xf>
    <xf numFmtId="164" fontId="0" fillId="0" borderId="74" xfId="0" applyNumberFormat="1" applyBorder="1" applyAlignment="1">
      <alignment horizontal="right" indent="1"/>
    </xf>
    <xf numFmtId="3" fontId="0" fillId="0" borderId="74" xfId="0" applyNumberFormat="1" applyBorder="1" applyAlignment="1">
      <alignment horizontal="right" indent="1"/>
    </xf>
    <xf numFmtId="3" fontId="0" fillId="0" borderId="57" xfId="0" applyNumberFormat="1" applyBorder="1" applyAlignment="1">
      <alignment horizontal="right" indent="1"/>
    </xf>
    <xf numFmtId="3" fontId="0" fillId="0" borderId="58" xfId="0" applyNumberFormat="1" applyBorder="1" applyAlignment="1">
      <alignment horizontal="right" indent="1"/>
    </xf>
    <xf numFmtId="3" fontId="0" fillId="0" borderId="77" xfId="0" applyNumberFormat="1" applyBorder="1" applyAlignment="1">
      <alignment horizontal="right" indent="1"/>
    </xf>
    <xf numFmtId="164" fontId="0" fillId="0" borderId="70" xfId="0" applyNumberFormat="1" applyBorder="1" applyAlignment="1">
      <alignment horizontal="right" indent="1"/>
    </xf>
    <xf numFmtId="164" fontId="0" fillId="0" borderId="58" xfId="0" applyNumberFormat="1" applyBorder="1" applyAlignment="1">
      <alignment horizontal="right" indent="1"/>
    </xf>
    <xf numFmtId="164" fontId="0" fillId="0" borderId="69" xfId="0" applyNumberFormat="1" applyBorder="1" applyAlignment="1">
      <alignment horizontal="right" indent="1"/>
    </xf>
    <xf numFmtId="164" fontId="0" fillId="0" borderId="76" xfId="0" applyNumberFormat="1" applyBorder="1" applyAlignment="1">
      <alignment horizontal="right" indent="1"/>
    </xf>
    <xf numFmtId="3" fontId="0" fillId="0" borderId="76" xfId="0" applyNumberFormat="1" applyBorder="1" applyAlignment="1">
      <alignment horizontal="right" indent="1"/>
    </xf>
    <xf numFmtId="3" fontId="0" fillId="0" borderId="1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4" xfId="0" applyNumberFormat="1" applyBorder="1" applyAlignment="1">
      <alignment horizontal="right" indent="1"/>
    </xf>
    <xf numFmtId="164" fontId="0" fillId="0" borderId="62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78" xfId="0" applyNumberFormat="1" applyBorder="1" applyAlignment="1">
      <alignment horizontal="right" indent="1"/>
    </xf>
    <xf numFmtId="3" fontId="0" fillId="0" borderId="78" xfId="0" applyNumberFormat="1" applyBorder="1" applyAlignment="1">
      <alignment horizontal="right" indent="1"/>
    </xf>
    <xf numFmtId="3" fontId="0" fillId="0" borderId="80" xfId="0" applyNumberFormat="1" applyFill="1" applyBorder="1" applyAlignment="1">
      <alignment horizontal="right" indent="1"/>
    </xf>
    <xf numFmtId="0" fontId="69" fillId="0" borderId="0" xfId="18" applyFont="1"/>
    <xf numFmtId="0" fontId="5" fillId="0" borderId="0" xfId="1"/>
    <xf numFmtId="0" fontId="70" fillId="0" borderId="0" xfId="18" applyFont="1"/>
    <xf numFmtId="170" fontId="50" fillId="0" borderId="0" xfId="19" applyNumberFormat="1" applyFont="1"/>
    <xf numFmtId="0" fontId="71" fillId="0" borderId="0" xfId="0" applyFont="1"/>
    <xf numFmtId="0" fontId="10" fillId="0" borderId="0" xfId="0" applyFont="1"/>
    <xf numFmtId="3" fontId="21" fillId="0" borderId="23" xfId="17" applyNumberFormat="1" applyFont="1" applyBorder="1" applyAlignment="1">
      <alignment horizontal="center" vertical="center" wrapText="1"/>
    </xf>
    <xf numFmtId="0" fontId="8" fillId="0" borderId="0" xfId="7"/>
    <xf numFmtId="3" fontId="0" fillId="0" borderId="0" xfId="0" applyNumberFormat="1"/>
    <xf numFmtId="0" fontId="0" fillId="0" borderId="6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25" quotePrefix="1" applyFont="1"/>
    <xf numFmtId="0" fontId="8" fillId="0" borderId="0" xfId="25" quotePrefix="1" applyFont="1" applyAlignment="1">
      <alignment wrapText="1"/>
    </xf>
    <xf numFmtId="0" fontId="50" fillId="0" borderId="0" xfId="4" applyFont="1"/>
    <xf numFmtId="164" fontId="54" fillId="6" borderId="60" xfId="8" applyNumberFormat="1" applyFont="1" applyFill="1" applyBorder="1" applyAlignment="1" applyProtection="1">
      <alignment horizontal="right" vertical="center"/>
    </xf>
    <xf numFmtId="164" fontId="54" fillId="6" borderId="61" xfId="8" applyNumberFormat="1" applyFont="1" applyFill="1" applyBorder="1" applyAlignment="1" applyProtection="1">
      <alignment horizontal="right" vertical="center"/>
    </xf>
    <xf numFmtId="164" fontId="54" fillId="6" borderId="132" xfId="8" applyNumberFormat="1" applyFont="1" applyFill="1" applyBorder="1" applyAlignment="1" applyProtection="1">
      <alignment horizontal="right" vertical="center"/>
    </xf>
    <xf numFmtId="164" fontId="54" fillId="0" borderId="44" xfId="7" applyNumberFormat="1" applyFont="1" applyFill="1" applyBorder="1" applyAlignment="1">
      <alignment horizontal="center" vertical="center"/>
    </xf>
    <xf numFmtId="0" fontId="54" fillId="9" borderId="39" xfId="7" applyFont="1" applyFill="1" applyBorder="1" applyAlignment="1">
      <alignment vertical="center" wrapText="1"/>
    </xf>
    <xf numFmtId="0" fontId="54" fillId="9" borderId="96" xfId="7" applyFont="1" applyFill="1" applyBorder="1" applyAlignment="1">
      <alignment vertical="center" wrapText="1"/>
    </xf>
    <xf numFmtId="0" fontId="73" fillId="0" borderId="0" xfId="18" applyFont="1"/>
    <xf numFmtId="164" fontId="6" fillId="0" borderId="23" xfId="1" applyNumberFormat="1" applyFont="1" applyFill="1" applyBorder="1" applyAlignment="1">
      <alignment vertical="center"/>
    </xf>
    <xf numFmtId="3" fontId="6" fillId="0" borderId="23" xfId="1" applyNumberFormat="1" applyFont="1" applyFill="1" applyBorder="1" applyAlignment="1">
      <alignment vertical="center"/>
    </xf>
    <xf numFmtId="164" fontId="7" fillId="0" borderId="23" xfId="1" applyNumberFormat="1" applyFont="1" applyFill="1" applyBorder="1" applyAlignment="1">
      <alignment vertical="center"/>
    </xf>
    <xf numFmtId="3" fontId="6" fillId="0" borderId="23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52" fillId="0" borderId="0" xfId="25" quotePrefix="1" applyFont="1"/>
    <xf numFmtId="0" fontId="8" fillId="0" borderId="0" xfId="4" applyFont="1"/>
    <xf numFmtId="0" fontId="60" fillId="0" borderId="0" xfId="18" applyFont="1"/>
    <xf numFmtId="0" fontId="7" fillId="0" borderId="0" xfId="17" applyFont="1" applyAlignment="1">
      <alignment vertical="center"/>
    </xf>
    <xf numFmtId="0" fontId="7" fillId="0" borderId="0" xfId="17" applyFont="1"/>
    <xf numFmtId="0" fontId="60" fillId="0" borderId="0" xfId="18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5" applyFont="1" applyAlignment="1">
      <alignment vertical="center"/>
    </xf>
    <xf numFmtId="0" fontId="36" fillId="0" borderId="0" xfId="0" applyFont="1" applyAlignment="1">
      <alignment horizontal="center"/>
    </xf>
    <xf numFmtId="0" fontId="8" fillId="0" borderId="0" xfId="25" quotePrefix="1" applyFont="1" applyAlignment="1">
      <alignment horizontal="left"/>
    </xf>
    <xf numFmtId="0" fontId="8" fillId="0" borderId="0" xfId="25" applyFont="1" applyAlignment="1">
      <alignment horizontal="left"/>
    </xf>
    <xf numFmtId="0" fontId="6" fillId="2" borderId="16" xfId="2" applyFont="1" applyFill="1" applyBorder="1" applyAlignment="1">
      <alignment horizontal="left" vertical="center" wrapText="1"/>
    </xf>
    <xf numFmtId="0" fontId="6" fillId="2" borderId="17" xfId="2" applyFont="1" applyFill="1" applyBorder="1" applyAlignment="1">
      <alignment horizontal="left" vertical="center" wrapText="1"/>
    </xf>
    <xf numFmtId="0" fontId="6" fillId="2" borderId="18" xfId="2" applyFont="1" applyFill="1" applyBorder="1" applyAlignment="1">
      <alignment horizontal="left" vertical="center" wrapText="1"/>
    </xf>
    <xf numFmtId="0" fontId="6" fillId="2" borderId="22" xfId="1" applyFont="1" applyFill="1" applyBorder="1" applyAlignment="1">
      <alignment horizontal="left" vertical="center" wrapText="1"/>
    </xf>
    <xf numFmtId="0" fontId="6" fillId="2" borderId="23" xfId="1" applyFont="1" applyFill="1" applyBorder="1" applyAlignment="1">
      <alignment horizontal="left" vertical="center" wrapText="1"/>
    </xf>
    <xf numFmtId="0" fontId="64" fillId="2" borderId="0" xfId="1" applyFont="1" applyFill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left" vertical="center" wrapText="1"/>
    </xf>
    <xf numFmtId="0" fontId="6" fillId="2" borderId="9" xfId="1" applyFont="1" applyFill="1" applyBorder="1" applyAlignment="1">
      <alignment horizontal="left" vertical="center" wrapText="1"/>
    </xf>
    <xf numFmtId="0" fontId="6" fillId="2" borderId="10" xfId="1" applyFont="1" applyFill="1" applyBorder="1" applyAlignment="1">
      <alignment horizontal="left" vertical="center" wrapText="1"/>
    </xf>
    <xf numFmtId="0" fontId="6" fillId="2" borderId="14" xfId="2" applyFont="1" applyFill="1" applyBorder="1" applyAlignment="1">
      <alignment horizontal="left" vertical="center" wrapText="1"/>
    </xf>
    <xf numFmtId="0" fontId="6" fillId="2" borderId="11" xfId="2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center" vertical="center" textRotation="90" wrapText="1"/>
    </xf>
    <xf numFmtId="0" fontId="6" fillId="0" borderId="34" xfId="1" applyFont="1" applyFill="1" applyBorder="1" applyAlignment="1">
      <alignment horizontal="center" vertical="center" textRotation="90" wrapText="1"/>
    </xf>
    <xf numFmtId="0" fontId="6" fillId="0" borderId="30" xfId="1" applyFont="1" applyFill="1" applyBorder="1" applyAlignment="1">
      <alignment horizontal="center" vertical="center" textRotation="90" wrapText="1"/>
    </xf>
    <xf numFmtId="0" fontId="6" fillId="0" borderId="35" xfId="1" applyFont="1" applyFill="1" applyBorder="1" applyAlignment="1">
      <alignment horizontal="center" vertical="center" textRotation="90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6" fillId="0" borderId="33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37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6" fillId="0" borderId="41" xfId="1" applyFont="1" applyFill="1" applyBorder="1" applyAlignment="1">
      <alignment horizontal="center" vertical="center" wrapText="1"/>
    </xf>
    <xf numFmtId="49" fontId="6" fillId="0" borderId="11" xfId="1" applyNumberFormat="1" applyFont="1" applyFill="1" applyBorder="1" applyAlignment="1">
      <alignment horizontal="center" vertical="center" wrapText="1"/>
    </xf>
    <xf numFmtId="49" fontId="6" fillId="0" borderId="23" xfId="1" applyNumberFormat="1" applyFont="1" applyFill="1" applyBorder="1" applyAlignment="1">
      <alignment horizontal="center" vertical="center" wrapText="1"/>
    </xf>
    <xf numFmtId="49" fontId="6" fillId="0" borderId="26" xfId="1" applyNumberFormat="1" applyFont="1" applyFill="1" applyBorder="1" applyAlignment="1">
      <alignment horizontal="center" vertical="center" wrapText="1"/>
    </xf>
    <xf numFmtId="0" fontId="6" fillId="2" borderId="25" xfId="2" applyFont="1" applyFill="1" applyBorder="1" applyAlignment="1">
      <alignment horizontal="left" vertical="center" wrapText="1"/>
    </xf>
    <xf numFmtId="0" fontId="6" fillId="2" borderId="26" xfId="2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left" vertical="center" wrapText="1"/>
    </xf>
    <xf numFmtId="0" fontId="6" fillId="2" borderId="26" xfId="1" applyFont="1" applyFill="1" applyBorder="1" applyAlignment="1">
      <alignment horizontal="left" vertical="center" wrapText="1"/>
    </xf>
    <xf numFmtId="0" fontId="12" fillId="2" borderId="0" xfId="1" applyFont="1" applyFill="1" applyBorder="1" applyAlignment="1">
      <alignment horizontal="left" vertical="center"/>
    </xf>
    <xf numFmtId="10" fontId="13" fillId="0" borderId="33" xfId="1" applyNumberFormat="1" applyFont="1" applyFill="1" applyBorder="1" applyAlignment="1">
      <alignment horizontal="center" vertical="center" wrapText="1"/>
    </xf>
    <xf numFmtId="10" fontId="13" fillId="0" borderId="37" xfId="1" applyNumberFormat="1" applyFont="1" applyFill="1" applyBorder="1" applyAlignment="1">
      <alignment horizontal="center" vertical="center" wrapText="1"/>
    </xf>
    <xf numFmtId="10" fontId="13" fillId="0" borderId="41" xfId="1" applyNumberFormat="1" applyFont="1" applyFill="1" applyBorder="1" applyAlignment="1">
      <alignment horizontal="center" vertical="center" wrapText="1"/>
    </xf>
    <xf numFmtId="49" fontId="13" fillId="0" borderId="15" xfId="1" applyNumberFormat="1" applyFont="1" applyFill="1" applyBorder="1" applyAlignment="1">
      <alignment horizontal="center" vertical="center" wrapText="1"/>
    </xf>
    <xf numFmtId="49" fontId="13" fillId="0" borderId="21" xfId="1" applyNumberFormat="1" applyFont="1" applyFill="1" applyBorder="1" applyAlignment="1">
      <alignment horizontal="center" vertical="center" wrapText="1"/>
    </xf>
    <xf numFmtId="49" fontId="13" fillId="0" borderId="29" xfId="1" applyNumberFormat="1" applyFont="1" applyFill="1" applyBorder="1" applyAlignment="1">
      <alignment horizontal="center" vertical="center" wrapText="1"/>
    </xf>
    <xf numFmtId="1" fontId="6" fillId="0" borderId="3" xfId="1" applyNumberFormat="1" applyFont="1" applyFill="1" applyBorder="1" applyAlignment="1">
      <alignment horizontal="center" vertical="center"/>
    </xf>
    <xf numFmtId="1" fontId="6" fillId="0" borderId="44" xfId="1" applyNumberFormat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left" vertical="center"/>
    </xf>
    <xf numFmtId="0" fontId="7" fillId="0" borderId="24" xfId="1" applyFont="1" applyFill="1" applyBorder="1" applyAlignment="1">
      <alignment horizontal="left" vertical="center"/>
    </xf>
    <xf numFmtId="0" fontId="7" fillId="0" borderId="17" xfId="1" applyFont="1" applyFill="1" applyBorder="1" applyAlignment="1">
      <alignment horizontal="left" vertical="center"/>
    </xf>
    <xf numFmtId="0" fontId="19" fillId="2" borderId="3" xfId="1" applyFont="1" applyFill="1" applyBorder="1" applyAlignment="1">
      <alignment horizontal="left" vertical="center"/>
    </xf>
    <xf numFmtId="0" fontId="19" fillId="2" borderId="44" xfId="1" applyFont="1" applyFill="1" applyBorder="1" applyAlignment="1">
      <alignment horizontal="left" vertical="center"/>
    </xf>
    <xf numFmtId="10" fontId="13" fillId="0" borderId="6" xfId="1" applyNumberFormat="1" applyFont="1" applyFill="1" applyBorder="1" applyAlignment="1">
      <alignment horizontal="center" vertical="center" wrapText="1"/>
    </xf>
    <xf numFmtId="10" fontId="13" fillId="0" borderId="64" xfId="1" applyNumberFormat="1" applyFont="1" applyFill="1" applyBorder="1" applyAlignment="1">
      <alignment horizontal="center" vertical="center" wrapText="1"/>
    </xf>
    <xf numFmtId="10" fontId="13" fillId="0" borderId="45" xfId="1" applyNumberFormat="1" applyFont="1" applyFill="1" applyBorder="1" applyAlignment="1">
      <alignment horizontal="center" vertical="center" wrapText="1"/>
    </xf>
    <xf numFmtId="49" fontId="13" fillId="0" borderId="89" xfId="1" applyNumberFormat="1" applyFont="1" applyFill="1" applyBorder="1" applyAlignment="1">
      <alignment horizontal="center" vertical="center" wrapText="1"/>
    </xf>
    <xf numFmtId="49" fontId="13" fillId="0" borderId="92" xfId="1" applyNumberFormat="1" applyFont="1" applyFill="1" applyBorder="1" applyAlignment="1">
      <alignment horizontal="center" vertical="center" wrapText="1"/>
    </xf>
    <xf numFmtId="49" fontId="13" fillId="0" borderId="94" xfId="1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0" borderId="27" xfId="1" applyFont="1" applyFill="1" applyBorder="1" applyAlignment="1">
      <alignment horizontal="left" vertical="center"/>
    </xf>
    <xf numFmtId="0" fontId="7" fillId="0" borderId="52" xfId="1" applyFont="1" applyFill="1" applyBorder="1" applyAlignment="1">
      <alignment horizontal="left" vertical="center"/>
    </xf>
    <xf numFmtId="49" fontId="13" fillId="0" borderId="7" xfId="1" applyNumberFormat="1" applyFont="1" applyFill="1" applyBorder="1" applyAlignment="1">
      <alignment horizontal="center" vertical="center" wrapText="1"/>
    </xf>
    <xf numFmtId="49" fontId="13" fillId="0" borderId="88" xfId="1" applyNumberFormat="1" applyFont="1" applyFill="1" applyBorder="1" applyAlignment="1">
      <alignment horizontal="center" vertical="center" wrapText="1"/>
    </xf>
    <xf numFmtId="49" fontId="13" fillId="0" borderId="48" xfId="1" applyNumberFormat="1" applyFont="1" applyFill="1" applyBorder="1" applyAlignment="1">
      <alignment horizontal="center" vertical="center" wrapText="1"/>
    </xf>
    <xf numFmtId="49" fontId="15" fillId="7" borderId="109" xfId="1" applyNumberFormat="1" applyFont="1" applyFill="1" applyBorder="1" applyAlignment="1">
      <alignment horizontal="center" vertical="center" wrapText="1"/>
    </xf>
    <xf numFmtId="49" fontId="15" fillId="7" borderId="110" xfId="1" applyNumberFormat="1" applyFont="1" applyFill="1" applyBorder="1" applyAlignment="1">
      <alignment horizontal="center" vertical="center" wrapText="1"/>
    </xf>
    <xf numFmtId="49" fontId="15" fillId="7" borderId="111" xfId="1" applyNumberFormat="1" applyFont="1" applyFill="1" applyBorder="1" applyAlignment="1">
      <alignment horizontal="center" vertical="center" wrapText="1"/>
    </xf>
    <xf numFmtId="49" fontId="15" fillId="3" borderId="90" xfId="1" applyNumberFormat="1" applyFont="1" applyFill="1" applyBorder="1" applyAlignment="1">
      <alignment horizontal="center" vertical="center" wrapText="1"/>
    </xf>
    <xf numFmtId="49" fontId="15" fillId="3" borderId="49" xfId="1" applyNumberFormat="1" applyFont="1" applyFill="1" applyBorder="1" applyAlignment="1">
      <alignment horizontal="center" vertical="center" wrapText="1"/>
    </xf>
    <xf numFmtId="49" fontId="15" fillId="3" borderId="47" xfId="1" applyNumberFormat="1" applyFont="1" applyFill="1" applyBorder="1" applyAlignment="1">
      <alignment horizontal="center" vertical="center" wrapText="1"/>
    </xf>
    <xf numFmtId="10" fontId="13" fillId="0" borderId="91" xfId="1" applyNumberFormat="1" applyFont="1" applyFill="1" applyBorder="1" applyAlignment="1">
      <alignment horizontal="center" vertical="center" wrapText="1"/>
    </xf>
    <xf numFmtId="10" fontId="13" fillId="0" borderId="93" xfId="1" applyNumberFormat="1" applyFont="1" applyFill="1" applyBorder="1" applyAlignment="1">
      <alignment horizontal="center" vertical="center" wrapText="1"/>
    </xf>
    <xf numFmtId="10" fontId="13" fillId="0" borderId="95" xfId="1" applyNumberFormat="1" applyFont="1" applyFill="1" applyBorder="1" applyAlignment="1">
      <alignment horizontal="center" vertical="center" wrapText="1"/>
    </xf>
    <xf numFmtId="0" fontId="6" fillId="0" borderId="0" xfId="4" applyFont="1" applyFill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/>
    </xf>
    <xf numFmtId="0" fontId="9" fillId="2" borderId="44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4" applyFont="1" applyFill="1" applyAlignment="1">
      <alignment horizontal="left" vertical="center" wrapText="1"/>
    </xf>
    <xf numFmtId="0" fontId="19" fillId="2" borderId="46" xfId="1" applyFont="1" applyFill="1" applyBorder="1" applyAlignment="1">
      <alignment horizontal="left" vertical="center"/>
    </xf>
    <xf numFmtId="0" fontId="19" fillId="2" borderId="40" xfId="1" applyFont="1" applyFill="1" applyBorder="1" applyAlignment="1">
      <alignment horizontal="left" vertical="center"/>
    </xf>
    <xf numFmtId="0" fontId="12" fillId="0" borderId="24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8" xfId="1" applyFont="1" applyFill="1" applyBorder="1" applyAlignment="1">
      <alignment horizontal="left" vertical="center"/>
    </xf>
    <xf numFmtId="0" fontId="7" fillId="0" borderId="69" xfId="1" applyFont="1" applyFill="1" applyBorder="1" applyAlignment="1">
      <alignment horizontal="left" vertical="center"/>
    </xf>
    <xf numFmtId="0" fontId="7" fillId="0" borderId="68" xfId="1" applyFont="1" applyFill="1" applyBorder="1" applyAlignment="1">
      <alignment horizontal="left" vertical="center"/>
    </xf>
    <xf numFmtId="0" fontId="7" fillId="0" borderId="70" xfId="1" applyFont="1" applyFill="1" applyBorder="1" applyAlignment="1">
      <alignment horizontal="left" vertical="center"/>
    </xf>
    <xf numFmtId="0" fontId="6" fillId="0" borderId="23" xfId="1" applyFont="1" applyFill="1" applyBorder="1" applyAlignment="1">
      <alignment horizontal="left" vertical="center"/>
    </xf>
    <xf numFmtId="0" fontId="7" fillId="0" borderId="16" xfId="7" applyFont="1" applyFill="1" applyBorder="1" applyAlignment="1">
      <alignment horizontal="left" vertical="center" indent="1"/>
    </xf>
    <xf numFmtId="0" fontId="7" fillId="0" borderId="17" xfId="7" applyFont="1" applyFill="1" applyBorder="1" applyAlignment="1">
      <alignment horizontal="left" vertical="center" indent="1"/>
    </xf>
    <xf numFmtId="0" fontId="7" fillId="0" borderId="55" xfId="7" applyFont="1" applyFill="1" applyBorder="1" applyAlignment="1">
      <alignment horizontal="left" vertical="center" indent="1"/>
    </xf>
    <xf numFmtId="0" fontId="21" fillId="5" borderId="8" xfId="0" applyFont="1" applyFill="1" applyBorder="1" applyAlignment="1">
      <alignment horizontal="left" indent="1"/>
    </xf>
    <xf numFmtId="0" fontId="21" fillId="5" borderId="9" xfId="0" applyFont="1" applyFill="1" applyBorder="1" applyAlignment="1">
      <alignment horizontal="left" indent="1"/>
    </xf>
    <xf numFmtId="0" fontId="21" fillId="5" borderId="54" xfId="0" applyFont="1" applyFill="1" applyBorder="1" applyAlignment="1">
      <alignment horizontal="left" indent="1"/>
    </xf>
    <xf numFmtId="0" fontId="21" fillId="13" borderId="16" xfId="0" applyFont="1" applyFill="1" applyBorder="1" applyAlignment="1">
      <alignment horizontal="left" indent="1"/>
    </xf>
    <xf numFmtId="0" fontId="21" fillId="13" borderId="17" xfId="0" applyFont="1" applyFill="1" applyBorder="1" applyAlignment="1">
      <alignment horizontal="left" indent="1"/>
    </xf>
    <xf numFmtId="0" fontId="21" fillId="13" borderId="55" xfId="0" applyFont="1" applyFill="1" applyBorder="1" applyAlignment="1">
      <alignment horizontal="left" indent="1"/>
    </xf>
    <xf numFmtId="0" fontId="21" fillId="10" borderId="16" xfId="0" applyFont="1" applyFill="1" applyBorder="1" applyAlignment="1">
      <alignment horizontal="left" indent="1"/>
    </xf>
    <xf numFmtId="0" fontId="21" fillId="10" borderId="17" xfId="0" applyFont="1" applyFill="1" applyBorder="1" applyAlignment="1">
      <alignment horizontal="left" indent="1"/>
    </xf>
    <xf numFmtId="0" fontId="21" fillId="10" borderId="55" xfId="0" applyFont="1" applyFill="1" applyBorder="1" applyAlignment="1">
      <alignment horizontal="left" indent="1"/>
    </xf>
    <xf numFmtId="0" fontId="21" fillId="14" borderId="75" xfId="0" applyFont="1" applyFill="1" applyBorder="1" applyAlignment="1">
      <alignment horizontal="left" indent="1"/>
    </xf>
    <xf numFmtId="0" fontId="21" fillId="14" borderId="52" xfId="0" applyFont="1" applyFill="1" applyBorder="1" applyAlignment="1">
      <alignment horizontal="left" indent="1"/>
    </xf>
    <xf numFmtId="0" fontId="21" fillId="14" borderId="28" xfId="0" applyFont="1" applyFill="1" applyBorder="1" applyAlignment="1">
      <alignment horizontal="left" indent="1"/>
    </xf>
    <xf numFmtId="0" fontId="15" fillId="0" borderId="65" xfId="18" applyFont="1" applyBorder="1" applyAlignment="1">
      <alignment horizontal="center" vertical="center"/>
    </xf>
    <xf numFmtId="0" fontId="15" fillId="0" borderId="44" xfId="18" applyFont="1" applyBorder="1" applyAlignment="1">
      <alignment horizontal="center" vertical="center"/>
    </xf>
    <xf numFmtId="0" fontId="15" fillId="0" borderId="82" xfId="18" applyFont="1" applyBorder="1" applyAlignment="1">
      <alignment horizontal="center" vertical="center"/>
    </xf>
    <xf numFmtId="0" fontId="7" fillId="0" borderId="75" xfId="7" applyFont="1" applyFill="1" applyBorder="1" applyAlignment="1">
      <alignment horizontal="left" vertical="center" indent="1"/>
    </xf>
    <xf numFmtId="0" fontId="7" fillId="0" borderId="52" xfId="7" applyFont="1" applyFill="1" applyBorder="1" applyAlignment="1">
      <alignment horizontal="left" vertical="center" indent="1"/>
    </xf>
    <xf numFmtId="0" fontId="7" fillId="0" borderId="28" xfId="7" applyFont="1" applyFill="1" applyBorder="1" applyAlignment="1">
      <alignment horizontal="left" vertical="center" indent="1"/>
    </xf>
    <xf numFmtId="0" fontId="15" fillId="0" borderId="31" xfId="18" applyFont="1" applyBorder="1" applyAlignment="1">
      <alignment horizontal="center" vertical="center"/>
    </xf>
    <xf numFmtId="0" fontId="15" fillId="0" borderId="36" xfId="18" applyFont="1" applyBorder="1" applyAlignment="1">
      <alignment horizontal="center" vertical="center"/>
    </xf>
    <xf numFmtId="0" fontId="7" fillId="0" borderId="8" xfId="7" applyFont="1" applyFill="1" applyBorder="1" applyAlignment="1">
      <alignment horizontal="left" vertical="center" indent="1"/>
    </xf>
    <xf numFmtId="0" fontId="7" fillId="0" borderId="9" xfId="7" applyFont="1" applyFill="1" applyBorder="1" applyAlignment="1">
      <alignment horizontal="left" vertical="center" indent="1"/>
    </xf>
    <xf numFmtId="0" fontId="7" fillId="0" borderId="54" xfId="7" applyFont="1" applyFill="1" applyBorder="1" applyAlignment="1">
      <alignment horizontal="left" vertical="center" indent="1"/>
    </xf>
    <xf numFmtId="0" fontId="15" fillId="0" borderId="32" xfId="18" applyFont="1" applyBorder="1" applyAlignment="1">
      <alignment horizontal="center" vertical="center"/>
    </xf>
    <xf numFmtId="0" fontId="15" fillId="0" borderId="127" xfId="18" applyFont="1" applyBorder="1" applyAlignment="1">
      <alignment horizontal="center" vertical="center"/>
    </xf>
    <xf numFmtId="0" fontId="15" fillId="0" borderId="39" xfId="18" applyFont="1" applyBorder="1" applyAlignment="1">
      <alignment horizontal="center" vertical="center"/>
    </xf>
    <xf numFmtId="0" fontId="15" fillId="0" borderId="40" xfId="18" applyFont="1" applyBorder="1" applyAlignment="1">
      <alignment horizontal="center" vertical="center"/>
    </xf>
    <xf numFmtId="0" fontId="15" fillId="0" borderId="96" xfId="18" applyFont="1" applyBorder="1" applyAlignment="1">
      <alignment horizontal="center" vertical="center"/>
    </xf>
    <xf numFmtId="0" fontId="15" fillId="0" borderId="5" xfId="18" applyFont="1" applyBorder="1" applyAlignment="1">
      <alignment horizontal="center" vertical="center"/>
    </xf>
    <xf numFmtId="0" fontId="15" fillId="0" borderId="53" xfId="18" applyFont="1" applyBorder="1" applyAlignment="1">
      <alignment horizontal="center" vertical="center"/>
    </xf>
    <xf numFmtId="0" fontId="15" fillId="0" borderId="30" xfId="18" applyFont="1" applyBorder="1" applyAlignment="1">
      <alignment horizontal="center" vertical="center"/>
    </xf>
    <xf numFmtId="0" fontId="15" fillId="0" borderId="46" xfId="18" applyFont="1" applyBorder="1" applyAlignment="1">
      <alignment horizontal="center" vertical="center"/>
    </xf>
    <xf numFmtId="0" fontId="35" fillId="0" borderId="5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54" fillId="10" borderId="71" xfId="7" applyFont="1" applyFill="1" applyBorder="1" applyAlignment="1">
      <alignment horizontal="center" vertical="center" wrapText="1"/>
    </xf>
    <xf numFmtId="0" fontId="54" fillId="10" borderId="72" xfId="7" applyFont="1" applyFill="1" applyBorder="1" applyAlignment="1">
      <alignment horizontal="center" vertical="center" wrapText="1"/>
    </xf>
    <xf numFmtId="0" fontId="54" fillId="0" borderId="39" xfId="7" applyNumberFormat="1" applyFont="1" applyFill="1" applyBorder="1" applyAlignment="1" applyProtection="1">
      <alignment horizontal="left" vertical="center" wrapText="1"/>
    </xf>
    <xf numFmtId="0" fontId="54" fillId="0" borderId="96" xfId="7" applyNumberFormat="1" applyFont="1" applyFill="1" applyBorder="1" applyAlignment="1" applyProtection="1">
      <alignment horizontal="left" vertical="center" wrapText="1"/>
    </xf>
    <xf numFmtId="49" fontId="54" fillId="0" borderId="8" xfId="7" applyNumberFormat="1" applyFont="1" applyFill="1" applyBorder="1" applyAlignment="1" applyProtection="1">
      <alignment horizontal="center" vertical="center"/>
    </xf>
    <xf numFmtId="49" fontId="54" fillId="0" borderId="54" xfId="7" applyNumberFormat="1" applyFont="1" applyFill="1" applyBorder="1" applyAlignment="1" applyProtection="1">
      <alignment horizontal="center" vertical="center"/>
    </xf>
    <xf numFmtId="0" fontId="54" fillId="9" borderId="14" xfId="7" applyNumberFormat="1" applyFont="1" applyFill="1" applyBorder="1" applyAlignment="1" applyProtection="1">
      <alignment horizontal="center" vertical="center" wrapText="1"/>
    </xf>
    <xf numFmtId="0" fontId="54" fillId="9" borderId="12" xfId="7" applyNumberFormat="1" applyFont="1" applyFill="1" applyBorder="1" applyAlignment="1" applyProtection="1">
      <alignment horizontal="center" vertical="center" wrapText="1"/>
    </xf>
    <xf numFmtId="0" fontId="54" fillId="9" borderId="22" xfId="7" applyNumberFormat="1" applyFont="1" applyFill="1" applyBorder="1" applyAlignment="1" applyProtection="1">
      <alignment horizontal="center" vertical="center" wrapText="1"/>
    </xf>
    <xf numFmtId="0" fontId="54" fillId="9" borderId="24" xfId="7" applyNumberFormat="1" applyFont="1" applyFill="1" applyBorder="1" applyAlignment="1" applyProtection="1">
      <alignment horizontal="center" vertical="center" wrapText="1"/>
    </xf>
    <xf numFmtId="164" fontId="54" fillId="9" borderId="8" xfId="8" applyNumberFormat="1" applyFont="1" applyFill="1" applyBorder="1" applyAlignment="1" applyProtection="1">
      <alignment horizontal="center" vertical="center" wrapText="1"/>
    </xf>
    <xf numFmtId="164" fontId="54" fillId="9" borderId="9" xfId="8" applyNumberFormat="1" applyFont="1" applyFill="1" applyBorder="1" applyAlignment="1" applyProtection="1">
      <alignment horizontal="center" vertical="center" wrapText="1"/>
    </xf>
    <xf numFmtId="164" fontId="54" fillId="9" borderId="54" xfId="8" applyNumberFormat="1" applyFont="1" applyFill="1" applyBorder="1" applyAlignment="1" applyProtection="1">
      <alignment horizontal="center" vertical="center" wrapText="1"/>
    </xf>
    <xf numFmtId="0" fontId="54" fillId="9" borderId="31" xfId="7" applyFont="1" applyFill="1" applyBorder="1" applyAlignment="1">
      <alignment horizontal="center" vertical="center" wrapText="1"/>
    </xf>
    <xf numFmtId="0" fontId="54" fillId="9" borderId="127" xfId="7" applyFont="1" applyFill="1" applyBorder="1" applyAlignment="1">
      <alignment horizontal="center" vertical="center" wrapText="1"/>
    </xf>
    <xf numFmtId="0" fontId="54" fillId="9" borderId="39" xfId="7" applyFont="1" applyFill="1" applyBorder="1" applyAlignment="1">
      <alignment horizontal="center" vertical="center" wrapText="1"/>
    </xf>
    <xf numFmtId="0" fontId="54" fillId="9" borderId="96" xfId="7" applyFont="1" applyFill="1" applyBorder="1" applyAlignment="1">
      <alignment horizontal="center" vertical="center" wrapText="1"/>
    </xf>
    <xf numFmtId="0" fontId="54" fillId="9" borderId="32" xfId="7" applyFont="1" applyFill="1" applyBorder="1" applyAlignment="1">
      <alignment horizontal="center" vertical="center" wrapText="1"/>
    </xf>
    <xf numFmtId="0" fontId="54" fillId="9" borderId="40" xfId="7" applyFont="1" applyFill="1" applyBorder="1" applyAlignment="1">
      <alignment horizontal="center" vertical="center" wrapText="1"/>
    </xf>
    <xf numFmtId="0" fontId="54" fillId="9" borderId="33" xfId="7" applyFont="1" applyFill="1" applyBorder="1" applyAlignment="1">
      <alignment horizontal="center" vertical="center" wrapText="1"/>
    </xf>
    <xf numFmtId="0" fontId="54" fillId="9" borderId="30" xfId="7" applyFont="1" applyFill="1" applyBorder="1" applyAlignment="1">
      <alignment horizontal="center" vertical="center" wrapText="1"/>
    </xf>
    <xf numFmtId="0" fontId="54" fillId="9" borderId="41" xfId="7" applyFont="1" applyFill="1" applyBorder="1" applyAlignment="1">
      <alignment horizontal="center" vertical="center" wrapText="1"/>
    </xf>
    <xf numFmtId="0" fontId="54" fillId="9" borderId="45" xfId="7" applyFont="1" applyFill="1" applyBorder="1" applyAlignment="1">
      <alignment horizontal="center" vertical="center" wrapText="1"/>
    </xf>
    <xf numFmtId="0" fontId="54" fillId="9" borderId="5" xfId="7" applyFont="1" applyFill="1" applyBorder="1" applyAlignment="1">
      <alignment horizontal="center" vertical="center" wrapText="1"/>
    </xf>
    <xf numFmtId="0" fontId="54" fillId="9" borderId="7" xfId="7" applyFont="1" applyFill="1" applyBorder="1" applyAlignment="1">
      <alignment horizontal="center" vertical="center" wrapText="1"/>
    </xf>
    <xf numFmtId="0" fontId="54" fillId="9" borderId="53" xfId="7" applyFont="1" applyFill="1" applyBorder="1" applyAlignment="1">
      <alignment horizontal="center" vertical="center" wrapText="1"/>
    </xf>
    <xf numFmtId="0" fontId="54" fillId="9" borderId="48" xfId="7" applyFont="1" applyFill="1" applyBorder="1" applyAlignment="1">
      <alignment horizontal="center" vertical="center" wrapText="1"/>
    </xf>
    <xf numFmtId="164" fontId="54" fillId="9" borderId="10" xfId="8" applyNumberFormat="1" applyFont="1" applyFill="1" applyBorder="1" applyAlignment="1" applyProtection="1">
      <alignment horizontal="center" vertical="center" wrapText="1"/>
    </xf>
    <xf numFmtId="0" fontId="8" fillId="0" borderId="0" xfId="7" applyFont="1" applyFill="1" applyBorder="1" applyAlignment="1">
      <alignment horizontal="left" vertical="center" wrapText="1"/>
    </xf>
    <xf numFmtId="0" fontId="54" fillId="9" borderId="46" xfId="7" applyFont="1" applyFill="1" applyBorder="1" applyAlignment="1">
      <alignment horizontal="center" vertical="center" wrapText="1"/>
    </xf>
    <xf numFmtId="0" fontId="15" fillId="0" borderId="10" xfId="18" applyFont="1" applyBorder="1" applyAlignment="1">
      <alignment horizontal="center"/>
    </xf>
    <xf numFmtId="0" fontId="15" fillId="0" borderId="12" xfId="18" applyFont="1" applyBorder="1" applyAlignment="1">
      <alignment horizontal="center"/>
    </xf>
    <xf numFmtId="0" fontId="15" fillId="0" borderId="79" xfId="18" applyFont="1" applyBorder="1" applyAlignment="1">
      <alignment horizontal="center" vertical="center"/>
    </xf>
    <xf numFmtId="0" fontId="15" fillId="0" borderId="80" xfId="18" applyFont="1" applyBorder="1" applyAlignment="1">
      <alignment horizontal="center" vertical="center"/>
    </xf>
    <xf numFmtId="0" fontId="15" fillId="0" borderId="7" xfId="18" applyFont="1" applyBorder="1" applyAlignment="1">
      <alignment horizontal="center" vertical="center"/>
    </xf>
    <xf numFmtId="0" fontId="15" fillId="0" borderId="48" xfId="18" applyFont="1" applyBorder="1" applyAlignment="1">
      <alignment horizontal="center" vertical="center"/>
    </xf>
    <xf numFmtId="0" fontId="15" fillId="0" borderId="8" xfId="18" applyFont="1" applyBorder="1" applyAlignment="1">
      <alignment horizontal="center"/>
    </xf>
    <xf numFmtId="0" fontId="15" fillId="0" borderId="9" xfId="18" applyFont="1" applyBorder="1" applyAlignment="1">
      <alignment horizontal="center"/>
    </xf>
    <xf numFmtId="0" fontId="15" fillId="0" borderId="54" xfId="18" applyFont="1" applyBorder="1" applyAlignment="1">
      <alignment horizontal="center"/>
    </xf>
    <xf numFmtId="0" fontId="64" fillId="0" borderId="0" xfId="17" applyFont="1" applyAlignment="1">
      <alignment horizontal="left" vertical="center"/>
    </xf>
    <xf numFmtId="0" fontId="51" fillId="0" borderId="0" xfId="17" applyFont="1" applyAlignment="1">
      <alignment horizontal="left" vertical="center" wrapText="1"/>
    </xf>
    <xf numFmtId="0" fontId="66" fillId="0" borderId="0" xfId="17" applyFont="1" applyAlignment="1">
      <alignment horizontal="left" vertical="center" wrapText="1"/>
    </xf>
    <xf numFmtId="0" fontId="40" fillId="0" borderId="0" xfId="17" applyFont="1" applyAlignment="1">
      <alignment horizontal="left" vertical="center" wrapText="1"/>
    </xf>
    <xf numFmtId="0" fontId="15" fillId="0" borderId="14" xfId="17" applyFont="1" applyBorder="1" applyAlignment="1">
      <alignment horizontal="center" vertical="center" wrapText="1"/>
    </xf>
    <xf numFmtId="0" fontId="15" fillId="0" borderId="25" xfId="17" applyFont="1" applyBorder="1" applyAlignment="1">
      <alignment horizontal="center" vertical="center" wrapText="1"/>
    </xf>
    <xf numFmtId="0" fontId="15" fillId="0" borderId="15" xfId="17" applyFont="1" applyBorder="1" applyAlignment="1">
      <alignment horizontal="center" vertical="center" wrapText="1"/>
    </xf>
    <xf numFmtId="0" fontId="15" fillId="0" borderId="29" xfId="17" applyFont="1" applyBorder="1" applyAlignment="1">
      <alignment horizontal="center" vertical="center" wrapText="1"/>
    </xf>
    <xf numFmtId="0" fontId="15" fillId="0" borderId="10" xfId="17" applyFont="1" applyFill="1" applyBorder="1" applyAlignment="1">
      <alignment horizontal="center" vertical="center" wrapText="1"/>
    </xf>
    <xf numFmtId="0" fontId="15" fillId="0" borderId="12" xfId="17" applyFont="1" applyFill="1" applyBorder="1" applyAlignment="1">
      <alignment horizontal="center" vertical="center" wrapText="1"/>
    </xf>
    <xf numFmtId="0" fontId="15" fillId="0" borderId="71" xfId="17" applyFont="1" applyBorder="1" applyAlignment="1">
      <alignment horizontal="center" vertical="center" wrapText="1"/>
    </xf>
    <xf numFmtId="0" fontId="15" fillId="0" borderId="72" xfId="17" applyFont="1" applyBorder="1" applyAlignment="1">
      <alignment horizontal="center" vertical="center" wrapText="1"/>
    </xf>
    <xf numFmtId="0" fontId="15" fillId="0" borderId="14" xfId="18" applyFont="1" applyBorder="1" applyAlignment="1">
      <alignment horizontal="center" vertical="center" wrapText="1"/>
    </xf>
    <xf numFmtId="0" fontId="15" fillId="0" borderId="25" xfId="18" applyFont="1" applyBorder="1" applyAlignment="1">
      <alignment horizontal="center" vertical="center" wrapText="1"/>
    </xf>
    <xf numFmtId="0" fontId="15" fillId="0" borderId="15" xfId="18" applyFont="1" applyBorder="1" applyAlignment="1">
      <alignment horizontal="center" vertical="center" wrapText="1"/>
    </xf>
    <xf numFmtId="0" fontId="15" fillId="0" borderId="29" xfId="18" applyFont="1" applyBorder="1" applyAlignment="1">
      <alignment horizontal="center" vertical="center" wrapText="1"/>
    </xf>
    <xf numFmtId="0" fontId="15" fillId="0" borderId="10" xfId="18" applyFont="1" applyFill="1" applyBorder="1" applyAlignment="1">
      <alignment horizontal="center" vertical="center" wrapText="1"/>
    </xf>
    <xf numFmtId="0" fontId="15" fillId="0" borderId="12" xfId="18" applyFont="1" applyFill="1" applyBorder="1" applyAlignment="1">
      <alignment horizontal="center" vertical="center" wrapText="1"/>
    </xf>
    <xf numFmtId="0" fontId="15" fillId="0" borderId="7" xfId="18" applyFont="1" applyBorder="1" applyAlignment="1">
      <alignment horizontal="center" vertical="center" wrapText="1"/>
    </xf>
    <xf numFmtId="0" fontId="15" fillId="0" borderId="48" xfId="18" applyFont="1" applyBorder="1" applyAlignment="1">
      <alignment horizontal="center" vertical="center" wrapText="1"/>
    </xf>
    <xf numFmtId="0" fontId="6" fillId="0" borderId="31" xfId="16" applyFont="1" applyBorder="1" applyAlignment="1">
      <alignment horizontal="center" vertical="center"/>
    </xf>
    <xf numFmtId="0" fontId="6" fillId="0" borderId="39" xfId="16" applyFont="1" applyBorder="1" applyAlignment="1">
      <alignment horizontal="center" vertical="center"/>
    </xf>
    <xf numFmtId="0" fontId="35" fillId="0" borderId="7" xfId="16" applyFont="1" applyBorder="1" applyAlignment="1">
      <alignment horizontal="center" vertical="center"/>
    </xf>
    <xf numFmtId="0" fontId="35" fillId="0" borderId="48" xfId="16" applyFont="1" applyBorder="1" applyAlignment="1">
      <alignment horizontal="center" vertical="center"/>
    </xf>
    <xf numFmtId="0" fontId="35" fillId="0" borderId="7" xfId="16" applyFont="1" applyFill="1" applyBorder="1" applyAlignment="1">
      <alignment horizontal="center" vertical="center"/>
    </xf>
    <xf numFmtId="0" fontId="35" fillId="0" borderId="48" xfId="16" applyFont="1" applyFill="1" applyBorder="1" applyAlignment="1">
      <alignment horizontal="center" vertical="center"/>
    </xf>
    <xf numFmtId="0" fontId="33" fillId="0" borderId="8" xfId="5" applyFont="1" applyBorder="1" applyAlignment="1">
      <alignment horizontal="left" vertical="center" indent="1"/>
    </xf>
    <xf numFmtId="0" fontId="33" fillId="0" borderId="9" xfId="5" applyFont="1" applyBorder="1" applyAlignment="1">
      <alignment horizontal="left" vertical="center" indent="1"/>
    </xf>
    <xf numFmtId="0" fontId="33" fillId="0" borderId="10" xfId="5" applyFont="1" applyBorder="1" applyAlignment="1">
      <alignment horizontal="left" vertical="center" indent="1"/>
    </xf>
    <xf numFmtId="0" fontId="33" fillId="0" borderId="16" xfId="5" applyFont="1" applyBorder="1" applyAlignment="1">
      <alignment horizontal="left" vertical="center" indent="1"/>
    </xf>
    <xf numFmtId="0" fontId="33" fillId="0" borderId="17" xfId="5" applyFont="1" applyBorder="1" applyAlignment="1">
      <alignment horizontal="left" vertical="center" indent="1"/>
    </xf>
    <xf numFmtId="0" fontId="33" fillId="0" borderId="18" xfId="5" applyFont="1" applyBorder="1" applyAlignment="1">
      <alignment horizontal="left" vertical="center" indent="1"/>
    </xf>
    <xf numFmtId="0" fontId="33" fillId="0" borderId="75" xfId="5" applyFont="1" applyBorder="1" applyAlignment="1">
      <alignment horizontal="left" vertical="center" indent="1"/>
    </xf>
    <xf numFmtId="0" fontId="33" fillId="0" borderId="52" xfId="5" applyFont="1" applyBorder="1" applyAlignment="1">
      <alignment horizontal="left" vertical="center" indent="1"/>
    </xf>
    <xf numFmtId="0" fontId="33" fillId="0" borderId="42" xfId="5" applyFont="1" applyBorder="1" applyAlignment="1">
      <alignment horizontal="left" vertical="center" indent="1"/>
    </xf>
    <xf numFmtId="0" fontId="35" fillId="0" borderId="39" xfId="5" applyFont="1" applyBorder="1" applyAlignment="1">
      <alignment horizontal="center" vertical="center"/>
    </xf>
    <xf numFmtId="0" fontId="35" fillId="0" borderId="41" xfId="5" applyFont="1" applyBorder="1" applyAlignment="1">
      <alignment horizontal="center" vertical="center"/>
    </xf>
    <xf numFmtId="0" fontId="33" fillId="0" borderId="14" xfId="5" applyFont="1" applyBorder="1" applyAlignment="1">
      <alignment horizontal="center" vertical="center" wrapText="1"/>
    </xf>
    <xf numFmtId="0" fontId="33" fillId="0" borderId="57" xfId="5" applyFont="1" applyBorder="1" applyAlignment="1">
      <alignment horizontal="center" vertical="center" wrapText="1"/>
    </xf>
    <xf numFmtId="0" fontId="33" fillId="0" borderId="11" xfId="5" applyFont="1" applyBorder="1" applyAlignment="1">
      <alignment horizontal="center" vertical="center" wrapText="1"/>
    </xf>
    <xf numFmtId="0" fontId="33" fillId="0" borderId="58" xfId="5" applyFont="1" applyBorder="1" applyAlignment="1">
      <alignment horizontal="center" vertical="center" wrapText="1"/>
    </xf>
    <xf numFmtId="0" fontId="33" fillId="0" borderId="15" xfId="5" applyFont="1" applyBorder="1" applyAlignment="1">
      <alignment horizontal="center" vertical="center" wrapText="1"/>
    </xf>
    <xf numFmtId="0" fontId="33" fillId="0" borderId="77" xfId="5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</cellXfs>
  <cellStyles count="28">
    <cellStyle name="Hypertextový odkaz" xfId="25" builtinId="8"/>
    <cellStyle name="Nadpis - excel" xfId="27"/>
    <cellStyle name="Nadpis 1 2" xfId="26"/>
    <cellStyle name="Normální" xfId="0" builtinId="0"/>
    <cellStyle name="Normální 10" xfId="4"/>
    <cellStyle name="Normální 11" xfId="14"/>
    <cellStyle name="Normální 11 2" xfId="18"/>
    <cellStyle name="normální 14" xfId="3"/>
    <cellStyle name="normální 14 2" xfId="5"/>
    <cellStyle name="normální 14 2 2" xfId="17"/>
    <cellStyle name="normální 14 3" xfId="22"/>
    <cellStyle name="normální 15" xfId="11"/>
    <cellStyle name="normální 16" xfId="12"/>
    <cellStyle name="Normální 2" xfId="19"/>
    <cellStyle name="normální 2 2" xfId="6"/>
    <cellStyle name="normální 2 2 2" xfId="21"/>
    <cellStyle name="normální 2 2 3" xfId="23"/>
    <cellStyle name="normální 2 5" xfId="7"/>
    <cellStyle name="Normální 5" xfId="13"/>
    <cellStyle name="Normální 6 4 3" xfId="10"/>
    <cellStyle name="normální_Příloha 2" xfId="15"/>
    <cellStyle name="normální_Tab.1-bilance PV" xfId="2"/>
    <cellStyle name="normální_Tabulka 1-Bilanční-návrh 13.1.04" xfId="1"/>
    <cellStyle name="normální_Ubyt a strav 2002" xfId="16"/>
    <cellStyle name="procent 2" xfId="8"/>
    <cellStyle name="Procenta" xfId="24" builtinId="5"/>
    <cellStyle name="Procenta 3" xfId="9"/>
    <cellStyle name="Procenta 3 2" xfId="20"/>
  </cellStyles>
  <dxfs count="0"/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228600</xdr:colOff>
      <xdr:row>0</xdr:row>
      <xdr:rowOff>38100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3790950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228600</xdr:colOff>
      <xdr:row>0</xdr:row>
      <xdr:rowOff>38100</xdr:rowOff>
    </xdr:from>
    <xdr:ext cx="184731" cy="264560"/>
    <xdr:sp macro="" textlink="">
      <xdr:nvSpPr>
        <xdr:cNvPr id="3" name="TextovéPole 2"/>
        <xdr:cNvSpPr txBox="1"/>
      </xdr:nvSpPr>
      <xdr:spPr>
        <a:xfrm>
          <a:off x="3790950" y="3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9525" cy="316624"/>
    <xdr:pic>
      <xdr:nvPicPr>
        <xdr:cNvPr id="2" name="Picture 1" descr="https://sims.ics.muni.cz/sims_is/img/bod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9525" cy="316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9525" cy="316624"/>
    <xdr:pic>
      <xdr:nvPicPr>
        <xdr:cNvPr id="3" name="Picture 2" descr="https://sims.ics.muni.cz/sims_is/img/bod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9525" cy="316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9525" cy="152400"/>
    <xdr:pic>
      <xdr:nvPicPr>
        <xdr:cNvPr id="4" name="Picture 3" descr="https://sims.ics.muni.cz/sims_is/img/bod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266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9525" cy="152400"/>
    <xdr:pic>
      <xdr:nvPicPr>
        <xdr:cNvPr id="5" name="Picture 4" descr="https://sims.ics.muni.cz/sims_is/img/bod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266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6"/>
  <sheetViews>
    <sheetView zoomScaleNormal="100" workbookViewId="0">
      <selection activeCell="A4" sqref="A4:H4"/>
    </sheetView>
  </sheetViews>
  <sheetFormatPr defaultRowHeight="12.75" x14ac:dyDescent="0.2"/>
  <cols>
    <col min="1" max="1" width="4" customWidth="1"/>
    <col min="2" max="2" width="4.140625" customWidth="1"/>
    <col min="3" max="3" width="39.140625" customWidth="1"/>
  </cols>
  <sheetData>
    <row r="1" spans="1:8" s="674" customFormat="1" x14ac:dyDescent="0.2"/>
    <row r="2" spans="1:8" s="674" customFormat="1" x14ac:dyDescent="0.2"/>
    <row r="3" spans="1:8" s="674" customFormat="1" x14ac:dyDescent="0.2"/>
    <row r="4" spans="1:8" s="674" customFormat="1" ht="20.25" x14ac:dyDescent="0.3">
      <c r="A4" s="802"/>
      <c r="B4" s="802"/>
      <c r="C4" s="802"/>
      <c r="D4" s="802"/>
      <c r="E4" s="802"/>
      <c r="F4" s="802"/>
      <c r="G4" s="802"/>
      <c r="H4" s="802"/>
    </row>
    <row r="5" spans="1:8" s="674" customFormat="1" ht="51" customHeight="1" x14ac:dyDescent="0.2"/>
    <row r="6" spans="1:8" ht="24" customHeight="1" x14ac:dyDescent="0.4">
      <c r="A6" s="676" t="s">
        <v>217</v>
      </c>
      <c r="B6" s="677"/>
      <c r="C6" s="677"/>
      <c r="D6" s="677"/>
      <c r="E6" s="677"/>
    </row>
    <row r="7" spans="1:8" ht="12.75" customHeight="1" x14ac:dyDescent="0.2"/>
    <row r="8" spans="1:8" x14ac:dyDescent="0.2">
      <c r="A8" s="179" t="s">
        <v>130</v>
      </c>
    </row>
    <row r="9" spans="1:8" x14ac:dyDescent="0.2">
      <c r="A9" s="179"/>
    </row>
    <row r="10" spans="1:8" x14ac:dyDescent="0.2">
      <c r="A10" s="176" t="s">
        <v>250</v>
      </c>
      <c r="B10" s="803" t="s">
        <v>240</v>
      </c>
      <c r="C10" s="804"/>
    </row>
    <row r="11" spans="1:8" x14ac:dyDescent="0.2">
      <c r="A11" s="176" t="s">
        <v>131</v>
      </c>
      <c r="B11" s="803" t="s">
        <v>252</v>
      </c>
      <c r="C11" s="803"/>
    </row>
    <row r="12" spans="1:8" x14ac:dyDescent="0.2">
      <c r="A12" s="176" t="s">
        <v>132</v>
      </c>
      <c r="B12" s="803" t="s">
        <v>280</v>
      </c>
      <c r="C12" s="803"/>
    </row>
    <row r="13" spans="1:8" x14ac:dyDescent="0.2">
      <c r="A13" s="176" t="s">
        <v>133</v>
      </c>
      <c r="B13" s="803" t="s">
        <v>281</v>
      </c>
      <c r="C13" s="803"/>
    </row>
    <row r="14" spans="1:8" x14ac:dyDescent="0.2">
      <c r="B14" s="777" t="s">
        <v>213</v>
      </c>
      <c r="C14" s="779" t="s">
        <v>282</v>
      </c>
    </row>
    <row r="15" spans="1:8" x14ac:dyDescent="0.2">
      <c r="B15" s="777" t="s">
        <v>214</v>
      </c>
      <c r="C15" s="779" t="s">
        <v>283</v>
      </c>
    </row>
    <row r="16" spans="1:8" x14ac:dyDescent="0.2">
      <c r="B16" s="777" t="s">
        <v>215</v>
      </c>
      <c r="C16" s="779" t="s">
        <v>284</v>
      </c>
    </row>
    <row r="17" spans="1:3" ht="12.75" customHeight="1" x14ac:dyDescent="0.2">
      <c r="B17" s="778" t="s">
        <v>216</v>
      </c>
      <c r="C17" s="780" t="s">
        <v>285</v>
      </c>
    </row>
    <row r="18" spans="1:3" ht="12.75" customHeight="1" x14ac:dyDescent="0.2">
      <c r="A18" s="180" t="s">
        <v>134</v>
      </c>
      <c r="B18" s="803" t="s">
        <v>218</v>
      </c>
      <c r="C18" s="803"/>
    </row>
    <row r="19" spans="1:3" x14ac:dyDescent="0.2">
      <c r="A19" s="176" t="s">
        <v>135</v>
      </c>
      <c r="B19" s="803" t="s">
        <v>76</v>
      </c>
      <c r="C19" s="803"/>
    </row>
    <row r="20" spans="1:3" x14ac:dyDescent="0.2">
      <c r="A20" s="176" t="s">
        <v>136</v>
      </c>
      <c r="B20" s="803" t="s">
        <v>229</v>
      </c>
      <c r="C20" s="803"/>
    </row>
    <row r="21" spans="1:3" x14ac:dyDescent="0.2">
      <c r="A21" s="176" t="s">
        <v>137</v>
      </c>
      <c r="B21" s="803" t="s">
        <v>228</v>
      </c>
      <c r="C21" s="803"/>
    </row>
    <row r="22" spans="1:3" x14ac:dyDescent="0.2">
      <c r="A22" s="176" t="s">
        <v>138</v>
      </c>
      <c r="B22" s="803" t="s">
        <v>111</v>
      </c>
      <c r="C22" s="803"/>
    </row>
    <row r="23" spans="1:3" x14ac:dyDescent="0.2">
      <c r="A23" s="176" t="s">
        <v>139</v>
      </c>
      <c r="B23" s="803" t="s">
        <v>113</v>
      </c>
      <c r="C23" s="803"/>
    </row>
    <row r="24" spans="1:3" x14ac:dyDescent="0.2">
      <c r="A24" s="176" t="s">
        <v>140</v>
      </c>
      <c r="B24" s="803" t="s">
        <v>119</v>
      </c>
      <c r="C24" s="803"/>
    </row>
    <row r="25" spans="1:3" x14ac:dyDescent="0.2">
      <c r="A25" s="176" t="s">
        <v>141</v>
      </c>
      <c r="B25" s="803" t="s">
        <v>123</v>
      </c>
      <c r="C25" s="803"/>
    </row>
    <row r="26" spans="1:3" x14ac:dyDescent="0.2">
      <c r="B26" s="158"/>
      <c r="C26" s="158"/>
    </row>
  </sheetData>
  <mergeCells count="13">
    <mergeCell ref="A4:H4"/>
    <mergeCell ref="B20:C20"/>
    <mergeCell ref="B19:C19"/>
    <mergeCell ref="B25:C25"/>
    <mergeCell ref="B24:C24"/>
    <mergeCell ref="B23:C23"/>
    <mergeCell ref="B22:C22"/>
    <mergeCell ref="B21:C21"/>
    <mergeCell ref="B10:C10"/>
    <mergeCell ref="B13:C13"/>
    <mergeCell ref="B12:C12"/>
    <mergeCell ref="B11:C11"/>
    <mergeCell ref="B18:C18"/>
  </mergeCells>
  <hyperlinks>
    <hyperlink ref="B10:C10" location="'0 Seznam'!A1" display="'0 Seznam'!A1"/>
    <hyperlink ref="B11:C11" location="'1 Bilance zdrojů'!A1" display="'1 Bilance zdrojů'!A1"/>
    <hyperlink ref="B13:C13" location="'3 - Stanovení podílů segmentů'!A1" display="'3 - Stanovení podílů segmentů'!A1"/>
    <hyperlink ref="C14" location="'3a - Výkonová část segment 1'!A1" display="'3a - Výkonová část segment 1'!A1"/>
    <hyperlink ref="C15" location="'3b - Výkonová část segment 2'!A1" display="'3b - Výkonová část segment 2'!A1"/>
    <hyperlink ref="C16" location="'3c - Výkonová část segment 3'!A1" display="'3c - Výkonová část segment 3'!A1"/>
    <hyperlink ref="C17" location="'3d - Výkonová část segment 4'!A1" display="'3d - Výkonová část segment 4'!A1"/>
    <hyperlink ref="B18:C18" location="'4 Výpočet RO I'!A1" display="'4 Výpočet RO I'!A1"/>
    <hyperlink ref="B19:C19" location="'5 Ukazatel C'!A1" display="'5 Ukazatel C'!A1"/>
    <hyperlink ref="B20:C20" location="'6 Ukazatel F - U3V'!A1" display="'6 Ukazatel F - U3V'!A1"/>
    <hyperlink ref="B21:C21" location="'7 Ukazatel F - SSP'!A1" display="'7 Ukazatel F - SSP'!A1"/>
    <hyperlink ref="B22:C22" location="'8 Ukazatel I'!A1" display="'8 Ukazatel I'!A1"/>
    <hyperlink ref="B23:C23" location="'9 Ukazatel J'!A1" display="'9 Ukazatel J'!A1"/>
    <hyperlink ref="B24:C24" location="'10 Ukazatel U'!A1" display="'10 Ukazatel U'!A1"/>
    <hyperlink ref="B25:C25" location="'11 Ukazatel D'!A1" display="'11 Ukazatel D'!A1"/>
    <hyperlink ref="B12:C12" location="'2 Stanovení podílů fixní části'!A1" display="'2 Stanovení podílů fixní části'!A1"/>
  </hyperlinks>
  <pageMargins left="0.70866141732283472" right="0.70866141732283472" top="0.78740157480314965" bottom="0.78740157480314965" header="0.31496062992125984" footer="0.31496062992125984"/>
  <pageSetup paperSize="9" scale="96" orientation="portrait" r:id="rId1"/>
  <headerFooter>
    <oddHeader>&amp;L
Č. j.: MSMT-1251/2018-1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1"/>
  <sheetViews>
    <sheetView topLeftCell="A10" zoomScaleNormal="100" workbookViewId="0">
      <selection activeCell="A40" sqref="A40"/>
    </sheetView>
  </sheetViews>
  <sheetFormatPr defaultRowHeight="14.25" x14ac:dyDescent="0.2"/>
  <cols>
    <col min="1" max="1" width="11.5703125" style="181" customWidth="1"/>
    <col min="2" max="2" width="63.7109375" style="181" customWidth="1"/>
    <col min="3" max="4" width="20.7109375" style="181" customWidth="1"/>
    <col min="5" max="5" width="15.28515625" style="181" customWidth="1"/>
    <col min="6" max="6" width="9.140625" style="181"/>
    <col min="7" max="7" width="19.42578125" style="181" customWidth="1"/>
    <col min="8" max="16384" width="9.140625" style="181"/>
  </cols>
  <sheetData>
    <row r="1" spans="1:8" ht="27.75" x14ac:dyDescent="0.2">
      <c r="A1" s="969" t="s">
        <v>76</v>
      </c>
      <c r="B1" s="969"/>
      <c r="C1" s="969"/>
      <c r="D1" s="969"/>
    </row>
    <row r="2" spans="1:8" ht="19.5" x14ac:dyDescent="0.2">
      <c r="A2" s="189"/>
      <c r="B2" s="189"/>
      <c r="C2" s="189"/>
      <c r="D2" s="189"/>
    </row>
    <row r="3" spans="1:8" ht="20.25" x14ac:dyDescent="0.2">
      <c r="A3" s="680" t="s">
        <v>259</v>
      </c>
      <c r="B3" s="189"/>
      <c r="C3" s="189"/>
      <c r="D3" s="189"/>
    </row>
    <row r="4" spans="1:8" ht="15.75" customHeight="1" x14ac:dyDescent="0.2">
      <c r="A4" s="188"/>
      <c r="B4" s="188"/>
      <c r="C4" s="188"/>
      <c r="D4" s="188"/>
    </row>
    <row r="5" spans="1:8" ht="15.75" customHeight="1" x14ac:dyDescent="0.2">
      <c r="A5" s="227"/>
      <c r="B5" s="668" t="s">
        <v>272</v>
      </c>
      <c r="C5" s="688">
        <v>13500</v>
      </c>
      <c r="D5" s="771" t="s">
        <v>270</v>
      </c>
    </row>
    <row r="6" spans="1:8" x14ac:dyDescent="0.2">
      <c r="B6" s="668" t="s">
        <v>273</v>
      </c>
      <c r="C6" s="688">
        <f>'1 Bilance zdrojů'!O5</f>
        <v>135000</v>
      </c>
      <c r="D6" s="771" t="s">
        <v>271</v>
      </c>
    </row>
    <row r="7" spans="1:8" x14ac:dyDescent="0.2">
      <c r="B7" s="669"/>
      <c r="C7" s="670"/>
      <c r="D7" s="670"/>
    </row>
    <row r="8" spans="1:8" ht="15" thickBot="1" x14ac:dyDescent="0.25">
      <c r="A8" s="182"/>
      <c r="B8" s="182"/>
      <c r="C8" s="182"/>
      <c r="D8" s="185" t="s">
        <v>144</v>
      </c>
    </row>
    <row r="9" spans="1:8" ht="55.5" customHeight="1" thickBot="1" x14ac:dyDescent="0.25">
      <c r="A9" s="356" t="s">
        <v>61</v>
      </c>
      <c r="B9" s="456" t="s">
        <v>103</v>
      </c>
      <c r="C9" s="454" t="s">
        <v>77</v>
      </c>
      <c r="D9" s="357" t="s">
        <v>230</v>
      </c>
    </row>
    <row r="10" spans="1:8" ht="15" customHeight="1" x14ac:dyDescent="0.2">
      <c r="A10" s="389">
        <v>11000</v>
      </c>
      <c r="B10" s="420" t="s">
        <v>143</v>
      </c>
      <c r="C10" s="418">
        <v>3004</v>
      </c>
      <c r="D10" s="351">
        <f>C10*$C$6</f>
        <v>405540000</v>
      </c>
      <c r="E10" s="184"/>
      <c r="F10" s="183"/>
      <c r="G10" s="184"/>
      <c r="H10" s="184"/>
    </row>
    <row r="11" spans="1:8" ht="15" customHeight="1" x14ac:dyDescent="0.2">
      <c r="A11" s="389">
        <v>12000</v>
      </c>
      <c r="B11" s="420" t="s">
        <v>78</v>
      </c>
      <c r="C11" s="418">
        <v>337</v>
      </c>
      <c r="D11" s="352">
        <f t="shared" ref="D11:D35" si="0">C11*$C$6</f>
        <v>45495000</v>
      </c>
      <c r="E11" s="184"/>
      <c r="F11" s="183"/>
    </row>
    <row r="12" spans="1:8" ht="15" customHeight="1" x14ac:dyDescent="0.2">
      <c r="A12" s="389">
        <v>13000</v>
      </c>
      <c r="B12" s="420" t="s">
        <v>79</v>
      </c>
      <c r="C12" s="418">
        <v>105</v>
      </c>
      <c r="D12" s="352">
        <f t="shared" si="0"/>
        <v>14175000</v>
      </c>
      <c r="E12" s="184"/>
      <c r="F12" s="183"/>
    </row>
    <row r="13" spans="1:8" ht="15" customHeight="1" x14ac:dyDescent="0.2">
      <c r="A13" s="389">
        <v>14000</v>
      </c>
      <c r="B13" s="420" t="s">
        <v>80</v>
      </c>
      <c r="C13" s="418">
        <v>1582</v>
      </c>
      <c r="D13" s="352">
        <f t="shared" si="0"/>
        <v>213570000</v>
      </c>
      <c r="E13" s="184"/>
      <c r="F13" s="183"/>
      <c r="G13" s="184"/>
      <c r="H13" s="184"/>
    </row>
    <row r="14" spans="1:8" ht="15" customHeight="1" x14ac:dyDescent="0.2">
      <c r="A14" s="389">
        <v>15000</v>
      </c>
      <c r="B14" s="420" t="s">
        <v>81</v>
      </c>
      <c r="C14" s="418">
        <v>741</v>
      </c>
      <c r="D14" s="352">
        <f t="shared" si="0"/>
        <v>100035000</v>
      </c>
      <c r="E14" s="184"/>
      <c r="F14" s="183"/>
      <c r="H14" s="184"/>
    </row>
    <row r="15" spans="1:8" ht="15" customHeight="1" x14ac:dyDescent="0.2">
      <c r="A15" s="389">
        <v>16000</v>
      </c>
      <c r="B15" s="420" t="s">
        <v>82</v>
      </c>
      <c r="C15" s="418">
        <v>122</v>
      </c>
      <c r="D15" s="352">
        <f t="shared" si="0"/>
        <v>16470000</v>
      </c>
      <c r="E15" s="184"/>
      <c r="F15" s="183"/>
    </row>
    <row r="16" spans="1:8" ht="15" customHeight="1" x14ac:dyDescent="0.2">
      <c r="A16" s="389">
        <v>17000</v>
      </c>
      <c r="B16" s="420" t="s">
        <v>142</v>
      </c>
      <c r="C16" s="418">
        <v>196</v>
      </c>
      <c r="D16" s="352">
        <f t="shared" si="0"/>
        <v>26460000</v>
      </c>
      <c r="E16" s="184"/>
      <c r="F16" s="183"/>
    </row>
    <row r="17" spans="1:8" ht="15" customHeight="1" x14ac:dyDescent="0.2">
      <c r="A17" s="389">
        <v>18000</v>
      </c>
      <c r="B17" s="420" t="s">
        <v>75</v>
      </c>
      <c r="C17" s="418">
        <v>97</v>
      </c>
      <c r="D17" s="352">
        <f t="shared" si="0"/>
        <v>13095000</v>
      </c>
      <c r="E17" s="184"/>
      <c r="F17" s="183"/>
    </row>
    <row r="18" spans="1:8" ht="15" customHeight="1" x14ac:dyDescent="0.2">
      <c r="A18" s="389">
        <v>19000</v>
      </c>
      <c r="B18" s="420" t="s">
        <v>83</v>
      </c>
      <c r="C18" s="418">
        <v>47</v>
      </c>
      <c r="D18" s="352">
        <f t="shared" si="0"/>
        <v>6345000</v>
      </c>
      <c r="E18" s="184"/>
      <c r="F18" s="183"/>
    </row>
    <row r="19" spans="1:8" ht="15" customHeight="1" x14ac:dyDescent="0.2">
      <c r="A19" s="389">
        <v>21000</v>
      </c>
      <c r="B19" s="420" t="s">
        <v>84</v>
      </c>
      <c r="C19" s="418">
        <v>851</v>
      </c>
      <c r="D19" s="352">
        <f t="shared" si="0"/>
        <v>114885000</v>
      </c>
      <c r="E19" s="184"/>
      <c r="F19" s="183"/>
      <c r="G19" s="184"/>
      <c r="H19" s="184"/>
    </row>
    <row r="20" spans="1:8" ht="15" customHeight="1" x14ac:dyDescent="0.2">
      <c r="A20" s="389">
        <v>22000</v>
      </c>
      <c r="B20" s="420" t="s">
        <v>85</v>
      </c>
      <c r="C20" s="418">
        <v>419</v>
      </c>
      <c r="D20" s="352">
        <f t="shared" si="0"/>
        <v>56565000</v>
      </c>
      <c r="E20" s="184"/>
      <c r="F20" s="183"/>
    </row>
    <row r="21" spans="1:8" ht="15" customHeight="1" x14ac:dyDescent="0.2">
      <c r="A21" s="389">
        <v>23000</v>
      </c>
      <c r="B21" s="420" t="s">
        <v>86</v>
      </c>
      <c r="C21" s="418">
        <v>262</v>
      </c>
      <c r="D21" s="352">
        <f t="shared" si="0"/>
        <v>35370000</v>
      </c>
      <c r="E21" s="184"/>
      <c r="F21" s="183"/>
    </row>
    <row r="22" spans="1:8" ht="15" customHeight="1" x14ac:dyDescent="0.2">
      <c r="A22" s="389">
        <v>24000</v>
      </c>
      <c r="B22" s="420" t="s">
        <v>87</v>
      </c>
      <c r="C22" s="418">
        <v>153</v>
      </c>
      <c r="D22" s="352">
        <f t="shared" si="0"/>
        <v>20655000</v>
      </c>
      <c r="E22" s="184"/>
      <c r="F22" s="183"/>
    </row>
    <row r="23" spans="1:8" ht="15" customHeight="1" x14ac:dyDescent="0.2">
      <c r="A23" s="389">
        <v>25000</v>
      </c>
      <c r="B23" s="420" t="s">
        <v>88</v>
      </c>
      <c r="C23" s="418">
        <v>173</v>
      </c>
      <c r="D23" s="352">
        <f t="shared" si="0"/>
        <v>23355000</v>
      </c>
      <c r="E23" s="184"/>
      <c r="F23" s="183"/>
    </row>
    <row r="24" spans="1:8" ht="15" customHeight="1" x14ac:dyDescent="0.2">
      <c r="A24" s="389">
        <v>26000</v>
      </c>
      <c r="B24" s="420" t="s">
        <v>89</v>
      </c>
      <c r="C24" s="418">
        <v>812</v>
      </c>
      <c r="D24" s="352">
        <f t="shared" si="0"/>
        <v>109620000</v>
      </c>
      <c r="E24" s="184"/>
      <c r="F24" s="183"/>
      <c r="H24" s="184"/>
    </row>
    <row r="25" spans="1:8" ht="15" customHeight="1" x14ac:dyDescent="0.2">
      <c r="A25" s="389">
        <v>27000</v>
      </c>
      <c r="B25" s="420" t="s">
        <v>90</v>
      </c>
      <c r="C25" s="418">
        <v>439</v>
      </c>
      <c r="D25" s="352">
        <f t="shared" si="0"/>
        <v>59265000</v>
      </c>
      <c r="E25" s="184"/>
      <c r="F25" s="183"/>
      <c r="H25" s="184"/>
    </row>
    <row r="26" spans="1:8" ht="15" customHeight="1" x14ac:dyDescent="0.2">
      <c r="A26" s="389">
        <v>28000</v>
      </c>
      <c r="B26" s="420" t="s">
        <v>91</v>
      </c>
      <c r="C26" s="418">
        <v>143</v>
      </c>
      <c r="D26" s="352">
        <f t="shared" si="0"/>
        <v>19305000</v>
      </c>
      <c r="E26" s="184"/>
      <c r="F26" s="183"/>
    </row>
    <row r="27" spans="1:8" ht="15" customHeight="1" x14ac:dyDescent="0.2">
      <c r="A27" s="389">
        <v>31000</v>
      </c>
      <c r="B27" s="420" t="s">
        <v>92</v>
      </c>
      <c r="C27" s="418">
        <v>202</v>
      </c>
      <c r="D27" s="352">
        <f t="shared" si="0"/>
        <v>27270000</v>
      </c>
      <c r="E27" s="184"/>
      <c r="F27" s="183"/>
    </row>
    <row r="28" spans="1:8" ht="15" customHeight="1" x14ac:dyDescent="0.2">
      <c r="A28" s="389">
        <v>41000</v>
      </c>
      <c r="B28" s="420" t="s">
        <v>93</v>
      </c>
      <c r="C28" s="418">
        <v>516</v>
      </c>
      <c r="D28" s="352">
        <f t="shared" si="0"/>
        <v>69660000</v>
      </c>
      <c r="E28" s="184"/>
      <c r="F28" s="183"/>
    </row>
    <row r="29" spans="1:8" ht="15" customHeight="1" x14ac:dyDescent="0.2">
      <c r="A29" s="389">
        <v>43000</v>
      </c>
      <c r="B29" s="420" t="s">
        <v>94</v>
      </c>
      <c r="C29" s="418">
        <v>296</v>
      </c>
      <c r="D29" s="352">
        <f t="shared" si="0"/>
        <v>39960000</v>
      </c>
      <c r="E29" s="184"/>
      <c r="F29" s="183"/>
    </row>
    <row r="30" spans="1:8" ht="15" customHeight="1" x14ac:dyDescent="0.2">
      <c r="A30" s="389">
        <v>51000</v>
      </c>
      <c r="B30" s="420" t="s">
        <v>95</v>
      </c>
      <c r="C30" s="418">
        <v>62</v>
      </c>
      <c r="D30" s="352">
        <f t="shared" si="0"/>
        <v>8370000</v>
      </c>
      <c r="E30" s="184"/>
      <c r="F30" s="183"/>
    </row>
    <row r="31" spans="1:8" ht="15" customHeight="1" x14ac:dyDescent="0.2">
      <c r="A31" s="389">
        <v>52000</v>
      </c>
      <c r="B31" s="420" t="s">
        <v>96</v>
      </c>
      <c r="C31" s="418">
        <v>16</v>
      </c>
      <c r="D31" s="352">
        <f t="shared" si="0"/>
        <v>2160000</v>
      </c>
      <c r="E31" s="184"/>
      <c r="F31" s="183"/>
    </row>
    <row r="32" spans="1:8" ht="15" customHeight="1" x14ac:dyDescent="0.2">
      <c r="A32" s="389">
        <v>53000</v>
      </c>
      <c r="B32" s="420" t="s">
        <v>97</v>
      </c>
      <c r="C32" s="418">
        <v>30</v>
      </c>
      <c r="D32" s="352">
        <f t="shared" si="0"/>
        <v>4050000</v>
      </c>
      <c r="E32" s="184"/>
      <c r="F32" s="183"/>
    </row>
    <row r="33" spans="1:6" ht="15" customHeight="1" x14ac:dyDescent="0.2">
      <c r="A33" s="389">
        <v>54000</v>
      </c>
      <c r="B33" s="420" t="s">
        <v>98</v>
      </c>
      <c r="C33" s="418">
        <v>32</v>
      </c>
      <c r="D33" s="352">
        <f t="shared" si="0"/>
        <v>4320000</v>
      </c>
      <c r="E33" s="184"/>
      <c r="F33" s="183"/>
    </row>
    <row r="34" spans="1:6" ht="15" customHeight="1" x14ac:dyDescent="0.2">
      <c r="A34" s="389">
        <v>55000</v>
      </c>
      <c r="B34" s="420" t="s">
        <v>99</v>
      </c>
      <c r="C34" s="418">
        <v>0</v>
      </c>
      <c r="D34" s="352">
        <f t="shared" si="0"/>
        <v>0</v>
      </c>
      <c r="E34" s="184"/>
      <c r="F34" s="183"/>
    </row>
    <row r="35" spans="1:6" ht="15" customHeight="1" thickBot="1" x14ac:dyDescent="0.25">
      <c r="A35" s="457">
        <v>56000</v>
      </c>
      <c r="B35" s="458" t="s">
        <v>100</v>
      </c>
      <c r="C35" s="455">
        <v>0</v>
      </c>
      <c r="D35" s="353">
        <f t="shared" si="0"/>
        <v>0</v>
      </c>
      <c r="E35" s="184"/>
      <c r="F35" s="183"/>
    </row>
    <row r="36" spans="1:6" ht="15" customHeight="1" thickBot="1" x14ac:dyDescent="0.25">
      <c r="A36" s="354"/>
      <c r="B36" s="426" t="s">
        <v>60</v>
      </c>
      <c r="C36" s="419">
        <f>SUM(C10:C35)</f>
        <v>10637</v>
      </c>
      <c r="D36" s="355">
        <f>SUM(D10:D35)</f>
        <v>1435995000</v>
      </c>
      <c r="E36" s="184"/>
    </row>
    <row r="37" spans="1:6" s="158" customFormat="1" ht="12.75" x14ac:dyDescent="0.2">
      <c r="A37" s="187" t="s">
        <v>219</v>
      </c>
    </row>
    <row r="38" spans="1:6" x14ac:dyDescent="0.2">
      <c r="A38" s="182"/>
      <c r="B38" s="182"/>
      <c r="C38" s="182"/>
      <c r="D38" s="182"/>
    </row>
    <row r="39" spans="1:6" x14ac:dyDescent="0.2">
      <c r="A39" s="182"/>
      <c r="B39" s="182"/>
      <c r="C39" s="182"/>
      <c r="D39" s="182"/>
    </row>
    <row r="40" spans="1:6" x14ac:dyDescent="0.2">
      <c r="A40" s="794" t="s">
        <v>240</v>
      </c>
      <c r="B40" s="970"/>
      <c r="C40" s="970"/>
      <c r="D40" s="970"/>
    </row>
    <row r="41" spans="1:6" x14ac:dyDescent="0.2">
      <c r="A41" s="797"/>
    </row>
  </sheetData>
  <mergeCells count="2">
    <mergeCell ref="A1:D1"/>
    <mergeCell ref="B40:D40"/>
  </mergeCells>
  <hyperlinks>
    <hyperlink ref="A40" location="'0 Seznam'!A1" display="'0 Seznam'!A1"/>
  </hyperlinks>
  <pageMargins left="0.70866141732283472" right="0.70866141732283472" top="0.78740157480314965" bottom="0.78740157480314965" header="0.31496062992125984" footer="0.31496062992125984"/>
  <pageSetup paperSize="9" scale="76" orientation="portrait" r:id="rId1"/>
  <headerFooter>
    <oddHeader>&amp;LČ. j.: MSMT-1251/2018-1</oddHeader>
    <oddFooter>&amp;C&amp;A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8"/>
  <sheetViews>
    <sheetView topLeftCell="A13" zoomScaleNormal="100" workbookViewId="0">
      <selection activeCell="A40" sqref="A39:A40"/>
    </sheetView>
  </sheetViews>
  <sheetFormatPr defaultRowHeight="14.25" x14ac:dyDescent="0.2"/>
  <cols>
    <col min="1" max="1" width="11.140625" style="186" customWidth="1"/>
    <col min="2" max="2" width="61.85546875" style="205" customWidth="1"/>
    <col min="3" max="5" width="15.7109375" style="186" customWidth="1"/>
    <col min="6" max="6" width="14.140625" style="191" customWidth="1"/>
    <col min="7" max="8" width="10.140625" style="191" bestFit="1" customWidth="1"/>
    <col min="9" max="16384" width="9.140625" style="186"/>
  </cols>
  <sheetData>
    <row r="1" spans="1:8" ht="27.75" x14ac:dyDescent="0.3">
      <c r="A1" s="971" t="s">
        <v>101</v>
      </c>
      <c r="B1" s="971"/>
      <c r="C1" s="971"/>
      <c r="D1" s="971"/>
      <c r="E1" s="971"/>
      <c r="F1" s="190"/>
    </row>
    <row r="2" spans="1:8" ht="14.25" customHeight="1" x14ac:dyDescent="0.3">
      <c r="A2" s="192"/>
      <c r="B2" s="192"/>
      <c r="C2" s="192"/>
      <c r="D2" s="192"/>
      <c r="E2" s="192"/>
      <c r="F2" s="190"/>
    </row>
    <row r="3" spans="1:8" ht="36.75" customHeight="1" x14ac:dyDescent="0.3">
      <c r="A3" s="972" t="s">
        <v>242</v>
      </c>
      <c r="B3" s="972"/>
      <c r="C3" s="972"/>
      <c r="D3" s="972"/>
      <c r="E3" s="972"/>
      <c r="F3" s="190"/>
    </row>
    <row r="4" spans="1:8" x14ac:dyDescent="0.2">
      <c r="B4" s="186"/>
    </row>
    <row r="5" spans="1:8" s="194" customFormat="1" x14ac:dyDescent="0.2">
      <c r="A5" s="411" t="s">
        <v>274</v>
      </c>
      <c r="B5" s="412"/>
      <c r="C5" s="412"/>
      <c r="D5" s="413"/>
      <c r="E5" s="725">
        <v>22000000</v>
      </c>
      <c r="F5" s="193"/>
      <c r="G5" s="193"/>
      <c r="H5" s="193"/>
    </row>
    <row r="6" spans="1:8" s="194" customFormat="1" x14ac:dyDescent="0.2">
      <c r="A6" s="411" t="s">
        <v>102</v>
      </c>
      <c r="B6" s="412"/>
      <c r="C6" s="412"/>
      <c r="D6" s="413"/>
      <c r="E6" s="726">
        <f>E5/D37</f>
        <v>21.415648336364299</v>
      </c>
      <c r="F6" s="193"/>
      <c r="G6" s="193"/>
      <c r="H6" s="193"/>
    </row>
    <row r="7" spans="1:8" s="194" customFormat="1" ht="12.75" x14ac:dyDescent="0.2">
      <c r="A7" s="195"/>
      <c r="B7" s="195"/>
      <c r="C7" s="195"/>
      <c r="D7" s="195"/>
      <c r="E7" s="196"/>
      <c r="F7" s="193"/>
      <c r="G7" s="193"/>
      <c r="H7" s="193"/>
    </row>
    <row r="8" spans="1:8" s="194" customFormat="1" ht="13.5" thickBot="1" x14ac:dyDescent="0.25">
      <c r="E8" s="197" t="s">
        <v>145</v>
      </c>
      <c r="F8" s="193"/>
      <c r="G8" s="193"/>
      <c r="H8" s="193"/>
    </row>
    <row r="9" spans="1:8" s="194" customFormat="1" ht="18.75" customHeight="1" x14ac:dyDescent="0.2">
      <c r="A9" s="973" t="s">
        <v>61</v>
      </c>
      <c r="B9" s="975" t="s">
        <v>103</v>
      </c>
      <c r="C9" s="977" t="s">
        <v>104</v>
      </c>
      <c r="D9" s="978"/>
      <c r="E9" s="979" t="s">
        <v>231</v>
      </c>
      <c r="F9" s="193"/>
      <c r="G9" s="193"/>
      <c r="H9" s="193"/>
    </row>
    <row r="10" spans="1:8" s="194" customFormat="1" ht="50.25" customHeight="1" thickBot="1" x14ac:dyDescent="0.25">
      <c r="A10" s="974"/>
      <c r="B10" s="976"/>
      <c r="C10" s="444" t="s">
        <v>105</v>
      </c>
      <c r="D10" s="358" t="s">
        <v>106</v>
      </c>
      <c r="E10" s="980"/>
      <c r="F10" s="198"/>
      <c r="G10" s="199"/>
      <c r="H10" s="198"/>
    </row>
    <row r="11" spans="1:8" s="182" customFormat="1" ht="15" customHeight="1" x14ac:dyDescent="0.2">
      <c r="A11" s="359">
        <v>11000</v>
      </c>
      <c r="B11" s="450" t="s">
        <v>143</v>
      </c>
      <c r="C11" s="445">
        <v>8009</v>
      </c>
      <c r="D11" s="360">
        <v>183377.4</v>
      </c>
      <c r="E11" s="361">
        <f>ROUND(E$5/D$37*D11,-3)</f>
        <v>3927000</v>
      </c>
      <c r="F11" s="335"/>
      <c r="G11" s="335"/>
      <c r="H11" s="335"/>
    </row>
    <row r="12" spans="1:8" s="182" customFormat="1" ht="15" customHeight="1" x14ac:dyDescent="0.2">
      <c r="A12" s="362">
        <v>12000</v>
      </c>
      <c r="B12" s="451" t="s">
        <v>78</v>
      </c>
      <c r="C12" s="446">
        <v>1523</v>
      </c>
      <c r="D12" s="363">
        <v>33050.699999999997</v>
      </c>
      <c r="E12" s="361">
        <f t="shared" ref="E12:E36" si="0">ROUND(E$5/D$37*D12,-3)</f>
        <v>708000</v>
      </c>
      <c r="F12" s="335"/>
      <c r="G12" s="335"/>
      <c r="H12" s="335"/>
    </row>
    <row r="13" spans="1:8" s="182" customFormat="1" ht="15" customHeight="1" x14ac:dyDescent="0.2">
      <c r="A13" s="362">
        <v>13000</v>
      </c>
      <c r="B13" s="451" t="s">
        <v>79</v>
      </c>
      <c r="C13" s="446">
        <v>2623</v>
      </c>
      <c r="D13" s="363">
        <v>54417.5</v>
      </c>
      <c r="E13" s="361">
        <f t="shared" si="0"/>
        <v>1165000</v>
      </c>
      <c r="F13" s="335"/>
      <c r="G13" s="335"/>
      <c r="H13" s="335"/>
    </row>
    <row r="14" spans="1:8" s="182" customFormat="1" ht="15" customHeight="1" x14ac:dyDescent="0.2">
      <c r="A14" s="362">
        <v>14000</v>
      </c>
      <c r="B14" s="451" t="s">
        <v>80</v>
      </c>
      <c r="C14" s="446">
        <v>5101</v>
      </c>
      <c r="D14" s="363">
        <v>68537.5</v>
      </c>
      <c r="E14" s="361">
        <f t="shared" si="0"/>
        <v>1468000</v>
      </c>
      <c r="F14" s="335"/>
      <c r="G14" s="335"/>
      <c r="H14" s="335"/>
    </row>
    <row r="15" spans="1:8" s="182" customFormat="1" ht="15" customHeight="1" x14ac:dyDescent="0.2">
      <c r="A15" s="362">
        <v>15000</v>
      </c>
      <c r="B15" s="451" t="s">
        <v>81</v>
      </c>
      <c r="C15" s="446">
        <v>3734</v>
      </c>
      <c r="D15" s="363">
        <v>60546.3</v>
      </c>
      <c r="E15" s="361">
        <f t="shared" si="0"/>
        <v>1297000</v>
      </c>
      <c r="F15" s="335"/>
      <c r="G15" s="335"/>
      <c r="H15" s="335"/>
    </row>
    <row r="16" spans="1:8" s="182" customFormat="1" ht="15" customHeight="1" x14ac:dyDescent="0.2">
      <c r="A16" s="362">
        <v>16000</v>
      </c>
      <c r="B16" s="451" t="s">
        <v>82</v>
      </c>
      <c r="C16" s="446">
        <v>660</v>
      </c>
      <c r="D16" s="363">
        <v>6978</v>
      </c>
      <c r="E16" s="361">
        <f>ROUND(E$5/D$37*D16,-3)+1000</f>
        <v>150000</v>
      </c>
      <c r="F16" s="335"/>
      <c r="G16" s="335"/>
      <c r="H16" s="335"/>
    </row>
    <row r="17" spans="1:8" s="182" customFormat="1" ht="15" customHeight="1" x14ac:dyDescent="0.2">
      <c r="A17" s="362">
        <v>17000</v>
      </c>
      <c r="B17" s="451" t="s">
        <v>142</v>
      </c>
      <c r="C17" s="446">
        <v>1765</v>
      </c>
      <c r="D17" s="363">
        <v>46655.7</v>
      </c>
      <c r="E17" s="361">
        <f t="shared" si="0"/>
        <v>999000</v>
      </c>
      <c r="F17" s="335"/>
      <c r="G17" s="335"/>
      <c r="H17" s="335"/>
    </row>
    <row r="18" spans="1:8" s="182" customFormat="1" ht="15" customHeight="1" x14ac:dyDescent="0.2">
      <c r="A18" s="362">
        <v>18000</v>
      </c>
      <c r="B18" s="451" t="s">
        <v>75</v>
      </c>
      <c r="C18" s="446">
        <v>1340</v>
      </c>
      <c r="D18" s="363">
        <v>21230.2</v>
      </c>
      <c r="E18" s="361">
        <f t="shared" si="0"/>
        <v>455000</v>
      </c>
      <c r="F18" s="335"/>
      <c r="G18" s="335"/>
      <c r="H18" s="335"/>
    </row>
    <row r="19" spans="1:8" s="182" customFormat="1" ht="15" customHeight="1" x14ac:dyDescent="0.2">
      <c r="A19" s="362">
        <v>19000</v>
      </c>
      <c r="B19" s="451" t="s">
        <v>83</v>
      </c>
      <c r="C19" s="446">
        <v>749</v>
      </c>
      <c r="D19" s="363">
        <v>27791.3</v>
      </c>
      <c r="E19" s="361">
        <f t="shared" si="0"/>
        <v>595000</v>
      </c>
      <c r="F19" s="335"/>
      <c r="G19" s="335"/>
      <c r="H19" s="335"/>
    </row>
    <row r="20" spans="1:8" s="182" customFormat="1" ht="15" customHeight="1" x14ac:dyDescent="0.2">
      <c r="A20" s="362">
        <v>21000</v>
      </c>
      <c r="B20" s="451" t="s">
        <v>84</v>
      </c>
      <c r="C20" s="446">
        <v>1747</v>
      </c>
      <c r="D20" s="363">
        <v>52902.7</v>
      </c>
      <c r="E20" s="361">
        <f t="shared" si="0"/>
        <v>1133000</v>
      </c>
      <c r="F20" s="335"/>
      <c r="G20" s="335"/>
      <c r="H20" s="335"/>
    </row>
    <row r="21" spans="1:8" s="182" customFormat="1" ht="15" customHeight="1" x14ac:dyDescent="0.2">
      <c r="A21" s="362">
        <v>22000</v>
      </c>
      <c r="B21" s="451" t="s">
        <v>85</v>
      </c>
      <c r="C21" s="446">
        <v>483</v>
      </c>
      <c r="D21" s="363">
        <v>18545.599999999999</v>
      </c>
      <c r="E21" s="361">
        <f t="shared" si="0"/>
        <v>397000</v>
      </c>
      <c r="F21" s="335"/>
      <c r="G21" s="335"/>
      <c r="H21" s="335"/>
    </row>
    <row r="22" spans="1:8" s="182" customFormat="1" ht="15" customHeight="1" x14ac:dyDescent="0.2">
      <c r="A22" s="362">
        <v>23000</v>
      </c>
      <c r="B22" s="451" t="s">
        <v>86</v>
      </c>
      <c r="C22" s="446">
        <v>3981</v>
      </c>
      <c r="D22" s="363">
        <v>62964.2</v>
      </c>
      <c r="E22" s="361">
        <f t="shared" si="0"/>
        <v>1348000</v>
      </c>
      <c r="F22" s="335"/>
      <c r="G22" s="335"/>
      <c r="H22" s="335"/>
    </row>
    <row r="23" spans="1:8" s="182" customFormat="1" ht="15" customHeight="1" x14ac:dyDescent="0.2">
      <c r="A23" s="362">
        <v>24000</v>
      </c>
      <c r="B23" s="451" t="s">
        <v>87</v>
      </c>
      <c r="C23" s="446">
        <v>1399</v>
      </c>
      <c r="D23" s="363">
        <v>45587.8</v>
      </c>
      <c r="E23" s="361">
        <f t="shared" si="0"/>
        <v>976000</v>
      </c>
      <c r="F23" s="335"/>
      <c r="G23" s="335"/>
      <c r="H23" s="335"/>
    </row>
    <row r="24" spans="1:8" s="182" customFormat="1" ht="15" customHeight="1" x14ac:dyDescent="0.2">
      <c r="A24" s="362">
        <v>25000</v>
      </c>
      <c r="B24" s="451" t="s">
        <v>88</v>
      </c>
      <c r="C24" s="446">
        <v>790</v>
      </c>
      <c r="D24" s="363">
        <v>16451.5</v>
      </c>
      <c r="E24" s="361">
        <f t="shared" si="0"/>
        <v>352000</v>
      </c>
      <c r="F24" s="335"/>
      <c r="G24" s="335"/>
      <c r="H24" s="335"/>
    </row>
    <row r="25" spans="1:8" s="182" customFormat="1" ht="15" customHeight="1" x14ac:dyDescent="0.2">
      <c r="A25" s="362">
        <v>26000</v>
      </c>
      <c r="B25" s="451" t="s">
        <v>89</v>
      </c>
      <c r="C25" s="446">
        <v>1811</v>
      </c>
      <c r="D25" s="363">
        <v>58564</v>
      </c>
      <c r="E25" s="361">
        <f t="shared" si="0"/>
        <v>1254000</v>
      </c>
      <c r="F25" s="335"/>
      <c r="G25" s="335"/>
      <c r="H25" s="335"/>
    </row>
    <row r="26" spans="1:8" s="182" customFormat="1" ht="15" customHeight="1" x14ac:dyDescent="0.2">
      <c r="A26" s="362">
        <v>27000</v>
      </c>
      <c r="B26" s="451" t="s">
        <v>90</v>
      </c>
      <c r="C26" s="446">
        <v>698</v>
      </c>
      <c r="D26" s="363">
        <v>20827.400000000001</v>
      </c>
      <c r="E26" s="361">
        <f>ROUND(E$5/D$37*D26,-3)</f>
        <v>446000</v>
      </c>
      <c r="F26" s="335"/>
      <c r="G26" s="335"/>
      <c r="H26" s="335"/>
    </row>
    <row r="27" spans="1:8" s="182" customFormat="1" ht="15" customHeight="1" x14ac:dyDescent="0.2">
      <c r="A27" s="362">
        <v>28000</v>
      </c>
      <c r="B27" s="451" t="s">
        <v>91</v>
      </c>
      <c r="C27" s="446">
        <v>983</v>
      </c>
      <c r="D27" s="363">
        <v>26067.5</v>
      </c>
      <c r="E27" s="361">
        <f t="shared" si="0"/>
        <v>558000</v>
      </c>
      <c r="F27" s="335"/>
      <c r="G27" s="335"/>
      <c r="H27" s="335"/>
    </row>
    <row r="28" spans="1:8" s="182" customFormat="1" ht="15" customHeight="1" x14ac:dyDescent="0.2">
      <c r="A28" s="362">
        <v>31000</v>
      </c>
      <c r="B28" s="451" t="s">
        <v>92</v>
      </c>
      <c r="C28" s="446">
        <v>3806</v>
      </c>
      <c r="D28" s="363">
        <v>98137</v>
      </c>
      <c r="E28" s="361">
        <f t="shared" si="0"/>
        <v>2102000</v>
      </c>
      <c r="F28" s="335"/>
      <c r="G28" s="335"/>
      <c r="H28" s="335"/>
    </row>
    <row r="29" spans="1:8" s="182" customFormat="1" ht="15" customHeight="1" x14ac:dyDescent="0.2">
      <c r="A29" s="362">
        <v>41000</v>
      </c>
      <c r="B29" s="451" t="s">
        <v>93</v>
      </c>
      <c r="C29" s="446">
        <v>9645</v>
      </c>
      <c r="D29" s="363">
        <v>31553.1</v>
      </c>
      <c r="E29" s="361">
        <f t="shared" si="0"/>
        <v>676000</v>
      </c>
      <c r="F29" s="335"/>
      <c r="G29" s="335"/>
      <c r="H29" s="335"/>
    </row>
    <row r="30" spans="1:8" s="182" customFormat="1" ht="15" customHeight="1" x14ac:dyDescent="0.2">
      <c r="A30" s="362">
        <v>43000</v>
      </c>
      <c r="B30" s="451" t="s">
        <v>94</v>
      </c>
      <c r="C30" s="446">
        <v>1469</v>
      </c>
      <c r="D30" s="363">
        <v>61006.400000000001</v>
      </c>
      <c r="E30" s="361">
        <f>ROUND(E$5/D$37*D30,-3)+1000</f>
        <v>1307000</v>
      </c>
      <c r="F30" s="335"/>
      <c r="G30" s="335"/>
      <c r="H30" s="335"/>
    </row>
    <row r="31" spans="1:8" s="182" customFormat="1" ht="15" customHeight="1" x14ac:dyDescent="0.2">
      <c r="A31" s="362">
        <v>51000</v>
      </c>
      <c r="B31" s="451" t="s">
        <v>95</v>
      </c>
      <c r="C31" s="447"/>
      <c r="D31" s="364"/>
      <c r="E31" s="365">
        <f t="shared" si="0"/>
        <v>0</v>
      </c>
      <c r="F31" s="335"/>
      <c r="G31" s="335"/>
      <c r="H31" s="335"/>
    </row>
    <row r="32" spans="1:8" s="182" customFormat="1" ht="15" customHeight="1" x14ac:dyDescent="0.2">
      <c r="A32" s="362">
        <v>52000</v>
      </c>
      <c r="B32" s="451" t="s">
        <v>96</v>
      </c>
      <c r="C32" s="447"/>
      <c r="D32" s="364"/>
      <c r="E32" s="365">
        <f t="shared" si="0"/>
        <v>0</v>
      </c>
      <c r="F32" s="335"/>
      <c r="G32" s="335"/>
      <c r="H32" s="335"/>
    </row>
    <row r="33" spans="1:8" s="182" customFormat="1" ht="15" customHeight="1" x14ac:dyDescent="0.2">
      <c r="A33" s="362">
        <v>53000</v>
      </c>
      <c r="B33" s="451" t="s">
        <v>97</v>
      </c>
      <c r="C33" s="447"/>
      <c r="D33" s="364"/>
      <c r="E33" s="365">
        <f t="shared" si="0"/>
        <v>0</v>
      </c>
      <c r="F33" s="335"/>
      <c r="G33" s="335"/>
      <c r="H33" s="335"/>
    </row>
    <row r="34" spans="1:8" s="182" customFormat="1" ht="15" customHeight="1" x14ac:dyDescent="0.2">
      <c r="A34" s="362">
        <v>54000</v>
      </c>
      <c r="B34" s="451" t="s">
        <v>98</v>
      </c>
      <c r="C34" s="447">
        <v>326</v>
      </c>
      <c r="D34" s="364">
        <v>6362.8</v>
      </c>
      <c r="E34" s="361">
        <f t="shared" si="0"/>
        <v>136000</v>
      </c>
      <c r="F34" s="335"/>
      <c r="G34" s="335"/>
      <c r="H34" s="335"/>
    </row>
    <row r="35" spans="1:8" s="182" customFormat="1" ht="15" customHeight="1" x14ac:dyDescent="0.2">
      <c r="A35" s="362">
        <v>55000</v>
      </c>
      <c r="B35" s="451" t="s">
        <v>99</v>
      </c>
      <c r="C35" s="446">
        <v>969</v>
      </c>
      <c r="D35" s="363">
        <v>25731.599999999999</v>
      </c>
      <c r="E35" s="361">
        <f t="shared" si="0"/>
        <v>551000</v>
      </c>
      <c r="F35" s="335"/>
      <c r="G35" s="335"/>
      <c r="H35" s="335"/>
    </row>
    <row r="36" spans="1:8" s="182" customFormat="1" ht="15" customHeight="1" thickBot="1" x14ac:dyDescent="0.25">
      <c r="A36" s="366">
        <v>56000</v>
      </c>
      <c r="B36" s="452" t="s">
        <v>100</v>
      </c>
      <c r="C36" s="448"/>
      <c r="D36" s="367"/>
      <c r="E36" s="365">
        <f t="shared" si="0"/>
        <v>0</v>
      </c>
      <c r="F36" s="335"/>
      <c r="G36" s="335"/>
      <c r="H36" s="335"/>
    </row>
    <row r="37" spans="1:8" s="182" customFormat="1" ht="15" customHeight="1" thickBot="1" x14ac:dyDescent="0.25">
      <c r="A37" s="368"/>
      <c r="B37" s="453" t="s">
        <v>60</v>
      </c>
      <c r="C37" s="449">
        <f>SUM(C11:C36)</f>
        <v>53611</v>
      </c>
      <c r="D37" s="369">
        <f>SUM(D11:D36)</f>
        <v>1027286.2</v>
      </c>
      <c r="E37" s="370">
        <f>SUM(E11:E36)</f>
        <v>22000000</v>
      </c>
      <c r="F37" s="335"/>
      <c r="G37" s="335"/>
      <c r="H37" s="336"/>
    </row>
    <row r="38" spans="1:8" s="194" customFormat="1" ht="12.75" x14ac:dyDescent="0.2">
      <c r="B38" s="200"/>
      <c r="F38" s="193"/>
      <c r="G38" s="193"/>
      <c r="H38" s="193"/>
    </row>
    <row r="39" spans="1:8" ht="15" x14ac:dyDescent="0.2">
      <c r="A39" s="794" t="s">
        <v>240</v>
      </c>
      <c r="B39" s="202"/>
      <c r="C39" s="201"/>
      <c r="D39" s="201"/>
      <c r="E39" s="201"/>
      <c r="F39" s="203"/>
    </row>
    <row r="40" spans="1:8" ht="15.75" x14ac:dyDescent="0.25">
      <c r="A40" s="798"/>
      <c r="B40" s="202"/>
      <c r="C40" s="201"/>
      <c r="D40" s="204"/>
      <c r="E40" s="202"/>
      <c r="F40" s="203"/>
    </row>
    <row r="41" spans="1:8" ht="15" x14ac:dyDescent="0.2">
      <c r="A41" s="201"/>
      <c r="B41" s="202"/>
      <c r="C41" s="201"/>
      <c r="D41" s="201"/>
      <c r="E41" s="201"/>
      <c r="F41" s="203"/>
    </row>
    <row r="42" spans="1:8" ht="15" x14ac:dyDescent="0.2">
      <c r="A42" s="201"/>
      <c r="B42" s="202"/>
      <c r="C42" s="201"/>
      <c r="D42" s="201"/>
      <c r="E42" s="201"/>
      <c r="F42" s="203"/>
    </row>
    <row r="43" spans="1:8" ht="15" x14ac:dyDescent="0.2">
      <c r="A43" s="201"/>
      <c r="B43" s="202"/>
      <c r="C43" s="201"/>
      <c r="D43" s="201"/>
      <c r="E43" s="201"/>
      <c r="F43" s="203"/>
    </row>
    <row r="44" spans="1:8" ht="15" x14ac:dyDescent="0.2">
      <c r="A44" s="201"/>
      <c r="B44" s="202"/>
      <c r="C44" s="201"/>
      <c r="D44" s="201"/>
      <c r="E44" s="201"/>
      <c r="F44" s="203"/>
    </row>
    <row r="45" spans="1:8" ht="15" x14ac:dyDescent="0.2">
      <c r="A45" s="201"/>
      <c r="B45" s="202"/>
      <c r="C45" s="201"/>
      <c r="D45" s="201"/>
      <c r="E45" s="201"/>
      <c r="F45" s="203"/>
    </row>
    <row r="46" spans="1:8" ht="15" x14ac:dyDescent="0.2">
      <c r="A46" s="201"/>
      <c r="B46" s="202"/>
      <c r="C46" s="201"/>
      <c r="D46" s="201"/>
      <c r="E46" s="201"/>
      <c r="F46" s="203"/>
    </row>
    <row r="47" spans="1:8" ht="15.75" x14ac:dyDescent="0.25">
      <c r="A47" s="201"/>
      <c r="B47" s="202"/>
      <c r="C47" s="201"/>
      <c r="D47" s="204"/>
      <c r="E47" s="201"/>
      <c r="F47" s="203"/>
    </row>
    <row r="48" spans="1:8" ht="15" x14ac:dyDescent="0.2">
      <c r="A48" s="201"/>
      <c r="B48" s="202"/>
      <c r="C48" s="201"/>
      <c r="D48" s="201"/>
      <c r="E48" s="201"/>
      <c r="F48" s="203"/>
    </row>
  </sheetData>
  <mergeCells count="6">
    <mergeCell ref="A1:E1"/>
    <mergeCell ref="A3:E3"/>
    <mergeCell ref="A9:A10"/>
    <mergeCell ref="B9:B10"/>
    <mergeCell ref="C9:D9"/>
    <mergeCell ref="E9:E10"/>
  </mergeCells>
  <hyperlinks>
    <hyperlink ref="A39" location="'0 Seznam'!A1" display="'0 Seznam'!A1"/>
  </hyperlinks>
  <pageMargins left="0.70866141732283472" right="0.70866141732283472" top="0.78740157480314965" bottom="0.78740157480314965" header="0.31496062992125984" footer="0.31496062992125984"/>
  <pageSetup paperSize="9" scale="74" orientation="portrait" r:id="rId1"/>
  <headerFooter>
    <oddHeader>&amp;LČ. j.: MSMT-1251/2018-1</oddHeader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73"/>
  <sheetViews>
    <sheetView topLeftCell="A22" zoomScaleNormal="100" workbookViewId="0">
      <selection activeCell="A42" sqref="A41:A42"/>
    </sheetView>
  </sheetViews>
  <sheetFormatPr defaultRowHeight="15" x14ac:dyDescent="0.2"/>
  <cols>
    <col min="1" max="1" width="10.85546875" style="206" customWidth="1"/>
    <col min="2" max="2" width="58.5703125" style="206" customWidth="1"/>
    <col min="3" max="5" width="15.7109375" style="206" customWidth="1"/>
    <col min="6" max="6" width="6" style="206" customWidth="1"/>
    <col min="7" max="7" width="8.85546875" style="206" customWidth="1"/>
    <col min="8" max="226" width="9.140625" style="206" customWidth="1"/>
    <col min="227" max="227" width="5.5703125" style="206" customWidth="1"/>
    <col min="228" max="228" width="8.5703125" style="206" customWidth="1"/>
    <col min="229" max="229" width="41.5703125" style="206" customWidth="1"/>
    <col min="230" max="230" width="12.5703125" style="206" customWidth="1"/>
    <col min="231" max="231" width="12.7109375" style="206" customWidth="1"/>
    <col min="232" max="232" width="13.28515625" style="206" customWidth="1"/>
    <col min="233" max="233" width="13" style="206" customWidth="1"/>
    <col min="234" max="234" width="11.5703125" style="206" customWidth="1"/>
    <col min="235" max="237" width="9.140625" style="206" customWidth="1"/>
    <col min="238" max="238" width="13.5703125" style="206" customWidth="1"/>
    <col min="239" max="239" width="13.7109375" style="206" customWidth="1"/>
    <col min="240" max="16384" width="9.140625" style="206"/>
  </cols>
  <sheetData>
    <row r="1" spans="1:6" ht="27.75" x14ac:dyDescent="0.2">
      <c r="A1" s="971" t="s">
        <v>107</v>
      </c>
      <c r="B1" s="971"/>
      <c r="C1" s="971"/>
      <c r="D1" s="971"/>
      <c r="E1" s="971"/>
    </row>
    <row r="2" spans="1:6" ht="15.75" x14ac:dyDescent="0.2">
      <c r="A2" s="192"/>
      <c r="B2" s="192"/>
      <c r="C2" s="192"/>
      <c r="D2" s="192"/>
      <c r="E2" s="192"/>
    </row>
    <row r="3" spans="1:6" ht="39" customHeight="1" x14ac:dyDescent="0.2">
      <c r="A3" s="972" t="s">
        <v>243</v>
      </c>
      <c r="B3" s="972"/>
      <c r="C3" s="972"/>
      <c r="D3" s="972"/>
      <c r="E3" s="972"/>
    </row>
    <row r="4" spans="1:6" s="207" customFormat="1" ht="14.25" x14ac:dyDescent="0.2"/>
    <row r="5" spans="1:6" s="211" customFormat="1" ht="12.75" x14ac:dyDescent="0.2">
      <c r="A5" s="208" t="s">
        <v>275</v>
      </c>
      <c r="B5" s="209"/>
      <c r="C5" s="209"/>
      <c r="D5" s="210"/>
      <c r="E5" s="727">
        <v>80000000</v>
      </c>
    </row>
    <row r="6" spans="1:6" s="211" customFormat="1" ht="12.75" x14ac:dyDescent="0.2">
      <c r="A6" s="208" t="s">
        <v>108</v>
      </c>
      <c r="B6" s="209"/>
      <c r="C6" s="209"/>
      <c r="D6" s="210"/>
      <c r="E6" s="728">
        <f>+E37/D37*100</f>
        <v>88.742389993408096</v>
      </c>
    </row>
    <row r="7" spans="1:6" s="211" customFormat="1" ht="27.75" x14ac:dyDescent="0.2">
      <c r="A7" s="212"/>
      <c r="B7" s="213"/>
      <c r="C7" s="212"/>
      <c r="D7" s="214"/>
    </row>
    <row r="8" spans="1:6" s="211" customFormat="1" ht="13.5" thickBot="1" x14ac:dyDescent="0.25">
      <c r="A8" s="215"/>
      <c r="E8" s="216"/>
    </row>
    <row r="9" spans="1:6" s="211" customFormat="1" ht="18.75" customHeight="1" x14ac:dyDescent="0.2">
      <c r="A9" s="981" t="s">
        <v>61</v>
      </c>
      <c r="B9" s="983" t="s">
        <v>103</v>
      </c>
      <c r="C9" s="985" t="s">
        <v>104</v>
      </c>
      <c r="D9" s="986"/>
      <c r="E9" s="987" t="s">
        <v>146</v>
      </c>
    </row>
    <row r="10" spans="1:6" s="211" customFormat="1" ht="61.5" customHeight="1" thickBot="1" x14ac:dyDescent="0.25">
      <c r="A10" s="982"/>
      <c r="B10" s="984"/>
      <c r="C10" s="436" t="s">
        <v>109</v>
      </c>
      <c r="D10" s="371" t="s">
        <v>110</v>
      </c>
      <c r="E10" s="988"/>
    </row>
    <row r="11" spans="1:6" s="211" customFormat="1" ht="15" customHeight="1" x14ac:dyDescent="0.2">
      <c r="A11" s="372">
        <v>11000</v>
      </c>
      <c r="B11" s="441" t="s">
        <v>143</v>
      </c>
      <c r="C11" s="437">
        <v>471</v>
      </c>
      <c r="D11" s="373">
        <v>21655900</v>
      </c>
      <c r="E11" s="374">
        <f>ROUND(+D11/D$37*E$5,-3)</f>
        <v>19218000</v>
      </c>
      <c r="F11" s="217"/>
    </row>
    <row r="12" spans="1:6" s="211" customFormat="1" ht="15" customHeight="1" x14ac:dyDescent="0.2">
      <c r="A12" s="375">
        <v>12000</v>
      </c>
      <c r="B12" s="442" t="s">
        <v>78</v>
      </c>
      <c r="C12" s="438">
        <v>68</v>
      </c>
      <c r="D12" s="376">
        <v>3155000</v>
      </c>
      <c r="E12" s="377">
        <f t="shared" ref="E12:E36" si="0">ROUND(+D12/D$37*E$5,-3)</f>
        <v>2800000</v>
      </c>
      <c r="F12" s="217"/>
    </row>
    <row r="13" spans="1:6" s="211" customFormat="1" ht="15" customHeight="1" x14ac:dyDescent="0.2">
      <c r="A13" s="375">
        <v>13000</v>
      </c>
      <c r="B13" s="442" t="s">
        <v>79</v>
      </c>
      <c r="C13" s="438">
        <v>48</v>
      </c>
      <c r="D13" s="376">
        <v>1905500</v>
      </c>
      <c r="E13" s="377">
        <f t="shared" si="0"/>
        <v>1691000</v>
      </c>
      <c r="F13" s="217"/>
    </row>
    <row r="14" spans="1:6" s="211" customFormat="1" ht="15" customHeight="1" x14ac:dyDescent="0.2">
      <c r="A14" s="375">
        <v>14000</v>
      </c>
      <c r="B14" s="442" t="s">
        <v>80</v>
      </c>
      <c r="C14" s="438">
        <v>348</v>
      </c>
      <c r="D14" s="376">
        <v>19403775</v>
      </c>
      <c r="E14" s="377">
        <f t="shared" si="0"/>
        <v>17219000</v>
      </c>
      <c r="F14" s="217"/>
    </row>
    <row r="15" spans="1:6" s="211" customFormat="1" ht="15" customHeight="1" x14ac:dyDescent="0.2">
      <c r="A15" s="375">
        <v>15000</v>
      </c>
      <c r="B15" s="442" t="s">
        <v>81</v>
      </c>
      <c r="C15" s="438">
        <v>155</v>
      </c>
      <c r="D15" s="376">
        <v>10030200</v>
      </c>
      <c r="E15" s="377">
        <f t="shared" si="0"/>
        <v>8901000</v>
      </c>
      <c r="F15" s="217"/>
    </row>
    <row r="16" spans="1:6" s="211" customFormat="1" ht="15" customHeight="1" x14ac:dyDescent="0.2">
      <c r="A16" s="375">
        <v>16000</v>
      </c>
      <c r="B16" s="442" t="s">
        <v>82</v>
      </c>
      <c r="C16" s="438"/>
      <c r="D16" s="376"/>
      <c r="E16" s="377">
        <f t="shared" si="0"/>
        <v>0</v>
      </c>
      <c r="F16" s="217"/>
    </row>
    <row r="17" spans="1:6" s="211" customFormat="1" ht="15" customHeight="1" x14ac:dyDescent="0.2">
      <c r="A17" s="375">
        <v>17000</v>
      </c>
      <c r="B17" s="442" t="s">
        <v>142</v>
      </c>
      <c r="C17" s="438">
        <v>72</v>
      </c>
      <c r="D17" s="376">
        <v>2729400</v>
      </c>
      <c r="E17" s="377">
        <f t="shared" si="0"/>
        <v>2422000</v>
      </c>
      <c r="F17" s="217"/>
    </row>
    <row r="18" spans="1:6" s="211" customFormat="1" ht="15" customHeight="1" x14ac:dyDescent="0.2">
      <c r="A18" s="375">
        <v>18000</v>
      </c>
      <c r="B18" s="442" t="s">
        <v>75</v>
      </c>
      <c r="C18" s="438">
        <v>76</v>
      </c>
      <c r="D18" s="376">
        <v>2458100</v>
      </c>
      <c r="E18" s="377">
        <f t="shared" si="0"/>
        <v>2181000</v>
      </c>
      <c r="F18" s="217"/>
    </row>
    <row r="19" spans="1:6" s="211" customFormat="1" ht="15" customHeight="1" x14ac:dyDescent="0.2">
      <c r="A19" s="375">
        <v>19000</v>
      </c>
      <c r="B19" s="442" t="s">
        <v>83</v>
      </c>
      <c r="C19" s="438">
        <v>31</v>
      </c>
      <c r="D19" s="376">
        <v>1316800</v>
      </c>
      <c r="E19" s="377">
        <f t="shared" si="0"/>
        <v>1169000</v>
      </c>
      <c r="F19" s="217"/>
    </row>
    <row r="20" spans="1:6" s="211" customFormat="1" ht="15" customHeight="1" x14ac:dyDescent="0.2">
      <c r="A20" s="375">
        <v>21000</v>
      </c>
      <c r="B20" s="442" t="s">
        <v>84</v>
      </c>
      <c r="C20" s="438">
        <v>88</v>
      </c>
      <c r="D20" s="376">
        <v>2677000</v>
      </c>
      <c r="E20" s="377">
        <f t="shared" si="0"/>
        <v>2376000</v>
      </c>
      <c r="F20" s="217"/>
    </row>
    <row r="21" spans="1:6" s="211" customFormat="1" ht="15" customHeight="1" x14ac:dyDescent="0.2">
      <c r="A21" s="375">
        <v>22000</v>
      </c>
      <c r="B21" s="442" t="s">
        <v>85</v>
      </c>
      <c r="C21" s="438"/>
      <c r="D21" s="376"/>
      <c r="E21" s="377">
        <f t="shared" si="0"/>
        <v>0</v>
      </c>
      <c r="F21" s="217"/>
    </row>
    <row r="22" spans="1:6" s="211" customFormat="1" ht="15" customHeight="1" x14ac:dyDescent="0.2">
      <c r="A22" s="375">
        <v>23000</v>
      </c>
      <c r="B22" s="442" t="s">
        <v>86</v>
      </c>
      <c r="C22" s="438">
        <v>81</v>
      </c>
      <c r="D22" s="376">
        <v>2623000</v>
      </c>
      <c r="E22" s="377">
        <f t="shared" si="0"/>
        <v>2328000</v>
      </c>
      <c r="F22" s="217"/>
    </row>
    <row r="23" spans="1:6" s="211" customFormat="1" ht="15" customHeight="1" x14ac:dyDescent="0.2">
      <c r="A23" s="375">
        <v>24000</v>
      </c>
      <c r="B23" s="442" t="s">
        <v>87</v>
      </c>
      <c r="C23" s="438">
        <v>44</v>
      </c>
      <c r="D23" s="376">
        <v>2184800</v>
      </c>
      <c r="E23" s="377">
        <f t="shared" si="0"/>
        <v>1939000</v>
      </c>
      <c r="F23" s="217"/>
    </row>
    <row r="24" spans="1:6" s="211" customFormat="1" ht="15" customHeight="1" x14ac:dyDescent="0.2">
      <c r="A24" s="375">
        <v>25000</v>
      </c>
      <c r="B24" s="442" t="s">
        <v>88</v>
      </c>
      <c r="C24" s="438">
        <v>54</v>
      </c>
      <c r="D24" s="376">
        <v>3317900</v>
      </c>
      <c r="E24" s="377">
        <f t="shared" si="0"/>
        <v>2944000</v>
      </c>
      <c r="F24" s="217"/>
    </row>
    <row r="25" spans="1:6" s="211" customFormat="1" ht="15" customHeight="1" x14ac:dyDescent="0.2">
      <c r="A25" s="375">
        <v>26000</v>
      </c>
      <c r="B25" s="442" t="s">
        <v>89</v>
      </c>
      <c r="C25" s="438">
        <v>153</v>
      </c>
      <c r="D25" s="376">
        <v>4476000</v>
      </c>
      <c r="E25" s="377">
        <f>ROUND(+D25/D$37*E$5,-3)</f>
        <v>3972000</v>
      </c>
      <c r="F25" s="217"/>
    </row>
    <row r="26" spans="1:6" s="211" customFormat="1" ht="15" customHeight="1" x14ac:dyDescent="0.2">
      <c r="A26" s="375">
        <v>27000</v>
      </c>
      <c r="B26" s="442" t="s">
        <v>90</v>
      </c>
      <c r="C26" s="438">
        <v>32</v>
      </c>
      <c r="D26" s="376">
        <v>1274600</v>
      </c>
      <c r="E26" s="377">
        <f t="shared" si="0"/>
        <v>1131000</v>
      </c>
      <c r="F26" s="217"/>
    </row>
    <row r="27" spans="1:6" s="211" customFormat="1" ht="15" customHeight="1" x14ac:dyDescent="0.2">
      <c r="A27" s="375">
        <v>28000</v>
      </c>
      <c r="B27" s="442" t="s">
        <v>91</v>
      </c>
      <c r="C27" s="438">
        <v>46</v>
      </c>
      <c r="D27" s="376">
        <v>2691300</v>
      </c>
      <c r="E27" s="377">
        <f t="shared" si="0"/>
        <v>2388000</v>
      </c>
      <c r="F27" s="217"/>
    </row>
    <row r="28" spans="1:6" s="211" customFormat="1" ht="15" customHeight="1" x14ac:dyDescent="0.2">
      <c r="A28" s="375">
        <v>31000</v>
      </c>
      <c r="B28" s="442" t="s">
        <v>92</v>
      </c>
      <c r="C28" s="438">
        <v>40</v>
      </c>
      <c r="D28" s="376">
        <v>1300000</v>
      </c>
      <c r="E28" s="377">
        <f t="shared" si="0"/>
        <v>1154000</v>
      </c>
      <c r="F28" s="217"/>
    </row>
    <row r="29" spans="1:6" s="211" customFormat="1" ht="15" customHeight="1" x14ac:dyDescent="0.2">
      <c r="A29" s="375">
        <v>41000</v>
      </c>
      <c r="B29" s="442" t="s">
        <v>93</v>
      </c>
      <c r="C29" s="438">
        <v>112</v>
      </c>
      <c r="D29" s="376">
        <v>4277000</v>
      </c>
      <c r="E29" s="377">
        <f t="shared" si="0"/>
        <v>3796000</v>
      </c>
      <c r="F29" s="218"/>
    </row>
    <row r="30" spans="1:6" s="211" customFormat="1" ht="15" customHeight="1" x14ac:dyDescent="0.2">
      <c r="A30" s="375">
        <v>43000</v>
      </c>
      <c r="B30" s="442" t="s">
        <v>94</v>
      </c>
      <c r="C30" s="438">
        <v>49</v>
      </c>
      <c r="D30" s="376">
        <v>1365000</v>
      </c>
      <c r="E30" s="377">
        <f t="shared" si="0"/>
        <v>1211000</v>
      </c>
      <c r="F30" s="217"/>
    </row>
    <row r="31" spans="1:6" s="211" customFormat="1" ht="15" customHeight="1" x14ac:dyDescent="0.2">
      <c r="A31" s="375">
        <v>51000</v>
      </c>
      <c r="B31" s="442" t="s">
        <v>95</v>
      </c>
      <c r="C31" s="438"/>
      <c r="D31" s="376"/>
      <c r="E31" s="377">
        <f t="shared" si="0"/>
        <v>0</v>
      </c>
      <c r="F31" s="217"/>
    </row>
    <row r="32" spans="1:6" s="211" customFormat="1" ht="15" customHeight="1" x14ac:dyDescent="0.2">
      <c r="A32" s="375">
        <v>52000</v>
      </c>
      <c r="B32" s="442" t="s">
        <v>96</v>
      </c>
      <c r="C32" s="438"/>
      <c r="D32" s="376"/>
      <c r="E32" s="377">
        <f t="shared" si="0"/>
        <v>0</v>
      </c>
      <c r="F32" s="217"/>
    </row>
    <row r="33" spans="1:6" s="211" customFormat="1" ht="15" customHeight="1" x14ac:dyDescent="0.2">
      <c r="A33" s="375">
        <v>53000</v>
      </c>
      <c r="B33" s="442" t="s">
        <v>97</v>
      </c>
      <c r="C33" s="438"/>
      <c r="D33" s="376"/>
      <c r="E33" s="377">
        <f t="shared" si="0"/>
        <v>0</v>
      </c>
      <c r="F33" s="217"/>
    </row>
    <row r="34" spans="1:6" s="211" customFormat="1" ht="15" customHeight="1" x14ac:dyDescent="0.2">
      <c r="A34" s="375">
        <v>54000</v>
      </c>
      <c r="B34" s="442" t="s">
        <v>98</v>
      </c>
      <c r="C34" s="438">
        <v>4</v>
      </c>
      <c r="D34" s="376">
        <v>520000</v>
      </c>
      <c r="E34" s="377">
        <f t="shared" si="0"/>
        <v>461000</v>
      </c>
      <c r="F34" s="217"/>
    </row>
    <row r="35" spans="1:6" s="211" customFormat="1" ht="15" customHeight="1" x14ac:dyDescent="0.2">
      <c r="A35" s="375">
        <v>55000</v>
      </c>
      <c r="B35" s="442" t="s">
        <v>99</v>
      </c>
      <c r="C35" s="438"/>
      <c r="D35" s="376"/>
      <c r="E35" s="377">
        <f t="shared" si="0"/>
        <v>0</v>
      </c>
      <c r="F35" s="217"/>
    </row>
    <row r="36" spans="1:6" s="211" customFormat="1" ht="15" customHeight="1" thickBot="1" x14ac:dyDescent="0.25">
      <c r="A36" s="378">
        <v>56000</v>
      </c>
      <c r="B36" s="435" t="s">
        <v>100</v>
      </c>
      <c r="C36" s="439">
        <v>16</v>
      </c>
      <c r="D36" s="379">
        <v>787300</v>
      </c>
      <c r="E36" s="380">
        <f t="shared" si="0"/>
        <v>699000</v>
      </c>
      <c r="F36" s="217"/>
    </row>
    <row r="37" spans="1:6" s="220" customFormat="1" ht="15" customHeight="1" thickBot="1" x14ac:dyDescent="0.25">
      <c r="A37" s="381"/>
      <c r="B37" s="443" t="s">
        <v>60</v>
      </c>
      <c r="C37" s="440">
        <f>SUM(C11:C36)</f>
        <v>1988</v>
      </c>
      <c r="D37" s="382">
        <f>SUM(D11:D36)</f>
        <v>90148575</v>
      </c>
      <c r="E37" s="383">
        <f>SUM(E11:E36)</f>
        <v>80000000</v>
      </c>
      <c r="F37" s="219"/>
    </row>
    <row r="38" spans="1:6" s="221" customFormat="1" ht="12.75" x14ac:dyDescent="0.2">
      <c r="C38" s="471"/>
      <c r="D38" s="472"/>
      <c r="E38" s="472"/>
    </row>
    <row r="39" spans="1:6" s="222" customFormat="1" ht="12.75" x14ac:dyDescent="0.2">
      <c r="B39" s="222" t="s">
        <v>260</v>
      </c>
    </row>
    <row r="40" spans="1:6" s="222" customFormat="1" ht="12.75" x14ac:dyDescent="0.2"/>
    <row r="41" spans="1:6" s="222" customFormat="1" ht="12.75" x14ac:dyDescent="0.2">
      <c r="A41" s="794" t="s">
        <v>240</v>
      </c>
      <c r="C41" s="223"/>
    </row>
    <row r="42" spans="1:6" ht="15.75" x14ac:dyDescent="0.2">
      <c r="A42" s="799"/>
      <c r="B42" s="224"/>
      <c r="C42" s="224"/>
      <c r="D42" s="224"/>
      <c r="E42" s="224"/>
      <c r="F42" s="224"/>
    </row>
    <row r="43" spans="1:6" ht="15.75" x14ac:dyDescent="0.2">
      <c r="A43" s="224"/>
      <c r="B43" s="224"/>
      <c r="C43" s="224"/>
      <c r="D43" s="224"/>
      <c r="E43" s="224"/>
      <c r="F43" s="224"/>
    </row>
    <row r="44" spans="1:6" ht="15.75" x14ac:dyDescent="0.2">
      <c r="A44" s="224"/>
      <c r="B44" s="224"/>
      <c r="C44" s="224"/>
      <c r="D44" s="224"/>
      <c r="E44" s="224"/>
      <c r="F44" s="224"/>
    </row>
    <row r="45" spans="1:6" ht="15.75" x14ac:dyDescent="0.2">
      <c r="A45" s="224"/>
      <c r="B45" s="224"/>
      <c r="C45" s="224"/>
      <c r="D45" s="224"/>
      <c r="E45" s="224"/>
      <c r="F45" s="224"/>
    </row>
    <row r="46" spans="1:6" ht="15.75" x14ac:dyDescent="0.2">
      <c r="A46" s="224"/>
      <c r="B46" s="224"/>
      <c r="C46" s="224"/>
      <c r="D46" s="224"/>
      <c r="E46" s="224"/>
      <c r="F46" s="224"/>
    </row>
    <row r="47" spans="1:6" ht="15.75" x14ac:dyDescent="0.2">
      <c r="A47" s="224"/>
      <c r="B47" s="224"/>
      <c r="C47" s="224"/>
      <c r="D47" s="224"/>
      <c r="E47" s="224"/>
      <c r="F47" s="224"/>
    </row>
    <row r="48" spans="1:6" ht="15.75" x14ac:dyDescent="0.2">
      <c r="A48" s="224"/>
      <c r="B48" s="224"/>
      <c r="C48" s="224"/>
      <c r="D48" s="224"/>
      <c r="E48" s="224"/>
      <c r="F48" s="224"/>
    </row>
    <row r="49" spans="1:6" ht="15.75" x14ac:dyDescent="0.2">
      <c r="A49" s="224"/>
      <c r="B49" s="224"/>
      <c r="C49" s="224"/>
      <c r="D49" s="224"/>
      <c r="E49" s="224"/>
      <c r="F49" s="224"/>
    </row>
    <row r="50" spans="1:6" ht="15.75" x14ac:dyDescent="0.2">
      <c r="A50" s="224"/>
      <c r="B50" s="224"/>
      <c r="C50" s="224"/>
      <c r="D50" s="224"/>
      <c r="E50" s="224"/>
      <c r="F50" s="224"/>
    </row>
    <row r="51" spans="1:6" ht="15.75" x14ac:dyDescent="0.2">
      <c r="A51" s="224"/>
      <c r="B51" s="224"/>
      <c r="C51" s="224"/>
      <c r="D51" s="224"/>
      <c r="E51" s="224"/>
      <c r="F51" s="224"/>
    </row>
    <row r="52" spans="1:6" ht="15.75" x14ac:dyDescent="0.2">
      <c r="A52" s="224"/>
      <c r="B52" s="224"/>
      <c r="C52" s="224"/>
      <c r="D52" s="224"/>
      <c r="E52" s="224"/>
      <c r="F52" s="224"/>
    </row>
    <row r="53" spans="1:6" ht="15.75" x14ac:dyDescent="0.2">
      <c r="A53" s="224"/>
      <c r="B53" s="224"/>
      <c r="C53" s="224"/>
      <c r="D53" s="224"/>
      <c r="E53" s="224"/>
      <c r="F53" s="224"/>
    </row>
    <row r="54" spans="1:6" ht="15.75" x14ac:dyDescent="0.2">
      <c r="A54" s="224"/>
      <c r="B54" s="224"/>
      <c r="C54" s="224"/>
      <c r="D54" s="224"/>
      <c r="E54" s="224"/>
      <c r="F54" s="224"/>
    </row>
    <row r="55" spans="1:6" ht="15.75" x14ac:dyDescent="0.2">
      <c r="A55" s="224"/>
      <c r="B55" s="224"/>
      <c r="C55" s="224"/>
      <c r="D55" s="224"/>
      <c r="E55" s="224"/>
      <c r="F55" s="224"/>
    </row>
    <row r="56" spans="1:6" ht="15.75" x14ac:dyDescent="0.2">
      <c r="A56" s="224"/>
      <c r="B56" s="224"/>
      <c r="C56" s="224"/>
      <c r="D56" s="224"/>
      <c r="E56" s="224"/>
      <c r="F56" s="224"/>
    </row>
    <row r="57" spans="1:6" ht="15.75" x14ac:dyDescent="0.2">
      <c r="A57" s="224"/>
      <c r="B57" s="224"/>
      <c r="C57" s="224"/>
      <c r="D57" s="224"/>
      <c r="E57" s="224"/>
      <c r="F57" s="224"/>
    </row>
    <row r="58" spans="1:6" ht="15.75" x14ac:dyDescent="0.2">
      <c r="A58" s="224"/>
      <c r="B58" s="224"/>
      <c r="C58" s="224"/>
      <c r="D58" s="224"/>
      <c r="E58" s="224"/>
      <c r="F58" s="224"/>
    </row>
    <row r="59" spans="1:6" ht="15.75" x14ac:dyDescent="0.2">
      <c r="A59" s="224"/>
      <c r="B59" s="224"/>
      <c r="C59" s="224"/>
      <c r="D59" s="224"/>
      <c r="E59" s="224"/>
      <c r="F59" s="224"/>
    </row>
    <row r="60" spans="1:6" ht="15.75" x14ac:dyDescent="0.2">
      <c r="A60" s="224"/>
      <c r="B60" s="224"/>
      <c r="C60" s="224"/>
      <c r="D60" s="224"/>
      <c r="E60" s="224"/>
      <c r="F60" s="224"/>
    </row>
    <row r="61" spans="1:6" ht="15.75" x14ac:dyDescent="0.2">
      <c r="A61" s="224"/>
      <c r="B61" s="224"/>
      <c r="C61" s="224"/>
      <c r="D61" s="224"/>
      <c r="E61" s="224"/>
      <c r="F61" s="224"/>
    </row>
    <row r="62" spans="1:6" ht="15.75" x14ac:dyDescent="0.2">
      <c r="A62" s="224"/>
      <c r="B62" s="224"/>
      <c r="C62" s="224"/>
      <c r="D62" s="224"/>
      <c r="E62" s="224"/>
      <c r="F62" s="224"/>
    </row>
    <row r="63" spans="1:6" ht="15.75" x14ac:dyDescent="0.2">
      <c r="A63" s="224"/>
      <c r="B63" s="224"/>
      <c r="C63" s="224"/>
      <c r="D63" s="224"/>
      <c r="E63" s="224"/>
      <c r="F63" s="224"/>
    </row>
    <row r="64" spans="1:6" ht="15.75" x14ac:dyDescent="0.2">
      <c r="A64" s="224"/>
      <c r="B64" s="224"/>
      <c r="C64" s="224"/>
      <c r="D64" s="224"/>
      <c r="E64" s="224"/>
      <c r="F64" s="224"/>
    </row>
    <row r="65" spans="1:6" ht="15.75" x14ac:dyDescent="0.2">
      <c r="A65" s="224"/>
      <c r="B65" s="224"/>
      <c r="C65" s="224"/>
      <c r="D65" s="224"/>
      <c r="E65" s="224"/>
      <c r="F65" s="224"/>
    </row>
    <row r="66" spans="1:6" ht="15.75" x14ac:dyDescent="0.2">
      <c r="A66" s="224"/>
      <c r="B66" s="224"/>
      <c r="C66" s="224"/>
      <c r="D66" s="224"/>
      <c r="E66" s="224"/>
      <c r="F66" s="224"/>
    </row>
    <row r="67" spans="1:6" ht="15.75" x14ac:dyDescent="0.2">
      <c r="A67" s="224"/>
      <c r="B67" s="224"/>
      <c r="C67" s="224"/>
      <c r="D67" s="224"/>
      <c r="E67" s="224"/>
      <c r="F67" s="224"/>
    </row>
    <row r="68" spans="1:6" ht="15.75" x14ac:dyDescent="0.2">
      <c r="A68" s="224"/>
      <c r="B68" s="224"/>
      <c r="C68" s="224"/>
      <c r="D68" s="224"/>
      <c r="E68" s="224"/>
      <c r="F68" s="224"/>
    </row>
    <row r="69" spans="1:6" ht="15.75" x14ac:dyDescent="0.2">
      <c r="A69" s="224"/>
      <c r="B69" s="224"/>
      <c r="C69" s="224"/>
      <c r="D69" s="224"/>
      <c r="E69" s="224"/>
      <c r="F69" s="224"/>
    </row>
    <row r="70" spans="1:6" ht="15.75" x14ac:dyDescent="0.2">
      <c r="A70" s="224"/>
      <c r="B70" s="224"/>
      <c r="C70" s="224"/>
      <c r="D70" s="224"/>
      <c r="E70" s="224"/>
      <c r="F70" s="224"/>
    </row>
    <row r="71" spans="1:6" ht="15.75" x14ac:dyDescent="0.2">
      <c r="A71" s="224"/>
      <c r="B71" s="224"/>
      <c r="C71" s="224"/>
      <c r="D71" s="224"/>
      <c r="E71" s="224"/>
      <c r="F71" s="224"/>
    </row>
    <row r="72" spans="1:6" ht="15.75" x14ac:dyDescent="0.2">
      <c r="A72" s="224"/>
      <c r="B72" s="224"/>
      <c r="C72" s="224"/>
      <c r="D72" s="224"/>
      <c r="E72" s="224"/>
      <c r="F72" s="224"/>
    </row>
    <row r="73" spans="1:6" ht="15.75" x14ac:dyDescent="0.2">
      <c r="A73" s="224"/>
      <c r="B73" s="224"/>
      <c r="C73" s="224"/>
      <c r="D73" s="224"/>
      <c r="E73" s="224"/>
      <c r="F73" s="224"/>
    </row>
  </sheetData>
  <mergeCells count="6">
    <mergeCell ref="A1:E1"/>
    <mergeCell ref="A3:E3"/>
    <mergeCell ref="A9:A10"/>
    <mergeCell ref="B9:B10"/>
    <mergeCell ref="C9:D9"/>
    <mergeCell ref="E9:E10"/>
  </mergeCells>
  <hyperlinks>
    <hyperlink ref="A41" location="'0 Seznam'!A1" display="'0 Seznam'!A1"/>
  </hyperlinks>
  <pageMargins left="0.70866141732283472" right="0.70866141732283472" top="0.78740157480314965" bottom="0.78740157480314965" header="0.31496062992125984" footer="0.31496062992125984"/>
  <pageSetup paperSize="9" scale="76" orientation="portrait" r:id="rId1"/>
  <headerFooter>
    <oddHeader>&amp;LČ. j.: MSMT-1251/2018-1</oddHeader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46"/>
  <sheetViews>
    <sheetView zoomScaleNormal="100" zoomScaleSheetLayoutView="100" workbookViewId="0">
      <selection activeCell="A35" sqref="A35"/>
    </sheetView>
  </sheetViews>
  <sheetFormatPr defaultRowHeight="12.75" x14ac:dyDescent="0.2"/>
  <cols>
    <col min="1" max="1" width="11.140625" style="159" customWidth="1"/>
    <col min="2" max="2" width="60.7109375" style="159" customWidth="1"/>
    <col min="3" max="3" width="17.28515625" style="159" customWidth="1"/>
    <col min="4" max="4" width="11.85546875" style="159" bestFit="1" customWidth="1"/>
    <col min="5" max="5" width="9.5703125" style="159" bestFit="1" customWidth="1"/>
    <col min="6" max="6" width="9.42578125" style="159" bestFit="1" customWidth="1"/>
    <col min="7" max="7" width="10.140625" style="159" customWidth="1"/>
    <col min="8" max="8" width="9.28515625" style="159" customWidth="1"/>
    <col min="9" max="16384" width="9.140625" style="159"/>
  </cols>
  <sheetData>
    <row r="1" spans="1:10" ht="27.75" x14ac:dyDescent="0.2">
      <c r="A1" s="681" t="s">
        <v>111</v>
      </c>
    </row>
    <row r="2" spans="1:10" x14ac:dyDescent="0.2">
      <c r="A2" s="160"/>
    </row>
    <row r="3" spans="1:10" ht="20.25" x14ac:dyDescent="0.2">
      <c r="A3" s="161" t="s">
        <v>261</v>
      </c>
      <c r="C3" s="162"/>
      <c r="D3" s="163"/>
      <c r="E3" s="163"/>
      <c r="F3" s="163"/>
      <c r="G3" s="163"/>
      <c r="H3" s="163"/>
      <c r="I3" s="163"/>
      <c r="J3" s="163"/>
    </row>
    <row r="4" spans="1:10" ht="15" x14ac:dyDescent="0.2">
      <c r="A4" s="164"/>
      <c r="C4" s="162"/>
      <c r="D4" s="163"/>
      <c r="E4" s="163"/>
      <c r="F4" s="163"/>
      <c r="G4" s="163"/>
      <c r="H4" s="163"/>
      <c r="I4" s="163"/>
      <c r="J4" s="163"/>
    </row>
    <row r="5" spans="1:10" ht="15.75" thickBot="1" x14ac:dyDescent="0.25">
      <c r="A5" s="165"/>
      <c r="B5" s="165"/>
      <c r="C5" s="304" t="s">
        <v>145</v>
      </c>
      <c r="D5" s="163"/>
      <c r="E5" s="163"/>
      <c r="F5" s="163"/>
      <c r="G5" s="163"/>
      <c r="H5" s="163"/>
      <c r="I5" s="163"/>
      <c r="J5" s="163"/>
    </row>
    <row r="6" spans="1:10" ht="40.5" customHeight="1" thickBot="1" x14ac:dyDescent="0.25">
      <c r="A6" s="384" t="s">
        <v>61</v>
      </c>
      <c r="B6" s="432" t="s">
        <v>103</v>
      </c>
      <c r="C6" s="427" t="s">
        <v>112</v>
      </c>
      <c r="D6" s="163"/>
      <c r="E6" s="163"/>
      <c r="F6" s="166"/>
      <c r="G6" s="166"/>
      <c r="H6" s="166"/>
      <c r="I6" s="166"/>
      <c r="J6" s="166"/>
    </row>
    <row r="7" spans="1:10" ht="15" customHeight="1" x14ac:dyDescent="0.2">
      <c r="A7" s="385">
        <v>11000</v>
      </c>
      <c r="B7" s="433" t="s">
        <v>143</v>
      </c>
      <c r="C7" s="428">
        <v>201040000</v>
      </c>
      <c r="D7" s="163"/>
      <c r="E7" s="163"/>
      <c r="F7" s="166"/>
      <c r="G7" s="166"/>
      <c r="H7" s="166"/>
      <c r="I7" s="166"/>
      <c r="J7" s="166"/>
    </row>
    <row r="8" spans="1:10" ht="15" customHeight="1" x14ac:dyDescent="0.2">
      <c r="A8" s="386">
        <v>12000</v>
      </c>
      <c r="B8" s="433" t="s">
        <v>78</v>
      </c>
      <c r="C8" s="428">
        <v>30888000</v>
      </c>
      <c r="D8" s="163"/>
      <c r="E8" s="163"/>
      <c r="F8" s="166"/>
      <c r="G8" s="166"/>
      <c r="H8" s="166"/>
      <c r="I8" s="166"/>
      <c r="J8" s="166"/>
    </row>
    <row r="9" spans="1:10" ht="15" customHeight="1" x14ac:dyDescent="0.2">
      <c r="A9" s="386">
        <v>13000</v>
      </c>
      <c r="B9" s="433" t="s">
        <v>79</v>
      </c>
      <c r="C9" s="428">
        <v>26893000</v>
      </c>
      <c r="D9" s="163"/>
      <c r="E9" s="163"/>
      <c r="F9" s="166"/>
      <c r="G9" s="166"/>
      <c r="H9" s="166"/>
      <c r="I9" s="166"/>
      <c r="J9" s="166"/>
    </row>
    <row r="10" spans="1:10" ht="15" customHeight="1" x14ac:dyDescent="0.2">
      <c r="A10" s="386">
        <v>14000</v>
      </c>
      <c r="B10" s="433" t="s">
        <v>80</v>
      </c>
      <c r="C10" s="428">
        <v>120366000</v>
      </c>
      <c r="D10" s="163"/>
      <c r="E10" s="163"/>
      <c r="F10" s="166"/>
      <c r="G10" s="166"/>
      <c r="H10" s="166"/>
      <c r="I10" s="166"/>
      <c r="J10" s="166"/>
    </row>
    <row r="11" spans="1:10" ht="15" customHeight="1" x14ac:dyDescent="0.2">
      <c r="A11" s="386">
        <v>15000</v>
      </c>
      <c r="B11" s="433" t="s">
        <v>81</v>
      </c>
      <c r="C11" s="428">
        <v>61207000</v>
      </c>
      <c r="D11" s="163"/>
      <c r="E11" s="163"/>
      <c r="F11" s="166"/>
      <c r="G11" s="166"/>
      <c r="H11" s="166"/>
      <c r="I11" s="166"/>
      <c r="J11" s="166"/>
    </row>
    <row r="12" spans="1:10" ht="15" customHeight="1" x14ac:dyDescent="0.2">
      <c r="A12" s="386">
        <v>16000</v>
      </c>
      <c r="B12" s="433" t="s">
        <v>82</v>
      </c>
      <c r="C12" s="428">
        <v>13113000</v>
      </c>
      <c r="D12" s="163"/>
      <c r="E12" s="167"/>
      <c r="F12" s="166"/>
      <c r="G12" s="166"/>
      <c r="H12" s="166"/>
      <c r="I12" s="166"/>
      <c r="J12" s="166"/>
    </row>
    <row r="13" spans="1:10" ht="15" customHeight="1" x14ac:dyDescent="0.2">
      <c r="A13" s="386">
        <v>17000</v>
      </c>
      <c r="B13" s="433" t="s">
        <v>142</v>
      </c>
      <c r="C13" s="428">
        <v>28209000</v>
      </c>
      <c r="D13" s="163"/>
      <c r="E13" s="163"/>
      <c r="F13" s="166"/>
      <c r="G13" s="166"/>
      <c r="H13" s="166"/>
      <c r="I13" s="166"/>
      <c r="J13" s="166"/>
    </row>
    <row r="14" spans="1:10" ht="15" customHeight="1" x14ac:dyDescent="0.2">
      <c r="A14" s="386">
        <v>18000</v>
      </c>
      <c r="B14" s="433" t="s">
        <v>75</v>
      </c>
      <c r="C14" s="428">
        <v>20557000</v>
      </c>
      <c r="D14" s="163"/>
      <c r="E14" s="163"/>
      <c r="F14" s="166"/>
      <c r="G14" s="166"/>
      <c r="H14" s="166"/>
      <c r="I14" s="166"/>
      <c r="J14" s="166"/>
    </row>
    <row r="15" spans="1:10" ht="15" customHeight="1" x14ac:dyDescent="0.2">
      <c r="A15" s="386">
        <v>19000</v>
      </c>
      <c r="B15" s="433" t="s">
        <v>83</v>
      </c>
      <c r="C15" s="428">
        <v>15406000</v>
      </c>
      <c r="D15" s="163"/>
      <c r="E15" s="163"/>
      <c r="F15" s="166"/>
      <c r="G15" s="166"/>
      <c r="H15" s="166"/>
      <c r="I15" s="166"/>
      <c r="J15" s="166"/>
    </row>
    <row r="16" spans="1:10" ht="15" customHeight="1" x14ac:dyDescent="0.2">
      <c r="A16" s="386">
        <v>21000</v>
      </c>
      <c r="B16" s="433" t="s">
        <v>84</v>
      </c>
      <c r="C16" s="429">
        <v>83314000</v>
      </c>
      <c r="D16" s="163"/>
      <c r="E16" s="163"/>
      <c r="F16" s="166"/>
      <c r="G16" s="166"/>
      <c r="H16" s="166"/>
      <c r="I16" s="166"/>
      <c r="J16" s="166"/>
    </row>
    <row r="17" spans="1:10" ht="15" customHeight="1" x14ac:dyDescent="0.2">
      <c r="A17" s="386">
        <v>22000</v>
      </c>
      <c r="B17" s="433" t="s">
        <v>85</v>
      </c>
      <c r="C17" s="428">
        <v>21521000</v>
      </c>
      <c r="D17" s="163"/>
      <c r="E17" s="167"/>
      <c r="F17" s="166"/>
      <c r="G17" s="166"/>
      <c r="H17" s="166"/>
      <c r="I17" s="166"/>
      <c r="J17" s="166"/>
    </row>
    <row r="18" spans="1:10" ht="15" customHeight="1" x14ac:dyDescent="0.2">
      <c r="A18" s="386">
        <v>23000</v>
      </c>
      <c r="B18" s="433" t="s">
        <v>86</v>
      </c>
      <c r="C18" s="428">
        <v>39343000</v>
      </c>
      <c r="D18" s="163"/>
      <c r="E18" s="167"/>
      <c r="F18" s="166"/>
      <c r="G18" s="166"/>
      <c r="H18" s="166"/>
      <c r="I18" s="166"/>
      <c r="J18" s="166"/>
    </row>
    <row r="19" spans="1:10" ht="15" customHeight="1" x14ac:dyDescent="0.2">
      <c r="A19" s="386">
        <v>24000</v>
      </c>
      <c r="B19" s="433" t="s">
        <v>87</v>
      </c>
      <c r="C19" s="428">
        <v>23833000</v>
      </c>
      <c r="D19" s="163"/>
      <c r="E19" s="163"/>
      <c r="F19" s="166"/>
      <c r="G19" s="166"/>
      <c r="H19" s="166"/>
      <c r="I19" s="166"/>
      <c r="J19" s="166"/>
    </row>
    <row r="20" spans="1:10" ht="15" customHeight="1" x14ac:dyDescent="0.2">
      <c r="A20" s="386">
        <v>25000</v>
      </c>
      <c r="B20" s="433" t="s">
        <v>88</v>
      </c>
      <c r="C20" s="428">
        <v>25555000</v>
      </c>
      <c r="D20" s="163"/>
      <c r="E20" s="163"/>
      <c r="F20" s="166"/>
      <c r="G20" s="166"/>
      <c r="H20" s="166"/>
      <c r="I20" s="166"/>
      <c r="J20" s="166"/>
    </row>
    <row r="21" spans="1:10" ht="15" customHeight="1" x14ac:dyDescent="0.2">
      <c r="A21" s="386">
        <v>26000</v>
      </c>
      <c r="B21" s="433" t="s">
        <v>89</v>
      </c>
      <c r="C21" s="428">
        <v>67292000</v>
      </c>
      <c r="D21" s="163"/>
      <c r="E21" s="168"/>
      <c r="F21" s="166"/>
      <c r="G21" s="166"/>
      <c r="H21" s="166"/>
      <c r="I21" s="166"/>
      <c r="J21" s="166"/>
    </row>
    <row r="22" spans="1:10" ht="15" customHeight="1" x14ac:dyDescent="0.2">
      <c r="A22" s="386">
        <v>27000</v>
      </c>
      <c r="B22" s="433" t="s">
        <v>90</v>
      </c>
      <c r="C22" s="428">
        <v>53637000</v>
      </c>
      <c r="D22" s="163"/>
      <c r="E22" s="167"/>
      <c r="F22" s="166"/>
      <c r="G22" s="166"/>
      <c r="H22" s="166"/>
      <c r="I22" s="166"/>
      <c r="J22" s="166"/>
    </row>
    <row r="23" spans="1:10" ht="15" customHeight="1" x14ac:dyDescent="0.2">
      <c r="A23" s="386">
        <v>28000</v>
      </c>
      <c r="B23" s="433" t="s">
        <v>91</v>
      </c>
      <c r="C23" s="428">
        <v>28040000</v>
      </c>
      <c r="D23" s="163"/>
      <c r="E23" s="167"/>
      <c r="F23" s="166"/>
      <c r="G23" s="166"/>
      <c r="H23" s="166"/>
      <c r="I23" s="166"/>
      <c r="J23" s="166"/>
    </row>
    <row r="24" spans="1:10" ht="15" customHeight="1" x14ac:dyDescent="0.2">
      <c r="A24" s="386">
        <v>31000</v>
      </c>
      <c r="B24" s="433" t="s">
        <v>92</v>
      </c>
      <c r="C24" s="428">
        <v>47746000</v>
      </c>
      <c r="D24" s="163"/>
      <c r="E24" s="167"/>
      <c r="F24" s="166"/>
      <c r="G24" s="166"/>
      <c r="H24" s="166"/>
      <c r="I24" s="166"/>
      <c r="J24" s="166"/>
    </row>
    <row r="25" spans="1:10" ht="15" customHeight="1" x14ac:dyDescent="0.2">
      <c r="A25" s="386">
        <v>41000</v>
      </c>
      <c r="B25" s="433" t="s">
        <v>93</v>
      </c>
      <c r="C25" s="428">
        <v>52828000</v>
      </c>
      <c r="D25" s="163"/>
      <c r="E25" s="163"/>
      <c r="F25" s="166"/>
      <c r="G25" s="166"/>
      <c r="H25" s="166"/>
      <c r="I25" s="166"/>
      <c r="J25" s="166"/>
    </row>
    <row r="26" spans="1:10" ht="15" customHeight="1" x14ac:dyDescent="0.2">
      <c r="A26" s="386">
        <v>43000</v>
      </c>
      <c r="B26" s="433" t="s">
        <v>94</v>
      </c>
      <c r="C26" s="428">
        <v>30575000</v>
      </c>
      <c r="D26" s="163"/>
      <c r="E26" s="163"/>
      <c r="F26" s="166"/>
      <c r="G26" s="166"/>
      <c r="H26" s="166"/>
      <c r="I26" s="166"/>
      <c r="J26" s="166"/>
    </row>
    <row r="27" spans="1:10" ht="15" customHeight="1" x14ac:dyDescent="0.2">
      <c r="A27" s="386">
        <v>51000</v>
      </c>
      <c r="B27" s="434" t="s">
        <v>95</v>
      </c>
      <c r="C27" s="429">
        <v>14734000</v>
      </c>
      <c r="D27" s="163"/>
      <c r="E27" s="163"/>
      <c r="F27" s="166"/>
      <c r="G27" s="166"/>
      <c r="H27" s="166"/>
      <c r="I27" s="166"/>
      <c r="J27" s="166"/>
    </row>
    <row r="28" spans="1:10" ht="15" customHeight="1" x14ac:dyDescent="0.2">
      <c r="A28" s="386">
        <v>52000</v>
      </c>
      <c r="B28" s="434" t="s">
        <v>96</v>
      </c>
      <c r="C28" s="429">
        <v>3101000</v>
      </c>
      <c r="D28" s="163"/>
      <c r="E28" s="163"/>
      <c r="F28" s="166"/>
      <c r="G28" s="166"/>
      <c r="H28" s="166"/>
      <c r="I28" s="166"/>
      <c r="J28" s="166"/>
    </row>
    <row r="29" spans="1:10" ht="15" customHeight="1" x14ac:dyDescent="0.2">
      <c r="A29" s="386">
        <v>53000</v>
      </c>
      <c r="B29" s="434" t="s">
        <v>97</v>
      </c>
      <c r="C29" s="429">
        <v>4488000</v>
      </c>
      <c r="D29" s="163"/>
      <c r="E29" s="169"/>
      <c r="F29" s="166"/>
      <c r="G29" s="166"/>
      <c r="H29" s="166"/>
      <c r="I29" s="166"/>
      <c r="J29" s="166"/>
    </row>
    <row r="30" spans="1:10" ht="15" customHeight="1" x14ac:dyDescent="0.2">
      <c r="A30" s="386">
        <v>54000</v>
      </c>
      <c r="B30" s="434" t="s">
        <v>98</v>
      </c>
      <c r="C30" s="429">
        <v>7568000</v>
      </c>
      <c r="D30" s="163"/>
      <c r="E30" s="163"/>
      <c r="F30" s="166"/>
      <c r="G30" s="166"/>
      <c r="H30" s="166"/>
      <c r="I30" s="166"/>
      <c r="J30" s="166"/>
    </row>
    <row r="31" spans="1:10" ht="15" customHeight="1" x14ac:dyDescent="0.2">
      <c r="A31" s="386">
        <v>55000</v>
      </c>
      <c r="B31" s="434" t="s">
        <v>99</v>
      </c>
      <c r="C31" s="429">
        <v>5928000</v>
      </c>
      <c r="D31" s="163"/>
      <c r="E31" s="167"/>
      <c r="F31" s="166"/>
      <c r="G31" s="166"/>
      <c r="H31" s="166"/>
      <c r="I31" s="166"/>
      <c r="J31" s="166"/>
    </row>
    <row r="32" spans="1:10" ht="15" customHeight="1" thickBot="1" x14ac:dyDescent="0.25">
      <c r="A32" s="387">
        <v>56000</v>
      </c>
      <c r="B32" s="435" t="s">
        <v>100</v>
      </c>
      <c r="C32" s="430">
        <v>7818000</v>
      </c>
      <c r="D32" s="163"/>
      <c r="E32" s="168"/>
      <c r="F32" s="166"/>
      <c r="G32" s="166"/>
      <c r="H32" s="166"/>
      <c r="I32" s="166"/>
      <c r="J32" s="166"/>
    </row>
    <row r="33" spans="1:10" ht="15" customHeight="1" thickBot="1" x14ac:dyDescent="0.25">
      <c r="A33" s="388"/>
      <c r="B33" s="410" t="s">
        <v>60</v>
      </c>
      <c r="C33" s="431">
        <v>1035000000</v>
      </c>
      <c r="D33" s="163"/>
      <c r="E33" s="170"/>
      <c r="F33" s="166"/>
      <c r="G33" s="166"/>
      <c r="H33" s="166"/>
      <c r="I33" s="166"/>
      <c r="J33" s="166"/>
    </row>
    <row r="34" spans="1:10" x14ac:dyDescent="0.2">
      <c r="A34" s="163"/>
      <c r="B34" s="163"/>
      <c r="C34" s="163"/>
      <c r="D34" s="163"/>
      <c r="E34" s="163"/>
      <c r="F34" s="166"/>
      <c r="G34" s="166"/>
      <c r="H34" s="166"/>
      <c r="I34" s="166"/>
      <c r="J34" s="166"/>
    </row>
    <row r="35" spans="1:10" x14ac:dyDescent="0.2">
      <c r="A35" s="794" t="s">
        <v>240</v>
      </c>
      <c r="B35" s="163"/>
      <c r="C35" s="163"/>
      <c r="D35" s="163"/>
      <c r="E35" s="163"/>
      <c r="F35" s="166"/>
      <c r="G35" s="166"/>
      <c r="H35" s="166"/>
      <c r="I35" s="166"/>
      <c r="J35" s="166"/>
    </row>
    <row r="36" spans="1:10" x14ac:dyDescent="0.2">
      <c r="A36" s="800"/>
      <c r="B36" s="163"/>
      <c r="C36" s="163"/>
      <c r="D36" s="163"/>
      <c r="E36" s="163"/>
      <c r="F36" s="166"/>
      <c r="G36" s="166"/>
      <c r="H36" s="166"/>
      <c r="I36" s="166"/>
      <c r="J36" s="166"/>
    </row>
    <row r="37" spans="1:10" x14ac:dyDescent="0.2">
      <c r="A37" s="163"/>
      <c r="B37" s="163"/>
      <c r="C37" s="163"/>
      <c r="D37" s="163"/>
      <c r="E37" s="163"/>
    </row>
    <row r="38" spans="1:10" x14ac:dyDescent="0.2">
      <c r="A38" s="163"/>
      <c r="B38" s="163"/>
      <c r="C38" s="163"/>
      <c r="D38" s="163"/>
      <c r="E38" s="163"/>
    </row>
    <row r="39" spans="1:10" x14ac:dyDescent="0.2">
      <c r="A39" s="163"/>
      <c r="B39" s="163"/>
      <c r="C39" s="163"/>
      <c r="D39" s="163"/>
      <c r="E39" s="163"/>
    </row>
    <row r="40" spans="1:10" x14ac:dyDescent="0.2">
      <c r="A40" s="163"/>
      <c r="B40" s="163"/>
      <c r="C40" s="163"/>
      <c r="D40" s="163"/>
      <c r="E40" s="163"/>
    </row>
    <row r="41" spans="1:10" x14ac:dyDescent="0.2">
      <c r="A41" s="163"/>
      <c r="B41" s="163"/>
      <c r="C41" s="163"/>
      <c r="D41" s="163"/>
      <c r="E41" s="163"/>
    </row>
    <row r="42" spans="1:10" x14ac:dyDescent="0.2">
      <c r="A42" s="163"/>
      <c r="B42" s="163"/>
      <c r="C42" s="163"/>
      <c r="D42" s="163"/>
      <c r="E42" s="163"/>
    </row>
    <row r="43" spans="1:10" x14ac:dyDescent="0.2">
      <c r="A43" s="163"/>
      <c r="B43" s="163"/>
      <c r="C43" s="163"/>
      <c r="D43" s="163"/>
      <c r="E43" s="163"/>
    </row>
    <row r="44" spans="1:10" x14ac:dyDescent="0.2">
      <c r="A44" s="163"/>
      <c r="B44" s="163"/>
      <c r="C44" s="163"/>
      <c r="D44" s="163"/>
      <c r="E44" s="163"/>
    </row>
    <row r="45" spans="1:10" x14ac:dyDescent="0.2">
      <c r="A45" s="163"/>
      <c r="B45" s="163"/>
      <c r="C45" s="163"/>
      <c r="D45" s="163"/>
      <c r="E45" s="163"/>
    </row>
    <row r="46" spans="1:10" x14ac:dyDescent="0.2">
      <c r="A46" s="163"/>
      <c r="B46" s="163"/>
      <c r="C46" s="163"/>
      <c r="D46" s="163"/>
      <c r="E46" s="163"/>
    </row>
  </sheetData>
  <hyperlinks>
    <hyperlink ref="A35" location="'0 Seznam'!A1" display="'0 Seznam'!A1"/>
  </hyperlinks>
  <pageMargins left="0.70866141732283472" right="0.70866141732283472" top="0.78740157480314965" bottom="0.78740157480314965" header="0.31496062992125984" footer="0.31496062992125984"/>
  <pageSetup paperSize="9" scale="99" orientation="portrait" r:id="rId1"/>
  <headerFooter>
    <oddHeader>&amp;LČ. j.: MSMT-1251/2018-1</oddHeader>
    <oddFooter>&amp;C&amp;A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0"/>
  <sheetViews>
    <sheetView topLeftCell="A19" zoomScaleNormal="100" workbookViewId="0">
      <selection activeCell="A40" sqref="A40"/>
    </sheetView>
  </sheetViews>
  <sheetFormatPr defaultRowHeight="14.25" x14ac:dyDescent="0.2"/>
  <cols>
    <col min="1" max="1" width="10.140625" style="171" customWidth="1"/>
    <col min="2" max="2" width="61.140625" style="171" customWidth="1"/>
    <col min="3" max="7" width="16.7109375" style="171" customWidth="1"/>
    <col min="8" max="8" width="13.7109375" style="171" bestFit="1" customWidth="1"/>
    <col min="9" max="9" width="18.5703125" style="171" customWidth="1"/>
    <col min="10" max="11" width="9.28515625" style="171" bestFit="1" customWidth="1"/>
    <col min="12" max="12" width="10.140625" style="171" bestFit="1" customWidth="1"/>
    <col min="13" max="14" width="9.28515625" style="171" bestFit="1" customWidth="1"/>
    <col min="15" max="257" width="9.140625" style="171"/>
    <col min="258" max="258" width="13.7109375" style="171" customWidth="1"/>
    <col min="259" max="259" width="12.7109375" style="171" customWidth="1"/>
    <col min="260" max="260" width="13.7109375" style="171" customWidth="1"/>
    <col min="261" max="261" width="14.7109375" style="171" customWidth="1"/>
    <col min="262" max="262" width="19.7109375" style="171" customWidth="1"/>
    <col min="263" max="263" width="15" style="171" customWidth="1"/>
    <col min="264" max="264" width="13.7109375" style="171" bestFit="1" customWidth="1"/>
    <col min="265" max="265" width="15.42578125" style="171" customWidth="1"/>
    <col min="266" max="513" width="9.140625" style="171"/>
    <col min="514" max="514" width="13.7109375" style="171" customWidth="1"/>
    <col min="515" max="515" width="12.7109375" style="171" customWidth="1"/>
    <col min="516" max="516" width="13.7109375" style="171" customWidth="1"/>
    <col min="517" max="517" width="14.7109375" style="171" customWidth="1"/>
    <col min="518" max="518" width="19.7109375" style="171" customWidth="1"/>
    <col min="519" max="519" width="15" style="171" customWidth="1"/>
    <col min="520" max="520" width="13.7109375" style="171" bestFit="1" customWidth="1"/>
    <col min="521" max="521" width="15.42578125" style="171" customWidth="1"/>
    <col min="522" max="769" width="9.140625" style="171"/>
    <col min="770" max="770" width="13.7109375" style="171" customWidth="1"/>
    <col min="771" max="771" width="12.7109375" style="171" customWidth="1"/>
    <col min="772" max="772" width="13.7109375" style="171" customWidth="1"/>
    <col min="773" max="773" width="14.7109375" style="171" customWidth="1"/>
    <col min="774" max="774" width="19.7109375" style="171" customWidth="1"/>
    <col min="775" max="775" width="15" style="171" customWidth="1"/>
    <col min="776" max="776" width="13.7109375" style="171" bestFit="1" customWidth="1"/>
    <col min="777" max="777" width="15.42578125" style="171" customWidth="1"/>
    <col min="778" max="1025" width="9.140625" style="171"/>
    <col min="1026" max="1026" width="13.7109375" style="171" customWidth="1"/>
    <col min="1027" max="1027" width="12.7109375" style="171" customWidth="1"/>
    <col min="1028" max="1028" width="13.7109375" style="171" customWidth="1"/>
    <col min="1029" max="1029" width="14.7109375" style="171" customWidth="1"/>
    <col min="1030" max="1030" width="19.7109375" style="171" customWidth="1"/>
    <col min="1031" max="1031" width="15" style="171" customWidth="1"/>
    <col min="1032" max="1032" width="13.7109375" style="171" bestFit="1" customWidth="1"/>
    <col min="1033" max="1033" width="15.42578125" style="171" customWidth="1"/>
    <col min="1034" max="1281" width="9.140625" style="171"/>
    <col min="1282" max="1282" width="13.7109375" style="171" customWidth="1"/>
    <col min="1283" max="1283" width="12.7109375" style="171" customWidth="1"/>
    <col min="1284" max="1284" width="13.7109375" style="171" customWidth="1"/>
    <col min="1285" max="1285" width="14.7109375" style="171" customWidth="1"/>
    <col min="1286" max="1286" width="19.7109375" style="171" customWidth="1"/>
    <col min="1287" max="1287" width="15" style="171" customWidth="1"/>
    <col min="1288" max="1288" width="13.7109375" style="171" bestFit="1" customWidth="1"/>
    <col min="1289" max="1289" width="15.42578125" style="171" customWidth="1"/>
    <col min="1290" max="1537" width="9.140625" style="171"/>
    <col min="1538" max="1538" width="13.7109375" style="171" customWidth="1"/>
    <col min="1539" max="1539" width="12.7109375" style="171" customWidth="1"/>
    <col min="1540" max="1540" width="13.7109375" style="171" customWidth="1"/>
    <col min="1541" max="1541" width="14.7109375" style="171" customWidth="1"/>
    <col min="1542" max="1542" width="19.7109375" style="171" customWidth="1"/>
    <col min="1543" max="1543" width="15" style="171" customWidth="1"/>
    <col min="1544" max="1544" width="13.7109375" style="171" bestFit="1" customWidth="1"/>
    <col min="1545" max="1545" width="15.42578125" style="171" customWidth="1"/>
    <col min="1546" max="1793" width="9.140625" style="171"/>
    <col min="1794" max="1794" width="13.7109375" style="171" customWidth="1"/>
    <col min="1795" max="1795" width="12.7109375" style="171" customWidth="1"/>
    <col min="1796" max="1796" width="13.7109375" style="171" customWidth="1"/>
    <col min="1797" max="1797" width="14.7109375" style="171" customWidth="1"/>
    <col min="1798" max="1798" width="19.7109375" style="171" customWidth="1"/>
    <col min="1799" max="1799" width="15" style="171" customWidth="1"/>
    <col min="1800" max="1800" width="13.7109375" style="171" bestFit="1" customWidth="1"/>
    <col min="1801" max="1801" width="15.42578125" style="171" customWidth="1"/>
    <col min="1802" max="2049" width="9.140625" style="171"/>
    <col min="2050" max="2050" width="13.7109375" style="171" customWidth="1"/>
    <col min="2051" max="2051" width="12.7109375" style="171" customWidth="1"/>
    <col min="2052" max="2052" width="13.7109375" style="171" customWidth="1"/>
    <col min="2053" max="2053" width="14.7109375" style="171" customWidth="1"/>
    <col min="2054" max="2054" width="19.7109375" style="171" customWidth="1"/>
    <col min="2055" max="2055" width="15" style="171" customWidth="1"/>
    <col min="2056" max="2056" width="13.7109375" style="171" bestFit="1" customWidth="1"/>
    <col min="2057" max="2057" width="15.42578125" style="171" customWidth="1"/>
    <col min="2058" max="2305" width="9.140625" style="171"/>
    <col min="2306" max="2306" width="13.7109375" style="171" customWidth="1"/>
    <col min="2307" max="2307" width="12.7109375" style="171" customWidth="1"/>
    <col min="2308" max="2308" width="13.7109375" style="171" customWidth="1"/>
    <col min="2309" max="2309" width="14.7109375" style="171" customWidth="1"/>
    <col min="2310" max="2310" width="19.7109375" style="171" customWidth="1"/>
    <col min="2311" max="2311" width="15" style="171" customWidth="1"/>
    <col min="2312" max="2312" width="13.7109375" style="171" bestFit="1" customWidth="1"/>
    <col min="2313" max="2313" width="15.42578125" style="171" customWidth="1"/>
    <col min="2314" max="2561" width="9.140625" style="171"/>
    <col min="2562" max="2562" width="13.7109375" style="171" customWidth="1"/>
    <col min="2563" max="2563" width="12.7109375" style="171" customWidth="1"/>
    <col min="2564" max="2564" width="13.7109375" style="171" customWidth="1"/>
    <col min="2565" max="2565" width="14.7109375" style="171" customWidth="1"/>
    <col min="2566" max="2566" width="19.7109375" style="171" customWidth="1"/>
    <col min="2567" max="2567" width="15" style="171" customWidth="1"/>
    <col min="2568" max="2568" width="13.7109375" style="171" bestFit="1" customWidth="1"/>
    <col min="2569" max="2569" width="15.42578125" style="171" customWidth="1"/>
    <col min="2570" max="2817" width="9.140625" style="171"/>
    <col min="2818" max="2818" width="13.7109375" style="171" customWidth="1"/>
    <col min="2819" max="2819" width="12.7109375" style="171" customWidth="1"/>
    <col min="2820" max="2820" width="13.7109375" style="171" customWidth="1"/>
    <col min="2821" max="2821" width="14.7109375" style="171" customWidth="1"/>
    <col min="2822" max="2822" width="19.7109375" style="171" customWidth="1"/>
    <col min="2823" max="2823" width="15" style="171" customWidth="1"/>
    <col min="2824" max="2824" width="13.7109375" style="171" bestFit="1" customWidth="1"/>
    <col min="2825" max="2825" width="15.42578125" style="171" customWidth="1"/>
    <col min="2826" max="3073" width="9.140625" style="171"/>
    <col min="3074" max="3074" width="13.7109375" style="171" customWidth="1"/>
    <col min="3075" max="3075" width="12.7109375" style="171" customWidth="1"/>
    <col min="3076" max="3076" width="13.7109375" style="171" customWidth="1"/>
    <col min="3077" max="3077" width="14.7109375" style="171" customWidth="1"/>
    <col min="3078" max="3078" width="19.7109375" style="171" customWidth="1"/>
    <col min="3079" max="3079" width="15" style="171" customWidth="1"/>
    <col min="3080" max="3080" width="13.7109375" style="171" bestFit="1" customWidth="1"/>
    <col min="3081" max="3081" width="15.42578125" style="171" customWidth="1"/>
    <col min="3082" max="3329" width="9.140625" style="171"/>
    <col min="3330" max="3330" width="13.7109375" style="171" customWidth="1"/>
    <col min="3331" max="3331" width="12.7109375" style="171" customWidth="1"/>
    <col min="3332" max="3332" width="13.7109375" style="171" customWidth="1"/>
    <col min="3333" max="3333" width="14.7109375" style="171" customWidth="1"/>
    <col min="3334" max="3334" width="19.7109375" style="171" customWidth="1"/>
    <col min="3335" max="3335" width="15" style="171" customWidth="1"/>
    <col min="3336" max="3336" width="13.7109375" style="171" bestFit="1" customWidth="1"/>
    <col min="3337" max="3337" width="15.42578125" style="171" customWidth="1"/>
    <col min="3338" max="3585" width="9.140625" style="171"/>
    <col min="3586" max="3586" width="13.7109375" style="171" customWidth="1"/>
    <col min="3587" max="3587" width="12.7109375" style="171" customWidth="1"/>
    <col min="3588" max="3588" width="13.7109375" style="171" customWidth="1"/>
    <col min="3589" max="3589" width="14.7109375" style="171" customWidth="1"/>
    <col min="3590" max="3590" width="19.7109375" style="171" customWidth="1"/>
    <col min="3591" max="3591" width="15" style="171" customWidth="1"/>
    <col min="3592" max="3592" width="13.7109375" style="171" bestFit="1" customWidth="1"/>
    <col min="3593" max="3593" width="15.42578125" style="171" customWidth="1"/>
    <col min="3594" max="3841" width="9.140625" style="171"/>
    <col min="3842" max="3842" width="13.7109375" style="171" customWidth="1"/>
    <col min="3843" max="3843" width="12.7109375" style="171" customWidth="1"/>
    <col min="3844" max="3844" width="13.7109375" style="171" customWidth="1"/>
    <col min="3845" max="3845" width="14.7109375" style="171" customWidth="1"/>
    <col min="3846" max="3846" width="19.7109375" style="171" customWidth="1"/>
    <col min="3847" max="3847" width="15" style="171" customWidth="1"/>
    <col min="3848" max="3848" width="13.7109375" style="171" bestFit="1" customWidth="1"/>
    <col min="3849" max="3849" width="15.42578125" style="171" customWidth="1"/>
    <col min="3850" max="4097" width="9.140625" style="171"/>
    <col min="4098" max="4098" width="13.7109375" style="171" customWidth="1"/>
    <col min="4099" max="4099" width="12.7109375" style="171" customWidth="1"/>
    <col min="4100" max="4100" width="13.7109375" style="171" customWidth="1"/>
    <col min="4101" max="4101" width="14.7109375" style="171" customWidth="1"/>
    <col min="4102" max="4102" width="19.7109375" style="171" customWidth="1"/>
    <col min="4103" max="4103" width="15" style="171" customWidth="1"/>
    <col min="4104" max="4104" width="13.7109375" style="171" bestFit="1" customWidth="1"/>
    <col min="4105" max="4105" width="15.42578125" style="171" customWidth="1"/>
    <col min="4106" max="4353" width="9.140625" style="171"/>
    <col min="4354" max="4354" width="13.7109375" style="171" customWidth="1"/>
    <col min="4355" max="4355" width="12.7109375" style="171" customWidth="1"/>
    <col min="4356" max="4356" width="13.7109375" style="171" customWidth="1"/>
    <col min="4357" max="4357" width="14.7109375" style="171" customWidth="1"/>
    <col min="4358" max="4358" width="19.7109375" style="171" customWidth="1"/>
    <col min="4359" max="4359" width="15" style="171" customWidth="1"/>
    <col min="4360" max="4360" width="13.7109375" style="171" bestFit="1" customWidth="1"/>
    <col min="4361" max="4361" width="15.42578125" style="171" customWidth="1"/>
    <col min="4362" max="4609" width="9.140625" style="171"/>
    <col min="4610" max="4610" width="13.7109375" style="171" customWidth="1"/>
    <col min="4611" max="4611" width="12.7109375" style="171" customWidth="1"/>
    <col min="4612" max="4612" width="13.7109375" style="171" customWidth="1"/>
    <col min="4613" max="4613" width="14.7109375" style="171" customWidth="1"/>
    <col min="4614" max="4614" width="19.7109375" style="171" customWidth="1"/>
    <col min="4615" max="4615" width="15" style="171" customWidth="1"/>
    <col min="4616" max="4616" width="13.7109375" style="171" bestFit="1" customWidth="1"/>
    <col min="4617" max="4617" width="15.42578125" style="171" customWidth="1"/>
    <col min="4618" max="4865" width="9.140625" style="171"/>
    <col min="4866" max="4866" width="13.7109375" style="171" customWidth="1"/>
    <col min="4867" max="4867" width="12.7109375" style="171" customWidth="1"/>
    <col min="4868" max="4868" width="13.7109375" style="171" customWidth="1"/>
    <col min="4869" max="4869" width="14.7109375" style="171" customWidth="1"/>
    <col min="4870" max="4870" width="19.7109375" style="171" customWidth="1"/>
    <col min="4871" max="4871" width="15" style="171" customWidth="1"/>
    <col min="4872" max="4872" width="13.7109375" style="171" bestFit="1" customWidth="1"/>
    <col min="4873" max="4873" width="15.42578125" style="171" customWidth="1"/>
    <col min="4874" max="5121" width="9.140625" style="171"/>
    <col min="5122" max="5122" width="13.7109375" style="171" customWidth="1"/>
    <col min="5123" max="5123" width="12.7109375" style="171" customWidth="1"/>
    <col min="5124" max="5124" width="13.7109375" style="171" customWidth="1"/>
    <col min="5125" max="5125" width="14.7109375" style="171" customWidth="1"/>
    <col min="5126" max="5126" width="19.7109375" style="171" customWidth="1"/>
    <col min="5127" max="5127" width="15" style="171" customWidth="1"/>
    <col min="5128" max="5128" width="13.7109375" style="171" bestFit="1" customWidth="1"/>
    <col min="5129" max="5129" width="15.42578125" style="171" customWidth="1"/>
    <col min="5130" max="5377" width="9.140625" style="171"/>
    <col min="5378" max="5378" width="13.7109375" style="171" customWidth="1"/>
    <col min="5379" max="5379" width="12.7109375" style="171" customWidth="1"/>
    <col min="5380" max="5380" width="13.7109375" style="171" customWidth="1"/>
    <col min="5381" max="5381" width="14.7109375" style="171" customWidth="1"/>
    <col min="5382" max="5382" width="19.7109375" style="171" customWidth="1"/>
    <col min="5383" max="5383" width="15" style="171" customWidth="1"/>
    <col min="5384" max="5384" width="13.7109375" style="171" bestFit="1" customWidth="1"/>
    <col min="5385" max="5385" width="15.42578125" style="171" customWidth="1"/>
    <col min="5386" max="5633" width="9.140625" style="171"/>
    <col min="5634" max="5634" width="13.7109375" style="171" customWidth="1"/>
    <col min="5635" max="5635" width="12.7109375" style="171" customWidth="1"/>
    <col min="5636" max="5636" width="13.7109375" style="171" customWidth="1"/>
    <col min="5637" max="5637" width="14.7109375" style="171" customWidth="1"/>
    <col min="5638" max="5638" width="19.7109375" style="171" customWidth="1"/>
    <col min="5639" max="5639" width="15" style="171" customWidth="1"/>
    <col min="5640" max="5640" width="13.7109375" style="171" bestFit="1" customWidth="1"/>
    <col min="5641" max="5641" width="15.42578125" style="171" customWidth="1"/>
    <col min="5642" max="5889" width="9.140625" style="171"/>
    <col min="5890" max="5890" width="13.7109375" style="171" customWidth="1"/>
    <col min="5891" max="5891" width="12.7109375" style="171" customWidth="1"/>
    <col min="5892" max="5892" width="13.7109375" style="171" customWidth="1"/>
    <col min="5893" max="5893" width="14.7109375" style="171" customWidth="1"/>
    <col min="5894" max="5894" width="19.7109375" style="171" customWidth="1"/>
    <col min="5895" max="5895" width="15" style="171" customWidth="1"/>
    <col min="5896" max="5896" width="13.7109375" style="171" bestFit="1" customWidth="1"/>
    <col min="5897" max="5897" width="15.42578125" style="171" customWidth="1"/>
    <col min="5898" max="6145" width="9.140625" style="171"/>
    <col min="6146" max="6146" width="13.7109375" style="171" customWidth="1"/>
    <col min="6147" max="6147" width="12.7109375" style="171" customWidth="1"/>
    <col min="6148" max="6148" width="13.7109375" style="171" customWidth="1"/>
    <col min="6149" max="6149" width="14.7109375" style="171" customWidth="1"/>
    <col min="6150" max="6150" width="19.7109375" style="171" customWidth="1"/>
    <col min="6151" max="6151" width="15" style="171" customWidth="1"/>
    <col min="6152" max="6152" width="13.7109375" style="171" bestFit="1" customWidth="1"/>
    <col min="6153" max="6153" width="15.42578125" style="171" customWidth="1"/>
    <col min="6154" max="6401" width="9.140625" style="171"/>
    <col min="6402" max="6402" width="13.7109375" style="171" customWidth="1"/>
    <col min="6403" max="6403" width="12.7109375" style="171" customWidth="1"/>
    <col min="6404" max="6404" width="13.7109375" style="171" customWidth="1"/>
    <col min="6405" max="6405" width="14.7109375" style="171" customWidth="1"/>
    <col min="6406" max="6406" width="19.7109375" style="171" customWidth="1"/>
    <col min="6407" max="6407" width="15" style="171" customWidth="1"/>
    <col min="6408" max="6408" width="13.7109375" style="171" bestFit="1" customWidth="1"/>
    <col min="6409" max="6409" width="15.42578125" style="171" customWidth="1"/>
    <col min="6410" max="6657" width="9.140625" style="171"/>
    <col min="6658" max="6658" width="13.7109375" style="171" customWidth="1"/>
    <col min="6659" max="6659" width="12.7109375" style="171" customWidth="1"/>
    <col min="6660" max="6660" width="13.7109375" style="171" customWidth="1"/>
    <col min="6661" max="6661" width="14.7109375" style="171" customWidth="1"/>
    <col min="6662" max="6662" width="19.7109375" style="171" customWidth="1"/>
    <col min="6663" max="6663" width="15" style="171" customWidth="1"/>
    <col min="6664" max="6664" width="13.7109375" style="171" bestFit="1" customWidth="1"/>
    <col min="6665" max="6665" width="15.42578125" style="171" customWidth="1"/>
    <col min="6666" max="6913" width="9.140625" style="171"/>
    <col min="6914" max="6914" width="13.7109375" style="171" customWidth="1"/>
    <col min="6915" max="6915" width="12.7109375" style="171" customWidth="1"/>
    <col min="6916" max="6916" width="13.7109375" style="171" customWidth="1"/>
    <col min="6917" max="6917" width="14.7109375" style="171" customWidth="1"/>
    <col min="6918" max="6918" width="19.7109375" style="171" customWidth="1"/>
    <col min="6919" max="6919" width="15" style="171" customWidth="1"/>
    <col min="6920" max="6920" width="13.7109375" style="171" bestFit="1" customWidth="1"/>
    <col min="6921" max="6921" width="15.42578125" style="171" customWidth="1"/>
    <col min="6922" max="7169" width="9.140625" style="171"/>
    <col min="7170" max="7170" width="13.7109375" style="171" customWidth="1"/>
    <col min="7171" max="7171" width="12.7109375" style="171" customWidth="1"/>
    <col min="7172" max="7172" width="13.7109375" style="171" customWidth="1"/>
    <col min="7173" max="7173" width="14.7109375" style="171" customWidth="1"/>
    <col min="7174" max="7174" width="19.7109375" style="171" customWidth="1"/>
    <col min="7175" max="7175" width="15" style="171" customWidth="1"/>
    <col min="7176" max="7176" width="13.7109375" style="171" bestFit="1" customWidth="1"/>
    <col min="7177" max="7177" width="15.42578125" style="171" customWidth="1"/>
    <col min="7178" max="7425" width="9.140625" style="171"/>
    <col min="7426" max="7426" width="13.7109375" style="171" customWidth="1"/>
    <col min="7427" max="7427" width="12.7109375" style="171" customWidth="1"/>
    <col min="7428" max="7428" width="13.7109375" style="171" customWidth="1"/>
    <col min="7429" max="7429" width="14.7109375" style="171" customWidth="1"/>
    <col min="7430" max="7430" width="19.7109375" style="171" customWidth="1"/>
    <col min="7431" max="7431" width="15" style="171" customWidth="1"/>
    <col min="7432" max="7432" width="13.7109375" style="171" bestFit="1" customWidth="1"/>
    <col min="7433" max="7433" width="15.42578125" style="171" customWidth="1"/>
    <col min="7434" max="7681" width="9.140625" style="171"/>
    <col min="7682" max="7682" width="13.7109375" style="171" customWidth="1"/>
    <col min="7683" max="7683" width="12.7109375" style="171" customWidth="1"/>
    <col min="7684" max="7684" width="13.7109375" style="171" customWidth="1"/>
    <col min="7685" max="7685" width="14.7109375" style="171" customWidth="1"/>
    <col min="7686" max="7686" width="19.7109375" style="171" customWidth="1"/>
    <col min="7687" max="7687" width="15" style="171" customWidth="1"/>
    <col min="7688" max="7688" width="13.7109375" style="171" bestFit="1" customWidth="1"/>
    <col min="7689" max="7689" width="15.42578125" style="171" customWidth="1"/>
    <col min="7690" max="7937" width="9.140625" style="171"/>
    <col min="7938" max="7938" width="13.7109375" style="171" customWidth="1"/>
    <col min="7939" max="7939" width="12.7109375" style="171" customWidth="1"/>
    <col min="7940" max="7940" width="13.7109375" style="171" customWidth="1"/>
    <col min="7941" max="7941" width="14.7109375" style="171" customWidth="1"/>
    <col min="7942" max="7942" width="19.7109375" style="171" customWidth="1"/>
    <col min="7943" max="7943" width="15" style="171" customWidth="1"/>
    <col min="7944" max="7944" width="13.7109375" style="171" bestFit="1" customWidth="1"/>
    <col min="7945" max="7945" width="15.42578125" style="171" customWidth="1"/>
    <col min="7946" max="8193" width="9.140625" style="171"/>
    <col min="8194" max="8194" width="13.7109375" style="171" customWidth="1"/>
    <col min="8195" max="8195" width="12.7109375" style="171" customWidth="1"/>
    <col min="8196" max="8196" width="13.7109375" style="171" customWidth="1"/>
    <col min="8197" max="8197" width="14.7109375" style="171" customWidth="1"/>
    <col min="8198" max="8198" width="19.7109375" style="171" customWidth="1"/>
    <col min="8199" max="8199" width="15" style="171" customWidth="1"/>
    <col min="8200" max="8200" width="13.7109375" style="171" bestFit="1" customWidth="1"/>
    <col min="8201" max="8201" width="15.42578125" style="171" customWidth="1"/>
    <col min="8202" max="8449" width="9.140625" style="171"/>
    <col min="8450" max="8450" width="13.7109375" style="171" customWidth="1"/>
    <col min="8451" max="8451" width="12.7109375" style="171" customWidth="1"/>
    <col min="8452" max="8452" width="13.7109375" style="171" customWidth="1"/>
    <col min="8453" max="8453" width="14.7109375" style="171" customWidth="1"/>
    <col min="8454" max="8454" width="19.7109375" style="171" customWidth="1"/>
    <col min="8455" max="8455" width="15" style="171" customWidth="1"/>
    <col min="8456" max="8456" width="13.7109375" style="171" bestFit="1" customWidth="1"/>
    <col min="8457" max="8457" width="15.42578125" style="171" customWidth="1"/>
    <col min="8458" max="8705" width="9.140625" style="171"/>
    <col min="8706" max="8706" width="13.7109375" style="171" customWidth="1"/>
    <col min="8707" max="8707" width="12.7109375" style="171" customWidth="1"/>
    <col min="8708" max="8708" width="13.7109375" style="171" customWidth="1"/>
    <col min="8709" max="8709" width="14.7109375" style="171" customWidth="1"/>
    <col min="8710" max="8710" width="19.7109375" style="171" customWidth="1"/>
    <col min="8711" max="8711" width="15" style="171" customWidth="1"/>
    <col min="8712" max="8712" width="13.7109375" style="171" bestFit="1" customWidth="1"/>
    <col min="8713" max="8713" width="15.42578125" style="171" customWidth="1"/>
    <col min="8714" max="8961" width="9.140625" style="171"/>
    <col min="8962" max="8962" width="13.7109375" style="171" customWidth="1"/>
    <col min="8963" max="8963" width="12.7109375" style="171" customWidth="1"/>
    <col min="8964" max="8964" width="13.7109375" style="171" customWidth="1"/>
    <col min="8965" max="8965" width="14.7109375" style="171" customWidth="1"/>
    <col min="8966" max="8966" width="19.7109375" style="171" customWidth="1"/>
    <col min="8967" max="8967" width="15" style="171" customWidth="1"/>
    <col min="8968" max="8968" width="13.7109375" style="171" bestFit="1" customWidth="1"/>
    <col min="8969" max="8969" width="15.42578125" style="171" customWidth="1"/>
    <col min="8970" max="9217" width="9.140625" style="171"/>
    <col min="9218" max="9218" width="13.7109375" style="171" customWidth="1"/>
    <col min="9219" max="9219" width="12.7109375" style="171" customWidth="1"/>
    <col min="9220" max="9220" width="13.7109375" style="171" customWidth="1"/>
    <col min="9221" max="9221" width="14.7109375" style="171" customWidth="1"/>
    <col min="9222" max="9222" width="19.7109375" style="171" customWidth="1"/>
    <col min="9223" max="9223" width="15" style="171" customWidth="1"/>
    <col min="9224" max="9224" width="13.7109375" style="171" bestFit="1" customWidth="1"/>
    <col min="9225" max="9225" width="15.42578125" style="171" customWidth="1"/>
    <col min="9226" max="9473" width="9.140625" style="171"/>
    <col min="9474" max="9474" width="13.7109375" style="171" customWidth="1"/>
    <col min="9475" max="9475" width="12.7109375" style="171" customWidth="1"/>
    <col min="9476" max="9476" width="13.7109375" style="171" customWidth="1"/>
    <col min="9477" max="9477" width="14.7109375" style="171" customWidth="1"/>
    <col min="9478" max="9478" width="19.7109375" style="171" customWidth="1"/>
    <col min="9479" max="9479" width="15" style="171" customWidth="1"/>
    <col min="9480" max="9480" width="13.7109375" style="171" bestFit="1" customWidth="1"/>
    <col min="9481" max="9481" width="15.42578125" style="171" customWidth="1"/>
    <col min="9482" max="9729" width="9.140625" style="171"/>
    <col min="9730" max="9730" width="13.7109375" style="171" customWidth="1"/>
    <col min="9731" max="9731" width="12.7109375" style="171" customWidth="1"/>
    <col min="9732" max="9732" width="13.7109375" style="171" customWidth="1"/>
    <col min="9733" max="9733" width="14.7109375" style="171" customWidth="1"/>
    <col min="9734" max="9734" width="19.7109375" style="171" customWidth="1"/>
    <col min="9735" max="9735" width="15" style="171" customWidth="1"/>
    <col min="9736" max="9736" width="13.7109375" style="171" bestFit="1" customWidth="1"/>
    <col min="9737" max="9737" width="15.42578125" style="171" customWidth="1"/>
    <col min="9738" max="9985" width="9.140625" style="171"/>
    <col min="9986" max="9986" width="13.7109375" style="171" customWidth="1"/>
    <col min="9987" max="9987" width="12.7109375" style="171" customWidth="1"/>
    <col min="9988" max="9988" width="13.7109375" style="171" customWidth="1"/>
    <col min="9989" max="9989" width="14.7109375" style="171" customWidth="1"/>
    <col min="9990" max="9990" width="19.7109375" style="171" customWidth="1"/>
    <col min="9991" max="9991" width="15" style="171" customWidth="1"/>
    <col min="9992" max="9992" width="13.7109375" style="171" bestFit="1" customWidth="1"/>
    <col min="9993" max="9993" width="15.42578125" style="171" customWidth="1"/>
    <col min="9994" max="10241" width="9.140625" style="171"/>
    <col min="10242" max="10242" width="13.7109375" style="171" customWidth="1"/>
    <col min="10243" max="10243" width="12.7109375" style="171" customWidth="1"/>
    <col min="10244" max="10244" width="13.7109375" style="171" customWidth="1"/>
    <col min="10245" max="10245" width="14.7109375" style="171" customWidth="1"/>
    <col min="10246" max="10246" width="19.7109375" style="171" customWidth="1"/>
    <col min="10247" max="10247" width="15" style="171" customWidth="1"/>
    <col min="10248" max="10248" width="13.7109375" style="171" bestFit="1" customWidth="1"/>
    <col min="10249" max="10249" width="15.42578125" style="171" customWidth="1"/>
    <col min="10250" max="10497" width="9.140625" style="171"/>
    <col min="10498" max="10498" width="13.7109375" style="171" customWidth="1"/>
    <col min="10499" max="10499" width="12.7109375" style="171" customWidth="1"/>
    <col min="10500" max="10500" width="13.7109375" style="171" customWidth="1"/>
    <col min="10501" max="10501" width="14.7109375" style="171" customWidth="1"/>
    <col min="10502" max="10502" width="19.7109375" style="171" customWidth="1"/>
    <col min="10503" max="10503" width="15" style="171" customWidth="1"/>
    <col min="10504" max="10504" width="13.7109375" style="171" bestFit="1" customWidth="1"/>
    <col min="10505" max="10505" width="15.42578125" style="171" customWidth="1"/>
    <col min="10506" max="10753" width="9.140625" style="171"/>
    <col min="10754" max="10754" width="13.7109375" style="171" customWidth="1"/>
    <col min="10755" max="10755" width="12.7109375" style="171" customWidth="1"/>
    <col min="10756" max="10756" width="13.7109375" style="171" customWidth="1"/>
    <col min="10757" max="10757" width="14.7109375" style="171" customWidth="1"/>
    <col min="10758" max="10758" width="19.7109375" style="171" customWidth="1"/>
    <col min="10759" max="10759" width="15" style="171" customWidth="1"/>
    <col min="10760" max="10760" width="13.7109375" style="171" bestFit="1" customWidth="1"/>
    <col min="10761" max="10761" width="15.42578125" style="171" customWidth="1"/>
    <col min="10762" max="11009" width="9.140625" style="171"/>
    <col min="11010" max="11010" width="13.7109375" style="171" customWidth="1"/>
    <col min="11011" max="11011" width="12.7109375" style="171" customWidth="1"/>
    <col min="11012" max="11012" width="13.7109375" style="171" customWidth="1"/>
    <col min="11013" max="11013" width="14.7109375" style="171" customWidth="1"/>
    <col min="11014" max="11014" width="19.7109375" style="171" customWidth="1"/>
    <col min="11015" max="11015" width="15" style="171" customWidth="1"/>
    <col min="11016" max="11016" width="13.7109375" style="171" bestFit="1" customWidth="1"/>
    <col min="11017" max="11017" width="15.42578125" style="171" customWidth="1"/>
    <col min="11018" max="11265" width="9.140625" style="171"/>
    <col min="11266" max="11266" width="13.7109375" style="171" customWidth="1"/>
    <col min="11267" max="11267" width="12.7109375" style="171" customWidth="1"/>
    <col min="11268" max="11268" width="13.7109375" style="171" customWidth="1"/>
    <col min="11269" max="11269" width="14.7109375" style="171" customWidth="1"/>
    <col min="11270" max="11270" width="19.7109375" style="171" customWidth="1"/>
    <col min="11271" max="11271" width="15" style="171" customWidth="1"/>
    <col min="11272" max="11272" width="13.7109375" style="171" bestFit="1" customWidth="1"/>
    <col min="11273" max="11273" width="15.42578125" style="171" customWidth="1"/>
    <col min="11274" max="11521" width="9.140625" style="171"/>
    <col min="11522" max="11522" width="13.7109375" style="171" customWidth="1"/>
    <col min="11523" max="11523" width="12.7109375" style="171" customWidth="1"/>
    <col min="11524" max="11524" width="13.7109375" style="171" customWidth="1"/>
    <col min="11525" max="11525" width="14.7109375" style="171" customWidth="1"/>
    <col min="11526" max="11526" width="19.7109375" style="171" customWidth="1"/>
    <col min="11527" max="11527" width="15" style="171" customWidth="1"/>
    <col min="11528" max="11528" width="13.7109375" style="171" bestFit="1" customWidth="1"/>
    <col min="11529" max="11529" width="15.42578125" style="171" customWidth="1"/>
    <col min="11530" max="11777" width="9.140625" style="171"/>
    <col min="11778" max="11778" width="13.7109375" style="171" customWidth="1"/>
    <col min="11779" max="11779" width="12.7109375" style="171" customWidth="1"/>
    <col min="11780" max="11780" width="13.7109375" style="171" customWidth="1"/>
    <col min="11781" max="11781" width="14.7109375" style="171" customWidth="1"/>
    <col min="11782" max="11782" width="19.7109375" style="171" customWidth="1"/>
    <col min="11783" max="11783" width="15" style="171" customWidth="1"/>
    <col min="11784" max="11784" width="13.7109375" style="171" bestFit="1" customWidth="1"/>
    <col min="11785" max="11785" width="15.42578125" style="171" customWidth="1"/>
    <col min="11786" max="12033" width="9.140625" style="171"/>
    <col min="12034" max="12034" width="13.7109375" style="171" customWidth="1"/>
    <col min="12035" max="12035" width="12.7109375" style="171" customWidth="1"/>
    <col min="12036" max="12036" width="13.7109375" style="171" customWidth="1"/>
    <col min="12037" max="12037" width="14.7109375" style="171" customWidth="1"/>
    <col min="12038" max="12038" width="19.7109375" style="171" customWidth="1"/>
    <col min="12039" max="12039" width="15" style="171" customWidth="1"/>
    <col min="12040" max="12040" width="13.7109375" style="171" bestFit="1" customWidth="1"/>
    <col min="12041" max="12041" width="15.42578125" style="171" customWidth="1"/>
    <col min="12042" max="12289" width="9.140625" style="171"/>
    <col min="12290" max="12290" width="13.7109375" style="171" customWidth="1"/>
    <col min="12291" max="12291" width="12.7109375" style="171" customWidth="1"/>
    <col min="12292" max="12292" width="13.7109375" style="171" customWidth="1"/>
    <col min="12293" max="12293" width="14.7109375" style="171" customWidth="1"/>
    <col min="12294" max="12294" width="19.7109375" style="171" customWidth="1"/>
    <col min="12295" max="12295" width="15" style="171" customWidth="1"/>
    <col min="12296" max="12296" width="13.7109375" style="171" bestFit="1" customWidth="1"/>
    <col min="12297" max="12297" width="15.42578125" style="171" customWidth="1"/>
    <col min="12298" max="12545" width="9.140625" style="171"/>
    <col min="12546" max="12546" width="13.7109375" style="171" customWidth="1"/>
    <col min="12547" max="12547" width="12.7109375" style="171" customWidth="1"/>
    <col min="12548" max="12548" width="13.7109375" style="171" customWidth="1"/>
    <col min="12549" max="12549" width="14.7109375" style="171" customWidth="1"/>
    <col min="12550" max="12550" width="19.7109375" style="171" customWidth="1"/>
    <col min="12551" max="12551" width="15" style="171" customWidth="1"/>
    <col min="12552" max="12552" width="13.7109375" style="171" bestFit="1" customWidth="1"/>
    <col min="12553" max="12553" width="15.42578125" style="171" customWidth="1"/>
    <col min="12554" max="12801" width="9.140625" style="171"/>
    <col min="12802" max="12802" width="13.7109375" style="171" customWidth="1"/>
    <col min="12803" max="12803" width="12.7109375" style="171" customWidth="1"/>
    <col min="12804" max="12804" width="13.7109375" style="171" customWidth="1"/>
    <col min="12805" max="12805" width="14.7109375" style="171" customWidth="1"/>
    <col min="12806" max="12806" width="19.7109375" style="171" customWidth="1"/>
    <col min="12807" max="12807" width="15" style="171" customWidth="1"/>
    <col min="12808" max="12808" width="13.7109375" style="171" bestFit="1" customWidth="1"/>
    <col min="12809" max="12809" width="15.42578125" style="171" customWidth="1"/>
    <col min="12810" max="13057" width="9.140625" style="171"/>
    <col min="13058" max="13058" width="13.7109375" style="171" customWidth="1"/>
    <col min="13059" max="13059" width="12.7109375" style="171" customWidth="1"/>
    <col min="13060" max="13060" width="13.7109375" style="171" customWidth="1"/>
    <col min="13061" max="13061" width="14.7109375" style="171" customWidth="1"/>
    <col min="13062" max="13062" width="19.7109375" style="171" customWidth="1"/>
    <col min="13063" max="13063" width="15" style="171" customWidth="1"/>
    <col min="13064" max="13064" width="13.7109375" style="171" bestFit="1" customWidth="1"/>
    <col min="13065" max="13065" width="15.42578125" style="171" customWidth="1"/>
    <col min="13066" max="13313" width="9.140625" style="171"/>
    <col min="13314" max="13314" width="13.7109375" style="171" customWidth="1"/>
    <col min="13315" max="13315" width="12.7109375" style="171" customWidth="1"/>
    <col min="13316" max="13316" width="13.7109375" style="171" customWidth="1"/>
    <col min="13317" max="13317" width="14.7109375" style="171" customWidth="1"/>
    <col min="13318" max="13318" width="19.7109375" style="171" customWidth="1"/>
    <col min="13319" max="13319" width="15" style="171" customWidth="1"/>
    <col min="13320" max="13320" width="13.7109375" style="171" bestFit="1" customWidth="1"/>
    <col min="13321" max="13321" width="15.42578125" style="171" customWidth="1"/>
    <col min="13322" max="13569" width="9.140625" style="171"/>
    <col min="13570" max="13570" width="13.7109375" style="171" customWidth="1"/>
    <col min="13571" max="13571" width="12.7109375" style="171" customWidth="1"/>
    <col min="13572" max="13572" width="13.7109375" style="171" customWidth="1"/>
    <col min="13573" max="13573" width="14.7109375" style="171" customWidth="1"/>
    <col min="13574" max="13574" width="19.7109375" style="171" customWidth="1"/>
    <col min="13575" max="13575" width="15" style="171" customWidth="1"/>
    <col min="13576" max="13576" width="13.7109375" style="171" bestFit="1" customWidth="1"/>
    <col min="13577" max="13577" width="15.42578125" style="171" customWidth="1"/>
    <col min="13578" max="13825" width="9.140625" style="171"/>
    <col min="13826" max="13826" width="13.7109375" style="171" customWidth="1"/>
    <col min="13827" max="13827" width="12.7109375" style="171" customWidth="1"/>
    <col min="13828" max="13828" width="13.7109375" style="171" customWidth="1"/>
    <col min="13829" max="13829" width="14.7109375" style="171" customWidth="1"/>
    <col min="13830" max="13830" width="19.7109375" style="171" customWidth="1"/>
    <col min="13831" max="13831" width="15" style="171" customWidth="1"/>
    <col min="13832" max="13832" width="13.7109375" style="171" bestFit="1" customWidth="1"/>
    <col min="13833" max="13833" width="15.42578125" style="171" customWidth="1"/>
    <col min="13834" max="14081" width="9.140625" style="171"/>
    <col min="14082" max="14082" width="13.7109375" style="171" customWidth="1"/>
    <col min="14083" max="14083" width="12.7109375" style="171" customWidth="1"/>
    <col min="14084" max="14084" width="13.7109375" style="171" customWidth="1"/>
    <col min="14085" max="14085" width="14.7109375" style="171" customWidth="1"/>
    <col min="14086" max="14086" width="19.7109375" style="171" customWidth="1"/>
    <col min="14087" max="14087" width="15" style="171" customWidth="1"/>
    <col min="14088" max="14088" width="13.7109375" style="171" bestFit="1" customWidth="1"/>
    <col min="14089" max="14089" width="15.42578125" style="171" customWidth="1"/>
    <col min="14090" max="14337" width="9.140625" style="171"/>
    <col min="14338" max="14338" width="13.7109375" style="171" customWidth="1"/>
    <col min="14339" max="14339" width="12.7109375" style="171" customWidth="1"/>
    <col min="14340" max="14340" width="13.7109375" style="171" customWidth="1"/>
    <col min="14341" max="14341" width="14.7109375" style="171" customWidth="1"/>
    <col min="14342" max="14342" width="19.7109375" style="171" customWidth="1"/>
    <col min="14343" max="14343" width="15" style="171" customWidth="1"/>
    <col min="14344" max="14344" width="13.7109375" style="171" bestFit="1" customWidth="1"/>
    <col min="14345" max="14345" width="15.42578125" style="171" customWidth="1"/>
    <col min="14346" max="14593" width="9.140625" style="171"/>
    <col min="14594" max="14594" width="13.7109375" style="171" customWidth="1"/>
    <col min="14595" max="14595" width="12.7109375" style="171" customWidth="1"/>
    <col min="14596" max="14596" width="13.7109375" style="171" customWidth="1"/>
    <col min="14597" max="14597" width="14.7109375" style="171" customWidth="1"/>
    <col min="14598" max="14598" width="19.7109375" style="171" customWidth="1"/>
    <col min="14599" max="14599" width="15" style="171" customWidth="1"/>
    <col min="14600" max="14600" width="13.7109375" style="171" bestFit="1" customWidth="1"/>
    <col min="14601" max="14601" width="15.42578125" style="171" customWidth="1"/>
    <col min="14602" max="14849" width="9.140625" style="171"/>
    <col min="14850" max="14850" width="13.7109375" style="171" customWidth="1"/>
    <col min="14851" max="14851" width="12.7109375" style="171" customWidth="1"/>
    <col min="14852" max="14852" width="13.7109375" style="171" customWidth="1"/>
    <col min="14853" max="14853" width="14.7109375" style="171" customWidth="1"/>
    <col min="14854" max="14854" width="19.7109375" style="171" customWidth="1"/>
    <col min="14855" max="14855" width="15" style="171" customWidth="1"/>
    <col min="14856" max="14856" width="13.7109375" style="171" bestFit="1" customWidth="1"/>
    <col min="14857" max="14857" width="15.42578125" style="171" customWidth="1"/>
    <col min="14858" max="15105" width="9.140625" style="171"/>
    <col min="15106" max="15106" width="13.7109375" style="171" customWidth="1"/>
    <col min="15107" max="15107" width="12.7109375" style="171" customWidth="1"/>
    <col min="15108" max="15108" width="13.7109375" style="171" customWidth="1"/>
    <col min="15109" max="15109" width="14.7109375" style="171" customWidth="1"/>
    <col min="15110" max="15110" width="19.7109375" style="171" customWidth="1"/>
    <col min="15111" max="15111" width="15" style="171" customWidth="1"/>
    <col min="15112" max="15112" width="13.7109375" style="171" bestFit="1" customWidth="1"/>
    <col min="15113" max="15113" width="15.42578125" style="171" customWidth="1"/>
    <col min="15114" max="15361" width="9.140625" style="171"/>
    <col min="15362" max="15362" width="13.7109375" style="171" customWidth="1"/>
    <col min="15363" max="15363" width="12.7109375" style="171" customWidth="1"/>
    <col min="15364" max="15364" width="13.7109375" style="171" customWidth="1"/>
    <col min="15365" max="15365" width="14.7109375" style="171" customWidth="1"/>
    <col min="15366" max="15366" width="19.7109375" style="171" customWidth="1"/>
    <col min="15367" max="15367" width="15" style="171" customWidth="1"/>
    <col min="15368" max="15368" width="13.7109375" style="171" bestFit="1" customWidth="1"/>
    <col min="15369" max="15369" width="15.42578125" style="171" customWidth="1"/>
    <col min="15370" max="15617" width="9.140625" style="171"/>
    <col min="15618" max="15618" width="13.7109375" style="171" customWidth="1"/>
    <col min="15619" max="15619" width="12.7109375" style="171" customWidth="1"/>
    <col min="15620" max="15620" width="13.7109375" style="171" customWidth="1"/>
    <col min="15621" max="15621" width="14.7109375" style="171" customWidth="1"/>
    <col min="15622" max="15622" width="19.7109375" style="171" customWidth="1"/>
    <col min="15623" max="15623" width="15" style="171" customWidth="1"/>
    <col min="15624" max="15624" width="13.7109375" style="171" bestFit="1" customWidth="1"/>
    <col min="15625" max="15625" width="15.42578125" style="171" customWidth="1"/>
    <col min="15626" max="15873" width="9.140625" style="171"/>
    <col min="15874" max="15874" width="13.7109375" style="171" customWidth="1"/>
    <col min="15875" max="15875" width="12.7109375" style="171" customWidth="1"/>
    <col min="15876" max="15876" width="13.7109375" style="171" customWidth="1"/>
    <col min="15877" max="15877" width="14.7109375" style="171" customWidth="1"/>
    <col min="15878" max="15878" width="19.7109375" style="171" customWidth="1"/>
    <col min="15879" max="15879" width="15" style="171" customWidth="1"/>
    <col min="15880" max="15880" width="13.7109375" style="171" bestFit="1" customWidth="1"/>
    <col min="15881" max="15881" width="15.42578125" style="171" customWidth="1"/>
    <col min="15882" max="16129" width="9.140625" style="171"/>
    <col min="16130" max="16130" width="13.7109375" style="171" customWidth="1"/>
    <col min="16131" max="16131" width="12.7109375" style="171" customWidth="1"/>
    <col min="16132" max="16132" width="13.7109375" style="171" customWidth="1"/>
    <col min="16133" max="16133" width="14.7109375" style="171" customWidth="1"/>
    <col min="16134" max="16134" width="19.7109375" style="171" customWidth="1"/>
    <col min="16135" max="16135" width="15" style="171" customWidth="1"/>
    <col min="16136" max="16136" width="13.7109375" style="171" bestFit="1" customWidth="1"/>
    <col min="16137" max="16137" width="15.42578125" style="171" customWidth="1"/>
    <col min="16138" max="16384" width="9.140625" style="171"/>
  </cols>
  <sheetData>
    <row r="1" spans="1:14" ht="24.75" customHeight="1" x14ac:dyDescent="0.2">
      <c r="A1" s="682" t="s">
        <v>113</v>
      </c>
      <c r="C1" s="172"/>
      <c r="D1" s="172"/>
      <c r="E1" s="172"/>
      <c r="F1" s="172"/>
      <c r="G1" s="172"/>
    </row>
    <row r="3" spans="1:14" ht="20.25" x14ac:dyDescent="0.2">
      <c r="A3" s="173" t="s">
        <v>232</v>
      </c>
    </row>
    <row r="4" spans="1:14" s="174" customFormat="1" ht="13.5" thickBot="1" x14ac:dyDescent="0.25">
      <c r="G4" s="305" t="s">
        <v>145</v>
      </c>
    </row>
    <row r="5" spans="1:14" x14ac:dyDescent="0.2">
      <c r="A5" s="989" t="s">
        <v>61</v>
      </c>
      <c r="B5" s="991" t="s">
        <v>103</v>
      </c>
      <c r="C5" s="338" t="s">
        <v>150</v>
      </c>
      <c r="D5" s="338"/>
      <c r="E5" s="338"/>
      <c r="F5" s="339"/>
      <c r="G5" s="993" t="s">
        <v>114</v>
      </c>
    </row>
    <row r="6" spans="1:14" ht="26.25" thickBot="1" x14ac:dyDescent="0.25">
      <c r="A6" s="990"/>
      <c r="B6" s="992"/>
      <c r="C6" s="421" t="s">
        <v>115</v>
      </c>
      <c r="D6" s="340" t="s">
        <v>116</v>
      </c>
      <c r="E6" s="340" t="s">
        <v>117</v>
      </c>
      <c r="F6" s="340" t="s">
        <v>118</v>
      </c>
      <c r="G6" s="994"/>
    </row>
    <row r="7" spans="1:14" ht="15" customHeight="1" x14ac:dyDescent="0.2">
      <c r="A7" s="397">
        <v>11000</v>
      </c>
      <c r="B7" s="415" t="s">
        <v>143</v>
      </c>
      <c r="C7" s="422">
        <v>749288</v>
      </c>
      <c r="D7" s="398">
        <v>73861</v>
      </c>
      <c r="E7" s="398">
        <f>+D7*0.4</f>
        <v>29544.400000000001</v>
      </c>
      <c r="F7" s="398">
        <f>C7+E7</f>
        <v>778832.4</v>
      </c>
      <c r="G7" s="399">
        <f>ROUND(F7*G$35,-3)</f>
        <v>13980000</v>
      </c>
      <c r="H7" s="178"/>
      <c r="I7" s="226"/>
      <c r="J7" s="226"/>
      <c r="K7" s="226"/>
      <c r="L7" s="226"/>
      <c r="M7" s="226"/>
      <c r="N7" s="226"/>
    </row>
    <row r="8" spans="1:14" ht="15" customHeight="1" x14ac:dyDescent="0.2">
      <c r="A8" s="400">
        <v>12000</v>
      </c>
      <c r="B8" s="416" t="s">
        <v>78</v>
      </c>
      <c r="C8" s="422">
        <v>333880</v>
      </c>
      <c r="D8" s="398">
        <v>16220</v>
      </c>
      <c r="E8" s="398">
        <f t="shared" ref="E8:E32" si="0">+D8*0.4</f>
        <v>6488</v>
      </c>
      <c r="F8" s="398">
        <f>C8+E8</f>
        <v>340368</v>
      </c>
      <c r="G8" s="399">
        <f t="shared" ref="G8:G32" si="1">ROUND(F8*G$35,-3)</f>
        <v>6110000</v>
      </c>
      <c r="I8" s="226"/>
      <c r="J8" s="226"/>
      <c r="K8" s="226"/>
      <c r="L8" s="226"/>
      <c r="M8" s="226"/>
      <c r="N8" s="226"/>
    </row>
    <row r="9" spans="1:14" ht="15" customHeight="1" x14ac:dyDescent="0.2">
      <c r="A9" s="400">
        <v>13000</v>
      </c>
      <c r="B9" s="416" t="s">
        <v>79</v>
      </c>
      <c r="C9" s="422">
        <v>18553</v>
      </c>
      <c r="D9" s="398">
        <v>5442</v>
      </c>
      <c r="E9" s="398">
        <f t="shared" si="0"/>
        <v>2176.8000000000002</v>
      </c>
      <c r="F9" s="398">
        <f t="shared" ref="F9:F32" si="2">C9+E9</f>
        <v>20729.8</v>
      </c>
      <c r="G9" s="399">
        <f t="shared" si="1"/>
        <v>372000</v>
      </c>
      <c r="I9" s="226"/>
      <c r="J9" s="226"/>
      <c r="K9" s="226"/>
      <c r="L9" s="226"/>
      <c r="M9" s="226"/>
      <c r="N9" s="226"/>
    </row>
    <row r="10" spans="1:14" ht="15" customHeight="1" x14ac:dyDescent="0.2">
      <c r="A10" s="400">
        <v>14000</v>
      </c>
      <c r="B10" s="416" t="s">
        <v>80</v>
      </c>
      <c r="C10" s="422">
        <v>1262090</v>
      </c>
      <c r="D10" s="398">
        <v>104631</v>
      </c>
      <c r="E10" s="398">
        <f t="shared" si="0"/>
        <v>41852.400000000001</v>
      </c>
      <c r="F10" s="398">
        <f t="shared" si="2"/>
        <v>1303942.3999999999</v>
      </c>
      <c r="G10" s="399">
        <f t="shared" si="1"/>
        <v>23406000</v>
      </c>
      <c r="I10" s="226"/>
      <c r="J10" s="226"/>
      <c r="K10" s="226"/>
      <c r="L10" s="226"/>
      <c r="M10" s="226"/>
      <c r="N10" s="226"/>
    </row>
    <row r="11" spans="1:14" ht="15" customHeight="1" x14ac:dyDescent="0.2">
      <c r="A11" s="400">
        <v>15000</v>
      </c>
      <c r="B11" s="416" t="s">
        <v>81</v>
      </c>
      <c r="C11" s="422">
        <v>479434</v>
      </c>
      <c r="D11" s="398">
        <v>32905</v>
      </c>
      <c r="E11" s="398">
        <f t="shared" si="0"/>
        <v>13162</v>
      </c>
      <c r="F11" s="398">
        <f t="shared" si="2"/>
        <v>492596</v>
      </c>
      <c r="G11" s="399">
        <f t="shared" si="1"/>
        <v>8842000</v>
      </c>
      <c r="I11" s="226"/>
      <c r="J11" s="226"/>
      <c r="K11" s="226"/>
      <c r="L11" s="226"/>
      <c r="M11" s="226"/>
      <c r="N11" s="226"/>
    </row>
    <row r="12" spans="1:14" ht="15" customHeight="1" x14ac:dyDescent="0.2">
      <c r="A12" s="400">
        <v>16000</v>
      </c>
      <c r="B12" s="416" t="s">
        <v>82</v>
      </c>
      <c r="C12" s="422">
        <v>0</v>
      </c>
      <c r="D12" s="398">
        <v>0</v>
      </c>
      <c r="E12" s="398">
        <f t="shared" si="0"/>
        <v>0</v>
      </c>
      <c r="F12" s="398">
        <f t="shared" si="2"/>
        <v>0</v>
      </c>
      <c r="G12" s="399">
        <f t="shared" si="1"/>
        <v>0</v>
      </c>
      <c r="I12" s="226"/>
      <c r="J12" s="226"/>
      <c r="K12" s="226"/>
      <c r="L12" s="226"/>
      <c r="M12" s="226"/>
      <c r="N12" s="226"/>
    </row>
    <row r="13" spans="1:14" ht="15" customHeight="1" x14ac:dyDescent="0.2">
      <c r="A13" s="400">
        <v>17000</v>
      </c>
      <c r="B13" s="416" t="s">
        <v>142</v>
      </c>
      <c r="C13" s="422">
        <v>17695</v>
      </c>
      <c r="D13" s="398">
        <v>5</v>
      </c>
      <c r="E13" s="398">
        <f t="shared" si="0"/>
        <v>2</v>
      </c>
      <c r="F13" s="398">
        <f t="shared" si="2"/>
        <v>17697</v>
      </c>
      <c r="G13" s="399">
        <f t="shared" si="1"/>
        <v>318000</v>
      </c>
      <c r="I13" s="226"/>
      <c r="J13" s="226"/>
      <c r="K13" s="226"/>
      <c r="L13" s="226"/>
      <c r="M13" s="226"/>
      <c r="N13" s="226"/>
    </row>
    <row r="14" spans="1:14" ht="15" customHeight="1" x14ac:dyDescent="0.2">
      <c r="A14" s="400">
        <v>18000</v>
      </c>
      <c r="B14" s="416" t="s">
        <v>75</v>
      </c>
      <c r="C14" s="422">
        <v>16826</v>
      </c>
      <c r="D14" s="398">
        <v>0</v>
      </c>
      <c r="E14" s="398">
        <f t="shared" si="0"/>
        <v>0</v>
      </c>
      <c r="F14" s="398">
        <f t="shared" si="2"/>
        <v>16826</v>
      </c>
      <c r="G14" s="399">
        <f t="shared" si="1"/>
        <v>302000</v>
      </c>
      <c r="I14" s="226"/>
      <c r="J14" s="226"/>
      <c r="K14" s="226"/>
      <c r="L14" s="226"/>
      <c r="M14" s="226"/>
      <c r="N14" s="226"/>
    </row>
    <row r="15" spans="1:14" ht="15" customHeight="1" x14ac:dyDescent="0.2">
      <c r="A15" s="400">
        <v>19000</v>
      </c>
      <c r="B15" s="416" t="s">
        <v>83</v>
      </c>
      <c r="C15" s="422">
        <v>164800</v>
      </c>
      <c r="D15" s="398">
        <v>22358</v>
      </c>
      <c r="E15" s="398">
        <f t="shared" si="0"/>
        <v>8943.2000000000007</v>
      </c>
      <c r="F15" s="398">
        <f t="shared" si="2"/>
        <v>173743.2</v>
      </c>
      <c r="G15" s="399">
        <f t="shared" si="1"/>
        <v>3119000</v>
      </c>
      <c r="I15" s="226"/>
      <c r="J15" s="226"/>
      <c r="K15" s="226"/>
      <c r="L15" s="226"/>
      <c r="M15" s="226"/>
      <c r="N15" s="226"/>
    </row>
    <row r="16" spans="1:14" ht="15" customHeight="1" x14ac:dyDescent="0.2">
      <c r="A16" s="400">
        <v>21000</v>
      </c>
      <c r="B16" s="416" t="s">
        <v>84</v>
      </c>
      <c r="C16" s="422">
        <v>850037</v>
      </c>
      <c r="D16" s="398">
        <v>136148</v>
      </c>
      <c r="E16" s="398">
        <f t="shared" si="0"/>
        <v>54459.200000000004</v>
      </c>
      <c r="F16" s="398">
        <f t="shared" si="2"/>
        <v>904496.2</v>
      </c>
      <c r="G16" s="399">
        <f t="shared" si="1"/>
        <v>16236000</v>
      </c>
      <c r="I16" s="226"/>
      <c r="J16" s="226"/>
      <c r="K16" s="226"/>
      <c r="L16" s="226"/>
      <c r="M16" s="226"/>
      <c r="N16" s="226"/>
    </row>
    <row r="17" spans="1:14" ht="15" customHeight="1" x14ac:dyDescent="0.2">
      <c r="A17" s="400">
        <v>22000</v>
      </c>
      <c r="B17" s="416" t="s">
        <v>85</v>
      </c>
      <c r="C17" s="422">
        <v>76248</v>
      </c>
      <c r="D17" s="398">
        <v>5876</v>
      </c>
      <c r="E17" s="398">
        <f t="shared" si="0"/>
        <v>2350.4</v>
      </c>
      <c r="F17" s="398">
        <f t="shared" si="2"/>
        <v>78598.399999999994</v>
      </c>
      <c r="G17" s="399">
        <f t="shared" si="1"/>
        <v>1411000</v>
      </c>
      <c r="I17" s="226"/>
      <c r="J17" s="226"/>
      <c r="K17" s="226"/>
      <c r="L17" s="226"/>
      <c r="M17" s="226"/>
      <c r="N17" s="226"/>
    </row>
    <row r="18" spans="1:14" ht="15" customHeight="1" x14ac:dyDescent="0.2">
      <c r="A18" s="400">
        <v>23000</v>
      </c>
      <c r="B18" s="416" t="s">
        <v>86</v>
      </c>
      <c r="C18" s="422">
        <v>358680</v>
      </c>
      <c r="D18" s="398">
        <v>24284</v>
      </c>
      <c r="E18" s="398">
        <f t="shared" si="0"/>
        <v>9713.6</v>
      </c>
      <c r="F18" s="398">
        <f t="shared" si="2"/>
        <v>368393.6</v>
      </c>
      <c r="G18" s="399">
        <f t="shared" si="1"/>
        <v>6613000</v>
      </c>
      <c r="I18" s="226"/>
      <c r="J18" s="226"/>
      <c r="K18" s="226"/>
      <c r="L18" s="226"/>
      <c r="M18" s="226"/>
      <c r="N18" s="226"/>
    </row>
    <row r="19" spans="1:14" ht="15" customHeight="1" x14ac:dyDescent="0.2">
      <c r="A19" s="400">
        <v>24000</v>
      </c>
      <c r="B19" s="416" t="s">
        <v>87</v>
      </c>
      <c r="C19" s="422">
        <v>117596</v>
      </c>
      <c r="D19" s="398">
        <v>15197</v>
      </c>
      <c r="E19" s="398">
        <f t="shared" si="0"/>
        <v>6078.8</v>
      </c>
      <c r="F19" s="398">
        <f t="shared" si="2"/>
        <v>123674.8</v>
      </c>
      <c r="G19" s="399">
        <f t="shared" si="1"/>
        <v>2220000</v>
      </c>
      <c r="I19" s="226"/>
      <c r="J19" s="226"/>
      <c r="K19" s="226"/>
      <c r="L19" s="226"/>
      <c r="M19" s="226"/>
      <c r="N19" s="226"/>
    </row>
    <row r="20" spans="1:14" ht="15" customHeight="1" x14ac:dyDescent="0.2">
      <c r="A20" s="400">
        <v>25000</v>
      </c>
      <c r="B20" s="416" t="s">
        <v>88</v>
      </c>
      <c r="C20" s="422">
        <v>187912</v>
      </c>
      <c r="D20" s="398">
        <v>14385</v>
      </c>
      <c r="E20" s="398">
        <f t="shared" si="0"/>
        <v>5754</v>
      </c>
      <c r="F20" s="398">
        <f t="shared" si="2"/>
        <v>193666</v>
      </c>
      <c r="G20" s="399">
        <f t="shared" si="1"/>
        <v>3476000</v>
      </c>
      <c r="I20" s="226"/>
      <c r="J20" s="226"/>
      <c r="K20" s="226"/>
      <c r="L20" s="226"/>
      <c r="M20" s="226"/>
      <c r="N20" s="226"/>
    </row>
    <row r="21" spans="1:14" ht="15" customHeight="1" x14ac:dyDescent="0.2">
      <c r="A21" s="400">
        <v>26000</v>
      </c>
      <c r="B21" s="416" t="s">
        <v>89</v>
      </c>
      <c r="C21" s="422">
        <v>743632</v>
      </c>
      <c r="D21" s="398">
        <v>67432</v>
      </c>
      <c r="E21" s="398">
        <f t="shared" si="0"/>
        <v>26972.800000000003</v>
      </c>
      <c r="F21" s="398">
        <f t="shared" si="2"/>
        <v>770604.8</v>
      </c>
      <c r="G21" s="399">
        <f t="shared" si="1"/>
        <v>13832000</v>
      </c>
      <c r="I21" s="226"/>
      <c r="J21" s="226"/>
      <c r="K21" s="226"/>
      <c r="L21" s="226"/>
      <c r="M21" s="226"/>
      <c r="N21" s="226"/>
    </row>
    <row r="22" spans="1:14" ht="15" customHeight="1" x14ac:dyDescent="0.2">
      <c r="A22" s="400">
        <v>27000</v>
      </c>
      <c r="B22" s="416" t="s">
        <v>90</v>
      </c>
      <c r="C22" s="422">
        <v>178476</v>
      </c>
      <c r="D22" s="398">
        <v>72939</v>
      </c>
      <c r="E22" s="398">
        <f t="shared" si="0"/>
        <v>29175.600000000002</v>
      </c>
      <c r="F22" s="398">
        <f t="shared" si="2"/>
        <v>207651.6</v>
      </c>
      <c r="G22" s="399">
        <f t="shared" si="1"/>
        <v>3727000</v>
      </c>
      <c r="I22" s="226"/>
      <c r="J22" s="226"/>
      <c r="K22" s="226"/>
      <c r="L22" s="226"/>
      <c r="M22" s="226"/>
      <c r="N22" s="226"/>
    </row>
    <row r="23" spans="1:14" ht="15" customHeight="1" x14ac:dyDescent="0.2">
      <c r="A23" s="400">
        <v>28000</v>
      </c>
      <c r="B23" s="416" t="s">
        <v>91</v>
      </c>
      <c r="C23" s="422">
        <v>168337</v>
      </c>
      <c r="D23" s="398">
        <v>14352</v>
      </c>
      <c r="E23" s="398">
        <f t="shared" si="0"/>
        <v>5740.8</v>
      </c>
      <c r="F23" s="398">
        <f t="shared" si="2"/>
        <v>174077.8</v>
      </c>
      <c r="G23" s="399">
        <f t="shared" si="1"/>
        <v>3125000</v>
      </c>
      <c r="I23" s="226"/>
      <c r="J23" s="226"/>
      <c r="K23" s="226"/>
      <c r="L23" s="226"/>
      <c r="M23" s="226"/>
      <c r="N23" s="226"/>
    </row>
    <row r="24" spans="1:14" ht="15" customHeight="1" x14ac:dyDescent="0.2">
      <c r="A24" s="400">
        <v>31000</v>
      </c>
      <c r="B24" s="416" t="s">
        <v>92</v>
      </c>
      <c r="C24" s="422">
        <v>273981</v>
      </c>
      <c r="D24" s="398">
        <v>3200</v>
      </c>
      <c r="E24" s="398">
        <f t="shared" si="0"/>
        <v>1280</v>
      </c>
      <c r="F24" s="398">
        <f t="shared" si="2"/>
        <v>275261</v>
      </c>
      <c r="G24" s="399">
        <f t="shared" si="1"/>
        <v>4941000</v>
      </c>
      <c r="I24" s="226"/>
      <c r="J24" s="226"/>
      <c r="K24" s="226"/>
      <c r="L24" s="226"/>
      <c r="M24" s="226"/>
      <c r="N24" s="226"/>
    </row>
    <row r="25" spans="1:14" ht="15" customHeight="1" x14ac:dyDescent="0.2">
      <c r="A25" s="400">
        <v>41000</v>
      </c>
      <c r="B25" s="416" t="s">
        <v>93</v>
      </c>
      <c r="C25" s="422">
        <v>223315</v>
      </c>
      <c r="D25" s="398">
        <v>1672</v>
      </c>
      <c r="E25" s="398">
        <f t="shared" si="0"/>
        <v>668.80000000000007</v>
      </c>
      <c r="F25" s="398">
        <f>C25+E25</f>
        <v>223983.8</v>
      </c>
      <c r="G25" s="399">
        <f t="shared" si="1"/>
        <v>4021000</v>
      </c>
      <c r="I25" s="226"/>
      <c r="J25" s="226"/>
      <c r="K25" s="226"/>
      <c r="L25" s="226"/>
      <c r="M25" s="226"/>
      <c r="N25" s="226"/>
    </row>
    <row r="26" spans="1:14" ht="15" customHeight="1" x14ac:dyDescent="0.2">
      <c r="A26" s="400">
        <v>43000</v>
      </c>
      <c r="B26" s="416" t="s">
        <v>94</v>
      </c>
      <c r="C26" s="422">
        <v>322518</v>
      </c>
      <c r="D26" s="398">
        <v>27535</v>
      </c>
      <c r="E26" s="398">
        <f t="shared" si="0"/>
        <v>11014</v>
      </c>
      <c r="F26" s="398">
        <f t="shared" si="2"/>
        <v>333532</v>
      </c>
      <c r="G26" s="399">
        <f t="shared" si="1"/>
        <v>5987000</v>
      </c>
      <c r="I26" s="226"/>
      <c r="J26" s="226"/>
      <c r="K26" s="226"/>
      <c r="L26" s="226"/>
      <c r="M26" s="226"/>
      <c r="N26" s="226"/>
    </row>
    <row r="27" spans="1:14" ht="15" customHeight="1" x14ac:dyDescent="0.2">
      <c r="A27" s="400">
        <v>51000</v>
      </c>
      <c r="B27" s="416" t="s">
        <v>95</v>
      </c>
      <c r="C27" s="422">
        <v>0</v>
      </c>
      <c r="D27" s="398">
        <v>0</v>
      </c>
      <c r="E27" s="398">
        <f t="shared" si="0"/>
        <v>0</v>
      </c>
      <c r="F27" s="398">
        <f t="shared" si="2"/>
        <v>0</v>
      </c>
      <c r="G27" s="399">
        <f t="shared" si="1"/>
        <v>0</v>
      </c>
      <c r="I27" s="226"/>
      <c r="J27" s="226"/>
      <c r="K27" s="226"/>
      <c r="L27" s="226"/>
      <c r="M27" s="226"/>
      <c r="N27" s="226"/>
    </row>
    <row r="28" spans="1:14" ht="15" customHeight="1" x14ac:dyDescent="0.2">
      <c r="A28" s="400">
        <v>52000</v>
      </c>
      <c r="B28" s="416" t="s">
        <v>96</v>
      </c>
      <c r="C28" s="422">
        <v>10515</v>
      </c>
      <c r="D28" s="398">
        <v>0</v>
      </c>
      <c r="E28" s="398">
        <f t="shared" si="0"/>
        <v>0</v>
      </c>
      <c r="F28" s="398">
        <f t="shared" si="2"/>
        <v>10515</v>
      </c>
      <c r="G28" s="399">
        <f t="shared" si="1"/>
        <v>189000</v>
      </c>
      <c r="I28" s="226"/>
      <c r="J28" s="226"/>
      <c r="K28" s="226"/>
      <c r="L28" s="226"/>
      <c r="M28" s="226"/>
      <c r="N28" s="226"/>
    </row>
    <row r="29" spans="1:14" ht="15" customHeight="1" x14ac:dyDescent="0.2">
      <c r="A29" s="400">
        <v>53000</v>
      </c>
      <c r="B29" s="416" t="s">
        <v>97</v>
      </c>
      <c r="C29" s="422">
        <v>0</v>
      </c>
      <c r="D29" s="398">
        <v>0</v>
      </c>
      <c r="E29" s="398">
        <f t="shared" si="0"/>
        <v>0</v>
      </c>
      <c r="F29" s="398">
        <f t="shared" si="2"/>
        <v>0</v>
      </c>
      <c r="G29" s="399">
        <f t="shared" si="1"/>
        <v>0</v>
      </c>
      <c r="I29" s="226"/>
      <c r="J29" s="226"/>
      <c r="K29" s="226"/>
      <c r="L29" s="226"/>
      <c r="M29" s="226"/>
      <c r="N29" s="226"/>
    </row>
    <row r="30" spans="1:14" ht="15" customHeight="1" x14ac:dyDescent="0.2">
      <c r="A30" s="400">
        <v>54000</v>
      </c>
      <c r="B30" s="416" t="s">
        <v>98</v>
      </c>
      <c r="C30" s="422">
        <v>0</v>
      </c>
      <c r="D30" s="398">
        <v>0</v>
      </c>
      <c r="E30" s="398">
        <f t="shared" si="0"/>
        <v>0</v>
      </c>
      <c r="F30" s="398">
        <f t="shared" si="2"/>
        <v>0</v>
      </c>
      <c r="G30" s="399">
        <f t="shared" si="1"/>
        <v>0</v>
      </c>
      <c r="I30" s="226"/>
      <c r="J30" s="226"/>
      <c r="K30" s="226"/>
      <c r="L30" s="226"/>
      <c r="M30" s="226"/>
      <c r="N30" s="226"/>
    </row>
    <row r="31" spans="1:14" ht="15" customHeight="1" x14ac:dyDescent="0.2">
      <c r="A31" s="400">
        <v>55000</v>
      </c>
      <c r="B31" s="416" t="s">
        <v>99</v>
      </c>
      <c r="C31" s="422">
        <v>26429</v>
      </c>
      <c r="D31" s="398">
        <v>0</v>
      </c>
      <c r="E31" s="398">
        <f t="shared" si="0"/>
        <v>0</v>
      </c>
      <c r="F31" s="398">
        <f t="shared" si="2"/>
        <v>26429</v>
      </c>
      <c r="G31" s="399">
        <f t="shared" si="1"/>
        <v>474000</v>
      </c>
      <c r="I31" s="226"/>
      <c r="J31" s="226"/>
      <c r="K31" s="226"/>
      <c r="L31" s="226"/>
      <c r="M31" s="226"/>
      <c r="N31" s="226"/>
    </row>
    <row r="32" spans="1:14" ht="15" customHeight="1" thickBot="1" x14ac:dyDescent="0.25">
      <c r="A32" s="401">
        <v>56000</v>
      </c>
      <c r="B32" s="417" t="s">
        <v>100</v>
      </c>
      <c r="C32" s="423">
        <v>15981</v>
      </c>
      <c r="D32" s="402">
        <v>5860</v>
      </c>
      <c r="E32" s="402">
        <f t="shared" si="0"/>
        <v>2344</v>
      </c>
      <c r="F32" s="402">
        <f t="shared" si="2"/>
        <v>18325</v>
      </c>
      <c r="G32" s="399">
        <f t="shared" si="1"/>
        <v>329000</v>
      </c>
      <c r="I32" s="226"/>
      <c r="J32" s="226"/>
      <c r="K32" s="226"/>
      <c r="L32" s="226"/>
      <c r="M32" s="226"/>
      <c r="N32" s="226"/>
    </row>
    <row r="33" spans="1:14" ht="15" customHeight="1" thickBot="1" x14ac:dyDescent="0.25">
      <c r="A33" s="337"/>
      <c r="B33" s="425" t="s">
        <v>60</v>
      </c>
      <c r="C33" s="424">
        <f>SUM(C7:C32)</f>
        <v>6596223</v>
      </c>
      <c r="D33" s="403">
        <f>SUM(D7:D32)</f>
        <v>644302</v>
      </c>
      <c r="E33" s="403">
        <f>D33*0.4</f>
        <v>257720.80000000002</v>
      </c>
      <c r="F33" s="403">
        <f>SUM(F7:F32)</f>
        <v>6853943.7999999989</v>
      </c>
      <c r="G33" s="404">
        <f>SUM(G7:G32)</f>
        <v>123030000</v>
      </c>
      <c r="I33" s="226"/>
      <c r="J33" s="226"/>
      <c r="K33" s="226"/>
      <c r="L33" s="226"/>
      <c r="M33" s="226"/>
      <c r="N33" s="226"/>
    </row>
    <row r="34" spans="1:14" s="174" customFormat="1" ht="15" customHeight="1" thickBot="1" x14ac:dyDescent="0.25">
      <c r="A34" s="405"/>
      <c r="B34" s="405"/>
      <c r="C34" s="405"/>
      <c r="D34" s="405"/>
      <c r="E34" s="405"/>
      <c r="F34" s="405"/>
      <c r="G34" s="405"/>
    </row>
    <row r="35" spans="1:14" ht="15" customHeight="1" thickBot="1" x14ac:dyDescent="0.25">
      <c r="A35" s="406" t="s">
        <v>276</v>
      </c>
      <c r="B35" s="407"/>
      <c r="C35" s="407"/>
      <c r="D35" s="407"/>
      <c r="E35" s="407"/>
      <c r="F35" s="407"/>
      <c r="G35" s="671">
        <v>17.95</v>
      </c>
    </row>
    <row r="36" spans="1:14" ht="15" customHeight="1" thickBot="1" x14ac:dyDescent="0.25">
      <c r="A36" s="406" t="s">
        <v>277</v>
      </c>
      <c r="B36" s="407"/>
      <c r="C36" s="407"/>
      <c r="D36" s="407"/>
      <c r="E36" s="407"/>
      <c r="F36" s="407"/>
      <c r="G36" s="408">
        <f>+G33</f>
        <v>123030000</v>
      </c>
      <c r="I36" s="175"/>
    </row>
    <row r="37" spans="1:14" ht="15" customHeight="1" thickBot="1" x14ac:dyDescent="0.25">
      <c r="A37" s="406" t="s">
        <v>278</v>
      </c>
      <c r="B37" s="407"/>
      <c r="C37" s="407"/>
      <c r="D37" s="407"/>
      <c r="E37" s="407"/>
      <c r="F37" s="407"/>
      <c r="G37" s="409">
        <f>'1 Bilance zdrojů'!O22</f>
        <v>135000000</v>
      </c>
    </row>
    <row r="38" spans="1:14" ht="15" customHeight="1" thickBot="1" x14ac:dyDescent="0.25">
      <c r="A38" s="406" t="s">
        <v>279</v>
      </c>
      <c r="B38" s="407"/>
      <c r="C38" s="407"/>
      <c r="D38" s="407"/>
      <c r="E38" s="407"/>
      <c r="F38" s="407"/>
      <c r="G38" s="409">
        <f>G37-G36</f>
        <v>11970000</v>
      </c>
    </row>
    <row r="40" spans="1:14" x14ac:dyDescent="0.2">
      <c r="A40" s="794" t="s">
        <v>240</v>
      </c>
    </row>
  </sheetData>
  <mergeCells count="3">
    <mergeCell ref="A5:A6"/>
    <mergeCell ref="B5:B6"/>
    <mergeCell ref="G5:G6"/>
  </mergeCells>
  <hyperlinks>
    <hyperlink ref="A40" location="'0 Seznam'!A1" display="'0 Seznam'!A1"/>
  </hyperlinks>
  <pageMargins left="0.70866141732283472" right="0.70866141732283472" top="0.78740157480314965" bottom="0.78740157480314965" header="0.31496062992125984" footer="0.31496062992125984"/>
  <pageSetup paperSize="9" scale="79" orientation="landscape" r:id="rId1"/>
  <headerFooter>
    <oddHeader>&amp;LČ. j.: MSMT-1251/2018-1</oddHeader>
    <oddFooter>&amp;C&amp;A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63"/>
  <sheetViews>
    <sheetView tabSelected="1" topLeftCell="A16" zoomScaleNormal="100" workbookViewId="0">
      <selection activeCell="A46" sqref="A46"/>
    </sheetView>
  </sheetViews>
  <sheetFormatPr defaultRowHeight="14.25" x14ac:dyDescent="0.2"/>
  <cols>
    <col min="1" max="1" width="10" style="181" bestFit="1" customWidth="1"/>
    <col min="2" max="2" width="56.140625" style="181" customWidth="1"/>
    <col min="3" max="3" width="13.7109375" style="181" customWidth="1"/>
    <col min="4" max="4" width="14.140625" style="181" customWidth="1"/>
    <col min="5" max="16384" width="9.140625" style="181"/>
  </cols>
  <sheetData>
    <row r="1" spans="1:4" ht="27.75" x14ac:dyDescent="0.2">
      <c r="A1" s="683" t="s">
        <v>119</v>
      </c>
      <c r="B1" s="573"/>
      <c r="C1" s="573"/>
      <c r="D1" s="573"/>
    </row>
    <row r="2" spans="1:4" ht="14.25" customHeight="1" x14ac:dyDescent="0.2">
      <c r="A2" s="572"/>
      <c r="B2" s="573"/>
      <c r="C2" s="573"/>
      <c r="D2" s="573"/>
    </row>
    <row r="3" spans="1:4" ht="20.25" x14ac:dyDescent="0.2">
      <c r="A3" s="684" t="s">
        <v>221</v>
      </c>
      <c r="B3" s="573"/>
      <c r="C3" s="573"/>
      <c r="D3" s="573"/>
    </row>
    <row r="4" spans="1:4" s="158" customFormat="1" ht="12.75" x14ac:dyDescent="0.2"/>
    <row r="5" spans="1:4" s="225" customFormat="1" ht="20.25" x14ac:dyDescent="0.2">
      <c r="A5" s="684" t="s">
        <v>120</v>
      </c>
      <c r="B5" s="574"/>
      <c r="C5" s="574"/>
      <c r="D5" s="574"/>
    </row>
    <row r="6" spans="1:4" s="182" customFormat="1" ht="13.5" thickBot="1" x14ac:dyDescent="0.25">
      <c r="A6" s="575"/>
      <c r="B6" s="573"/>
      <c r="C6" s="573"/>
      <c r="D6" s="573"/>
    </row>
    <row r="7" spans="1:4" s="182" customFormat="1" ht="15" customHeight="1" x14ac:dyDescent="0.2">
      <c r="A7" s="995" t="s">
        <v>293</v>
      </c>
      <c r="B7" s="996"/>
      <c r="C7" s="997"/>
      <c r="D7" s="577">
        <f>C43</f>
        <v>125613</v>
      </c>
    </row>
    <row r="8" spans="1:4" s="182" customFormat="1" ht="15" customHeight="1" x14ac:dyDescent="0.2">
      <c r="A8" s="998" t="s">
        <v>294</v>
      </c>
      <c r="B8" s="999"/>
      <c r="C8" s="1000"/>
      <c r="D8" s="578">
        <v>7801</v>
      </c>
    </row>
    <row r="9" spans="1:4" s="182" customFormat="1" ht="15" customHeight="1" x14ac:dyDescent="0.2">
      <c r="A9" s="998" t="s">
        <v>263</v>
      </c>
      <c r="B9" s="999"/>
      <c r="C9" s="1000"/>
      <c r="D9" s="578">
        <v>5400</v>
      </c>
    </row>
    <row r="10" spans="1:4" s="182" customFormat="1" ht="15" customHeight="1" x14ac:dyDescent="0.2">
      <c r="A10" s="998" t="s">
        <v>262</v>
      </c>
      <c r="B10" s="999"/>
      <c r="C10" s="1000"/>
      <c r="D10" s="579">
        <f>D43</f>
        <v>678310200</v>
      </c>
    </row>
    <row r="11" spans="1:4" s="182" customFormat="1" ht="15" customHeight="1" thickBot="1" x14ac:dyDescent="0.25">
      <c r="A11" s="1001" t="s">
        <v>295</v>
      </c>
      <c r="B11" s="1002"/>
      <c r="C11" s="1003"/>
      <c r="D11" s="590">
        <f>'1 Bilance zdrojů'!O26</f>
        <v>42000000</v>
      </c>
    </row>
    <row r="12" spans="1:4" s="182" customFormat="1" ht="12.75" x14ac:dyDescent="0.2">
      <c r="A12" s="580"/>
      <c r="B12" s="580"/>
      <c r="C12" s="580"/>
      <c r="D12" s="581"/>
    </row>
    <row r="13" spans="1:4" s="182" customFormat="1" ht="20.25" customHeight="1" x14ac:dyDescent="0.2">
      <c r="A13" s="684" t="s">
        <v>122</v>
      </c>
      <c r="B13" s="580"/>
      <c r="C13" s="580"/>
      <c r="D13" s="582"/>
    </row>
    <row r="14" spans="1:4" s="182" customFormat="1" ht="15" customHeight="1" thickBot="1" x14ac:dyDescent="0.25">
      <c r="A14" s="573"/>
      <c r="B14" s="573"/>
      <c r="C14" s="573"/>
      <c r="D14" s="576" t="s">
        <v>145</v>
      </c>
    </row>
    <row r="15" spans="1:4" s="182" customFormat="1" ht="15" customHeight="1" x14ac:dyDescent="0.2">
      <c r="A15" s="1006" t="s">
        <v>61</v>
      </c>
      <c r="B15" s="1008" t="s">
        <v>223</v>
      </c>
      <c r="C15" s="1008" t="s">
        <v>121</v>
      </c>
      <c r="D15" s="1010" t="s">
        <v>224</v>
      </c>
    </row>
    <row r="16" spans="1:4" s="182" customFormat="1" ht="15" customHeight="1" thickBot="1" x14ac:dyDescent="0.25">
      <c r="A16" s="1007"/>
      <c r="B16" s="1009"/>
      <c r="C16" s="1009"/>
      <c r="D16" s="1011"/>
    </row>
    <row r="17" spans="1:4" s="182" customFormat="1" ht="15" customHeight="1" x14ac:dyDescent="0.2">
      <c r="A17" s="583">
        <v>11000</v>
      </c>
      <c r="B17" s="729" t="s">
        <v>143</v>
      </c>
      <c r="C17" s="584">
        <v>19161</v>
      </c>
      <c r="D17" s="577">
        <f>+C17*$D$9</f>
        <v>103469400</v>
      </c>
    </row>
    <row r="18" spans="1:4" s="182" customFormat="1" ht="15" customHeight="1" x14ac:dyDescent="0.2">
      <c r="A18" s="585">
        <v>12000</v>
      </c>
      <c r="B18" s="730" t="s">
        <v>78</v>
      </c>
      <c r="C18" s="586">
        <v>4097</v>
      </c>
      <c r="D18" s="579">
        <f t="shared" ref="D18:D42" si="0">+C18*$D$9</f>
        <v>22123800</v>
      </c>
    </row>
    <row r="19" spans="1:4" s="182" customFormat="1" ht="15" customHeight="1" x14ac:dyDescent="0.2">
      <c r="A19" s="585">
        <v>13000</v>
      </c>
      <c r="B19" s="730" t="s">
        <v>79</v>
      </c>
      <c r="C19" s="586">
        <v>2620</v>
      </c>
      <c r="D19" s="579">
        <f t="shared" si="0"/>
        <v>14148000</v>
      </c>
    </row>
    <row r="20" spans="1:4" s="182" customFormat="1" ht="15" customHeight="1" x14ac:dyDescent="0.2">
      <c r="A20" s="585">
        <v>14000</v>
      </c>
      <c r="B20" s="730" t="s">
        <v>80</v>
      </c>
      <c r="C20" s="586">
        <v>15052</v>
      </c>
      <c r="D20" s="579">
        <f t="shared" si="0"/>
        <v>81280800</v>
      </c>
    </row>
    <row r="21" spans="1:4" s="182" customFormat="1" ht="15" customHeight="1" x14ac:dyDescent="0.2">
      <c r="A21" s="585">
        <v>15000</v>
      </c>
      <c r="B21" s="730" t="s">
        <v>81</v>
      </c>
      <c r="C21" s="586">
        <v>9079</v>
      </c>
      <c r="D21" s="579">
        <f t="shared" si="0"/>
        <v>49026600</v>
      </c>
    </row>
    <row r="22" spans="1:4" s="182" customFormat="1" ht="15" customHeight="1" x14ac:dyDescent="0.2">
      <c r="A22" s="585">
        <v>16000</v>
      </c>
      <c r="B22" s="730" t="s">
        <v>82</v>
      </c>
      <c r="C22" s="586">
        <v>1847</v>
      </c>
      <c r="D22" s="579">
        <f t="shared" si="0"/>
        <v>9973800</v>
      </c>
    </row>
    <row r="23" spans="1:4" s="182" customFormat="1" ht="15" customHeight="1" x14ac:dyDescent="0.2">
      <c r="A23" s="585">
        <v>17000</v>
      </c>
      <c r="B23" s="730" t="s">
        <v>142</v>
      </c>
      <c r="C23" s="586">
        <v>3323</v>
      </c>
      <c r="D23" s="579">
        <f t="shared" si="0"/>
        <v>17944200</v>
      </c>
    </row>
    <row r="24" spans="1:4" s="182" customFormat="1" ht="15" customHeight="1" x14ac:dyDescent="0.2">
      <c r="A24" s="585">
        <v>18000</v>
      </c>
      <c r="B24" s="730" t="s">
        <v>75</v>
      </c>
      <c r="C24" s="586">
        <v>2411</v>
      </c>
      <c r="D24" s="579">
        <f t="shared" si="0"/>
        <v>13019400</v>
      </c>
    </row>
    <row r="25" spans="1:4" s="182" customFormat="1" ht="15" customHeight="1" x14ac:dyDescent="0.2">
      <c r="A25" s="585">
        <v>19000</v>
      </c>
      <c r="B25" s="730" t="s">
        <v>83</v>
      </c>
      <c r="C25" s="586">
        <v>1035</v>
      </c>
      <c r="D25" s="579">
        <f t="shared" si="0"/>
        <v>5589000</v>
      </c>
    </row>
    <row r="26" spans="1:4" s="182" customFormat="1" ht="15" customHeight="1" x14ac:dyDescent="0.2">
      <c r="A26" s="585">
        <v>21000</v>
      </c>
      <c r="B26" s="730" t="s">
        <v>84</v>
      </c>
      <c r="C26" s="586">
        <v>10074</v>
      </c>
      <c r="D26" s="579">
        <f t="shared" si="0"/>
        <v>54399600</v>
      </c>
    </row>
    <row r="27" spans="1:4" s="182" customFormat="1" ht="15" customHeight="1" x14ac:dyDescent="0.2">
      <c r="A27" s="585">
        <v>22000</v>
      </c>
      <c r="B27" s="730" t="s">
        <v>85</v>
      </c>
      <c r="C27" s="586">
        <v>2471</v>
      </c>
      <c r="D27" s="579">
        <f t="shared" si="0"/>
        <v>13343400</v>
      </c>
    </row>
    <row r="28" spans="1:4" s="182" customFormat="1" ht="15" customHeight="1" x14ac:dyDescent="0.2">
      <c r="A28" s="585">
        <v>23000</v>
      </c>
      <c r="B28" s="730" t="s">
        <v>86</v>
      </c>
      <c r="C28" s="586">
        <v>5375</v>
      </c>
      <c r="D28" s="579">
        <f t="shared" si="0"/>
        <v>29025000</v>
      </c>
    </row>
    <row r="29" spans="1:4" s="182" customFormat="1" ht="15" customHeight="1" x14ac:dyDescent="0.2">
      <c r="A29" s="585">
        <v>24000</v>
      </c>
      <c r="B29" s="730" t="s">
        <v>87</v>
      </c>
      <c r="C29" s="586">
        <v>2392</v>
      </c>
      <c r="D29" s="579">
        <f t="shared" si="0"/>
        <v>12916800</v>
      </c>
    </row>
    <row r="30" spans="1:4" s="182" customFormat="1" ht="15" customHeight="1" x14ac:dyDescent="0.2">
      <c r="A30" s="585">
        <v>25000</v>
      </c>
      <c r="B30" s="730" t="s">
        <v>88</v>
      </c>
      <c r="C30" s="586">
        <v>3592</v>
      </c>
      <c r="D30" s="579">
        <f t="shared" si="0"/>
        <v>19396800</v>
      </c>
    </row>
    <row r="31" spans="1:4" s="182" customFormat="1" ht="15" customHeight="1" x14ac:dyDescent="0.2">
      <c r="A31" s="585">
        <v>26000</v>
      </c>
      <c r="B31" s="730" t="s">
        <v>89</v>
      </c>
      <c r="C31" s="586">
        <v>12544</v>
      </c>
      <c r="D31" s="579">
        <f t="shared" si="0"/>
        <v>67737600</v>
      </c>
    </row>
    <row r="32" spans="1:4" s="182" customFormat="1" ht="15" customHeight="1" x14ac:dyDescent="0.2">
      <c r="A32" s="585">
        <v>27000</v>
      </c>
      <c r="B32" s="730" t="s">
        <v>90</v>
      </c>
      <c r="C32" s="586">
        <v>5181</v>
      </c>
      <c r="D32" s="579">
        <f t="shared" si="0"/>
        <v>27977400</v>
      </c>
    </row>
    <row r="33" spans="1:4" s="182" customFormat="1" ht="15" customHeight="1" x14ac:dyDescent="0.2">
      <c r="A33" s="585">
        <v>28000</v>
      </c>
      <c r="B33" s="730" t="s">
        <v>91</v>
      </c>
      <c r="C33" s="586">
        <v>3157</v>
      </c>
      <c r="D33" s="579">
        <f t="shared" si="0"/>
        <v>17047800</v>
      </c>
    </row>
    <row r="34" spans="1:4" s="182" customFormat="1" ht="15" customHeight="1" x14ac:dyDescent="0.2">
      <c r="A34" s="585">
        <v>31000</v>
      </c>
      <c r="B34" s="730" t="s">
        <v>92</v>
      </c>
      <c r="C34" s="586">
        <v>6712</v>
      </c>
      <c r="D34" s="579">
        <f t="shared" si="0"/>
        <v>36244800</v>
      </c>
    </row>
    <row r="35" spans="1:4" s="182" customFormat="1" ht="15" customHeight="1" x14ac:dyDescent="0.2">
      <c r="A35" s="585">
        <v>41000</v>
      </c>
      <c r="B35" s="730" t="s">
        <v>93</v>
      </c>
      <c r="C35" s="586">
        <v>7500</v>
      </c>
      <c r="D35" s="579">
        <f t="shared" si="0"/>
        <v>40500000</v>
      </c>
    </row>
    <row r="36" spans="1:4" s="182" customFormat="1" ht="15" customHeight="1" x14ac:dyDescent="0.2">
      <c r="A36" s="585">
        <v>43000</v>
      </c>
      <c r="B36" s="730" t="s">
        <v>94</v>
      </c>
      <c r="C36" s="586">
        <v>5014</v>
      </c>
      <c r="D36" s="579">
        <f t="shared" si="0"/>
        <v>27075600</v>
      </c>
    </row>
    <row r="37" spans="1:4" s="182" customFormat="1" ht="15" customHeight="1" x14ac:dyDescent="0.2">
      <c r="A37" s="585">
        <v>51000</v>
      </c>
      <c r="B37" s="730" t="s">
        <v>95</v>
      </c>
      <c r="C37" s="586">
        <v>540</v>
      </c>
      <c r="D37" s="579">
        <f t="shared" si="0"/>
        <v>2916000</v>
      </c>
    </row>
    <row r="38" spans="1:4" s="182" customFormat="1" ht="15" customHeight="1" x14ac:dyDescent="0.2">
      <c r="A38" s="585">
        <v>52000</v>
      </c>
      <c r="B38" s="730" t="s">
        <v>96</v>
      </c>
      <c r="C38" s="586">
        <v>157</v>
      </c>
      <c r="D38" s="579">
        <f t="shared" si="0"/>
        <v>847800</v>
      </c>
    </row>
    <row r="39" spans="1:4" s="182" customFormat="1" ht="15" customHeight="1" x14ac:dyDescent="0.2">
      <c r="A39" s="585">
        <v>53000</v>
      </c>
      <c r="B39" s="730" t="s">
        <v>97</v>
      </c>
      <c r="C39" s="586">
        <v>254</v>
      </c>
      <c r="D39" s="579">
        <f t="shared" si="0"/>
        <v>1371600</v>
      </c>
    </row>
    <row r="40" spans="1:4" s="182" customFormat="1" ht="15" customHeight="1" x14ac:dyDescent="0.2">
      <c r="A40" s="585">
        <v>54000</v>
      </c>
      <c r="B40" s="730" t="s">
        <v>98</v>
      </c>
      <c r="C40" s="586">
        <v>414</v>
      </c>
      <c r="D40" s="579">
        <f t="shared" si="0"/>
        <v>2235600</v>
      </c>
    </row>
    <row r="41" spans="1:4" s="182" customFormat="1" ht="15" customHeight="1" x14ac:dyDescent="0.2">
      <c r="A41" s="585">
        <v>55000</v>
      </c>
      <c r="B41" s="730" t="s">
        <v>99</v>
      </c>
      <c r="C41" s="586">
        <v>725</v>
      </c>
      <c r="D41" s="579">
        <f t="shared" si="0"/>
        <v>3915000</v>
      </c>
    </row>
    <row r="42" spans="1:4" s="182" customFormat="1" ht="15" customHeight="1" thickBot="1" x14ac:dyDescent="0.25">
      <c r="A42" s="588">
        <v>56000</v>
      </c>
      <c r="B42" s="731" t="s">
        <v>100</v>
      </c>
      <c r="C42" s="589">
        <v>886</v>
      </c>
      <c r="D42" s="590">
        <f t="shared" si="0"/>
        <v>4784400</v>
      </c>
    </row>
    <row r="43" spans="1:4" s="182" customFormat="1" ht="15" customHeight="1" thickBot="1" x14ac:dyDescent="0.25">
      <c r="A43" s="1004" t="s">
        <v>225</v>
      </c>
      <c r="B43" s="1005"/>
      <c r="C43" s="587">
        <f>SUM(C17:C42)</f>
        <v>125613</v>
      </c>
      <c r="D43" s="591">
        <f>SUM(D17:D42)</f>
        <v>678310200</v>
      </c>
    </row>
    <row r="44" spans="1:4" s="182" customFormat="1" x14ac:dyDescent="0.2">
      <c r="A44" s="573" t="s">
        <v>222</v>
      </c>
      <c r="B44" s="181"/>
      <c r="C44" s="181"/>
      <c r="D44" s="181"/>
    </row>
    <row r="45" spans="1:4" s="182" customFormat="1" x14ac:dyDescent="0.2">
      <c r="A45" s="801"/>
      <c r="B45" s="797"/>
      <c r="C45" s="181"/>
      <c r="D45" s="181"/>
    </row>
    <row r="46" spans="1:4" s="182" customFormat="1" x14ac:dyDescent="0.2">
      <c r="A46" s="794" t="s">
        <v>240</v>
      </c>
      <c r="B46" s="797"/>
      <c r="C46" s="181"/>
      <c r="D46" s="181"/>
    </row>
    <row r="47" spans="1:4" s="182" customFormat="1" x14ac:dyDescent="0.2">
      <c r="A47" s="797"/>
      <c r="B47" s="797"/>
      <c r="C47" s="181"/>
      <c r="D47" s="181"/>
    </row>
    <row r="48" spans="1:4" x14ac:dyDescent="0.2">
      <c r="A48" s="797"/>
      <c r="B48" s="797"/>
    </row>
    <row r="49" spans="1:2" x14ac:dyDescent="0.2">
      <c r="A49" s="797"/>
      <c r="B49" s="797"/>
    </row>
    <row r="50" spans="1:2" x14ac:dyDescent="0.2">
      <c r="A50" s="797"/>
      <c r="B50" s="797"/>
    </row>
    <row r="51" spans="1:2" x14ac:dyDescent="0.2">
      <c r="A51" s="797"/>
      <c r="B51" s="797"/>
    </row>
    <row r="52" spans="1:2" x14ac:dyDescent="0.2">
      <c r="A52" s="797"/>
      <c r="B52" s="797"/>
    </row>
    <row r="53" spans="1:2" x14ac:dyDescent="0.2">
      <c r="A53" s="797"/>
      <c r="B53" s="797"/>
    </row>
    <row r="54" spans="1:2" x14ac:dyDescent="0.2">
      <c r="A54" s="797"/>
      <c r="B54" s="797"/>
    </row>
    <row r="55" spans="1:2" x14ac:dyDescent="0.2">
      <c r="A55" s="797"/>
      <c r="B55" s="797"/>
    </row>
    <row r="56" spans="1:2" x14ac:dyDescent="0.2">
      <c r="A56" s="797"/>
      <c r="B56" s="797"/>
    </row>
    <row r="57" spans="1:2" x14ac:dyDescent="0.2">
      <c r="A57" s="797"/>
      <c r="B57" s="797"/>
    </row>
    <row r="58" spans="1:2" x14ac:dyDescent="0.2">
      <c r="A58" s="797"/>
      <c r="B58" s="797"/>
    </row>
    <row r="59" spans="1:2" x14ac:dyDescent="0.2">
      <c r="A59" s="797"/>
      <c r="B59" s="797"/>
    </row>
    <row r="60" spans="1:2" x14ac:dyDescent="0.2">
      <c r="A60" s="797"/>
      <c r="B60" s="797"/>
    </row>
    <row r="61" spans="1:2" x14ac:dyDescent="0.2">
      <c r="A61" s="797"/>
      <c r="B61" s="797"/>
    </row>
    <row r="62" spans="1:2" x14ac:dyDescent="0.2">
      <c r="A62" s="797"/>
      <c r="B62" s="797"/>
    </row>
    <row r="63" spans="1:2" x14ac:dyDescent="0.2">
      <c r="A63" s="797"/>
      <c r="B63" s="797"/>
    </row>
  </sheetData>
  <mergeCells count="10">
    <mergeCell ref="A43:B43"/>
    <mergeCell ref="A15:A16"/>
    <mergeCell ref="B15:B16"/>
    <mergeCell ref="C15:C16"/>
    <mergeCell ref="D15:D16"/>
    <mergeCell ref="A7:C7"/>
    <mergeCell ref="A8:C8"/>
    <mergeCell ref="A9:C9"/>
    <mergeCell ref="A10:C10"/>
    <mergeCell ref="A11:C11"/>
  </mergeCells>
  <hyperlinks>
    <hyperlink ref="A46" location="'0 Seznam'!A1" display="'0 Seznam'!A1"/>
  </hyperlinks>
  <printOptions horizontalCentered="1"/>
  <pageMargins left="0.70866141732283472" right="0.70866141732283472" top="0.78740157480314965" bottom="0.78740157480314965" header="0.31496062992125984" footer="0.31496062992125984"/>
  <pageSetup paperSize="9" scale="94" orientation="portrait" r:id="rId1"/>
  <headerFooter>
    <oddHeader>&amp;LČ. j.: MSMT-1251/2018-1</oddHeader>
    <oddFooter>&amp;C&amp;A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51"/>
  <sheetViews>
    <sheetView zoomScaleNormal="100" workbookViewId="0">
      <selection activeCell="A35" sqref="A35"/>
    </sheetView>
  </sheetViews>
  <sheetFormatPr defaultRowHeight="12.75" x14ac:dyDescent="0.2"/>
  <cols>
    <col min="2" max="2" width="55" customWidth="1"/>
    <col min="3" max="10" width="13.7109375" customWidth="1"/>
    <col min="12" max="12" width="10.140625" bestFit="1" customWidth="1"/>
  </cols>
  <sheetData>
    <row r="1" spans="1:14" ht="27.75" x14ac:dyDescent="0.4">
      <c r="A1" s="685" t="s">
        <v>123</v>
      </c>
    </row>
    <row r="3" spans="1:14" ht="20.25" x14ac:dyDescent="0.3">
      <c r="A3" s="686" t="s">
        <v>226</v>
      </c>
    </row>
    <row r="4" spans="1:14" ht="13.5" thickBot="1" x14ac:dyDescent="0.25">
      <c r="J4" s="157" t="s">
        <v>145</v>
      </c>
    </row>
    <row r="5" spans="1:14" ht="48" customHeight="1" x14ac:dyDescent="0.2">
      <c r="A5" s="1014" t="s">
        <v>227</v>
      </c>
      <c r="B5" s="1016"/>
      <c r="C5" s="1014" t="s">
        <v>124</v>
      </c>
      <c r="D5" s="1015"/>
      <c r="E5" s="1016"/>
      <c r="F5" s="1017" t="s">
        <v>125</v>
      </c>
      <c r="G5" s="1015"/>
      <c r="H5" s="1018"/>
      <c r="I5" s="1019" t="s">
        <v>126</v>
      </c>
      <c r="J5" s="592" t="s">
        <v>291</v>
      </c>
    </row>
    <row r="6" spans="1:14" ht="13.5" thickBot="1" x14ac:dyDescent="0.25">
      <c r="A6" s="1021"/>
      <c r="B6" s="1022"/>
      <c r="C6" s="593" t="s">
        <v>148</v>
      </c>
      <c r="D6" s="594" t="s">
        <v>149</v>
      </c>
      <c r="E6" s="595" t="s">
        <v>201</v>
      </c>
      <c r="F6" s="596">
        <v>2015</v>
      </c>
      <c r="G6" s="597">
        <v>2016</v>
      </c>
      <c r="H6" s="598">
        <v>2017</v>
      </c>
      <c r="I6" s="1020"/>
      <c r="J6" s="764">
        <v>250000000</v>
      </c>
    </row>
    <row r="7" spans="1:14" ht="15" customHeight="1" x14ac:dyDescent="0.2">
      <c r="A7" s="774">
        <v>1100</v>
      </c>
      <c r="B7" s="729" t="s">
        <v>143</v>
      </c>
      <c r="C7" s="732">
        <v>45179000</v>
      </c>
      <c r="D7" s="733">
        <v>45547000</v>
      </c>
      <c r="E7" s="734">
        <v>45768000</v>
      </c>
      <c r="F7" s="735">
        <f t="shared" ref="F7:H32" si="0">+C7/C$33</f>
        <v>0.18071599999999999</v>
      </c>
      <c r="G7" s="736">
        <f t="shared" si="0"/>
        <v>0.18218799999999999</v>
      </c>
      <c r="H7" s="737">
        <f t="shared" si="0"/>
        <v>0.18307200000000001</v>
      </c>
      <c r="I7" s="738">
        <f t="shared" ref="I7:I32" si="1">AVERAGE(F7:H7)</f>
        <v>0.18199200000000001</v>
      </c>
      <c r="J7" s="739">
        <f>ROUND(+J$34*I7,-3)</f>
        <v>45498000</v>
      </c>
      <c r="L7" s="773"/>
      <c r="N7" s="773"/>
    </row>
    <row r="8" spans="1:14" ht="15" customHeight="1" x14ac:dyDescent="0.2">
      <c r="A8" s="775">
        <v>1200</v>
      </c>
      <c r="B8" s="730" t="s">
        <v>78</v>
      </c>
      <c r="C8" s="740">
        <v>4843000</v>
      </c>
      <c r="D8" s="741">
        <v>4760000</v>
      </c>
      <c r="E8" s="742">
        <v>4610000</v>
      </c>
      <c r="F8" s="743">
        <f t="shared" si="0"/>
        <v>1.9372E-2</v>
      </c>
      <c r="G8" s="744">
        <f t="shared" si="0"/>
        <v>1.9040000000000001E-2</v>
      </c>
      <c r="H8" s="745">
        <f t="shared" si="0"/>
        <v>1.8440000000000002E-2</v>
      </c>
      <c r="I8" s="746">
        <f t="shared" si="1"/>
        <v>1.8950666666666668E-2</v>
      </c>
      <c r="J8" s="747">
        <f t="shared" ref="J8:J32" si="2">ROUND(+J$34*I8,-3)</f>
        <v>4738000</v>
      </c>
      <c r="L8" s="773"/>
      <c r="N8" s="773"/>
    </row>
    <row r="9" spans="1:14" ht="15" customHeight="1" x14ac:dyDescent="0.2">
      <c r="A9" s="775">
        <v>1300</v>
      </c>
      <c r="B9" s="730" t="s">
        <v>79</v>
      </c>
      <c r="C9" s="740">
        <v>8714000</v>
      </c>
      <c r="D9" s="741">
        <v>8256000</v>
      </c>
      <c r="E9" s="742">
        <v>9320000</v>
      </c>
      <c r="F9" s="743">
        <f t="shared" si="0"/>
        <v>3.4855999999999998E-2</v>
      </c>
      <c r="G9" s="744">
        <f t="shared" si="0"/>
        <v>3.3023999999999998E-2</v>
      </c>
      <c r="H9" s="745">
        <f t="shared" si="0"/>
        <v>3.7280000000000001E-2</v>
      </c>
      <c r="I9" s="746">
        <f t="shared" si="1"/>
        <v>3.5053333333333332E-2</v>
      </c>
      <c r="J9" s="747">
        <f t="shared" si="2"/>
        <v>8763000</v>
      </c>
      <c r="L9" s="773"/>
      <c r="N9" s="773"/>
    </row>
    <row r="10" spans="1:14" ht="15" customHeight="1" x14ac:dyDescent="0.2">
      <c r="A10" s="775">
        <v>1400</v>
      </c>
      <c r="B10" s="730" t="s">
        <v>80</v>
      </c>
      <c r="C10" s="740">
        <v>37205000</v>
      </c>
      <c r="D10" s="741">
        <v>38190000</v>
      </c>
      <c r="E10" s="742">
        <v>37788000</v>
      </c>
      <c r="F10" s="743">
        <f t="shared" si="0"/>
        <v>0.14882000000000001</v>
      </c>
      <c r="G10" s="744">
        <f t="shared" si="0"/>
        <v>0.15276000000000001</v>
      </c>
      <c r="H10" s="745">
        <f t="shared" si="0"/>
        <v>0.15115200000000001</v>
      </c>
      <c r="I10" s="746">
        <f t="shared" si="1"/>
        <v>0.15091066666666667</v>
      </c>
      <c r="J10" s="747">
        <f t="shared" si="2"/>
        <v>37727000</v>
      </c>
      <c r="L10" s="773"/>
      <c r="N10" s="773"/>
    </row>
    <row r="11" spans="1:14" ht="15" customHeight="1" x14ac:dyDescent="0.2">
      <c r="A11" s="775">
        <v>1500</v>
      </c>
      <c r="B11" s="730" t="s">
        <v>81</v>
      </c>
      <c r="C11" s="740">
        <v>18553000</v>
      </c>
      <c r="D11" s="741">
        <v>18748000</v>
      </c>
      <c r="E11" s="742">
        <v>18569000</v>
      </c>
      <c r="F11" s="743">
        <f t="shared" si="0"/>
        <v>7.4212E-2</v>
      </c>
      <c r="G11" s="744">
        <f t="shared" si="0"/>
        <v>7.4992000000000003E-2</v>
      </c>
      <c r="H11" s="745">
        <f t="shared" si="0"/>
        <v>7.4275999999999995E-2</v>
      </c>
      <c r="I11" s="746">
        <f t="shared" si="1"/>
        <v>7.4493333333333342E-2</v>
      </c>
      <c r="J11" s="747">
        <f t="shared" si="2"/>
        <v>18623000</v>
      </c>
      <c r="L11" s="773"/>
      <c r="N11" s="773"/>
    </row>
    <row r="12" spans="1:14" ht="15" customHeight="1" x14ac:dyDescent="0.2">
      <c r="A12" s="775">
        <v>1600</v>
      </c>
      <c r="B12" s="730" t="s">
        <v>82</v>
      </c>
      <c r="C12" s="740">
        <v>2292000</v>
      </c>
      <c r="D12" s="741">
        <v>2307000</v>
      </c>
      <c r="E12" s="742">
        <v>2318000</v>
      </c>
      <c r="F12" s="743">
        <f t="shared" si="0"/>
        <v>9.1680000000000008E-3</v>
      </c>
      <c r="G12" s="744">
        <f t="shared" si="0"/>
        <v>9.2280000000000001E-3</v>
      </c>
      <c r="H12" s="745">
        <f t="shared" si="0"/>
        <v>9.2720000000000007E-3</v>
      </c>
      <c r="I12" s="746">
        <f t="shared" si="1"/>
        <v>9.2226666666666689E-3</v>
      </c>
      <c r="J12" s="747">
        <f t="shared" si="2"/>
        <v>2306000</v>
      </c>
      <c r="L12" s="773"/>
      <c r="N12" s="773"/>
    </row>
    <row r="13" spans="1:14" ht="15" customHeight="1" x14ac:dyDescent="0.2">
      <c r="A13" s="775">
        <v>1700</v>
      </c>
      <c r="B13" s="730" t="s">
        <v>142</v>
      </c>
      <c r="C13" s="740">
        <v>10258000</v>
      </c>
      <c r="D13" s="741">
        <v>10564000</v>
      </c>
      <c r="E13" s="742">
        <v>10836000</v>
      </c>
      <c r="F13" s="743">
        <f t="shared" si="0"/>
        <v>4.1031999999999999E-2</v>
      </c>
      <c r="G13" s="744">
        <f t="shared" si="0"/>
        <v>4.2256000000000002E-2</v>
      </c>
      <c r="H13" s="745">
        <f t="shared" si="0"/>
        <v>4.3344000000000001E-2</v>
      </c>
      <c r="I13" s="746">
        <f t="shared" si="1"/>
        <v>4.2210666666666667E-2</v>
      </c>
      <c r="J13" s="747">
        <f t="shared" si="2"/>
        <v>10553000</v>
      </c>
      <c r="L13" s="773"/>
      <c r="N13" s="773"/>
    </row>
    <row r="14" spans="1:14" ht="15" customHeight="1" x14ac:dyDescent="0.2">
      <c r="A14" s="775">
        <v>1800</v>
      </c>
      <c r="B14" s="730" t="s">
        <v>75</v>
      </c>
      <c r="C14" s="740">
        <v>5834000</v>
      </c>
      <c r="D14" s="741">
        <v>5758000</v>
      </c>
      <c r="E14" s="742">
        <v>5341000</v>
      </c>
      <c r="F14" s="743">
        <f t="shared" si="0"/>
        <v>2.3335999999999999E-2</v>
      </c>
      <c r="G14" s="744">
        <f t="shared" si="0"/>
        <v>2.3032E-2</v>
      </c>
      <c r="H14" s="745">
        <f t="shared" si="0"/>
        <v>2.1364000000000001E-2</v>
      </c>
      <c r="I14" s="746">
        <f t="shared" si="1"/>
        <v>2.2577333333333335E-2</v>
      </c>
      <c r="J14" s="747">
        <f t="shared" si="2"/>
        <v>5644000</v>
      </c>
      <c r="L14" s="773"/>
      <c r="N14" s="773"/>
    </row>
    <row r="15" spans="1:14" ht="15" customHeight="1" x14ac:dyDescent="0.2">
      <c r="A15" s="775">
        <v>1900</v>
      </c>
      <c r="B15" s="730" t="s">
        <v>83</v>
      </c>
      <c r="C15" s="740">
        <v>3073000</v>
      </c>
      <c r="D15" s="741">
        <v>2903000</v>
      </c>
      <c r="E15" s="742">
        <v>2947000</v>
      </c>
      <c r="F15" s="743">
        <f t="shared" si="0"/>
        <v>1.2292000000000001E-2</v>
      </c>
      <c r="G15" s="744">
        <f t="shared" si="0"/>
        <v>1.1612000000000001E-2</v>
      </c>
      <c r="H15" s="745">
        <f t="shared" si="0"/>
        <v>1.1788E-2</v>
      </c>
      <c r="I15" s="746">
        <f t="shared" si="1"/>
        <v>1.1897333333333334E-2</v>
      </c>
      <c r="J15" s="747">
        <f t="shared" si="2"/>
        <v>2974000</v>
      </c>
      <c r="L15" s="773"/>
      <c r="N15" s="773"/>
    </row>
    <row r="16" spans="1:14" ht="15" customHeight="1" x14ac:dyDescent="0.2">
      <c r="A16" s="775">
        <v>2100</v>
      </c>
      <c r="B16" s="730" t="s">
        <v>84</v>
      </c>
      <c r="C16" s="740">
        <v>11090000</v>
      </c>
      <c r="D16" s="741">
        <v>10221000</v>
      </c>
      <c r="E16" s="742">
        <v>10382000</v>
      </c>
      <c r="F16" s="743">
        <f t="shared" si="0"/>
        <v>4.4359999999999997E-2</v>
      </c>
      <c r="G16" s="744">
        <f t="shared" si="0"/>
        <v>4.0883999999999997E-2</v>
      </c>
      <c r="H16" s="745">
        <f t="shared" si="0"/>
        <v>4.1528000000000002E-2</v>
      </c>
      <c r="I16" s="746">
        <f t="shared" si="1"/>
        <v>4.2257333333333334E-2</v>
      </c>
      <c r="J16" s="747">
        <f t="shared" si="2"/>
        <v>10564000</v>
      </c>
      <c r="L16" s="773"/>
      <c r="N16" s="773"/>
    </row>
    <row r="17" spans="1:14" ht="15" customHeight="1" x14ac:dyDescent="0.2">
      <c r="A17" s="775">
        <v>2200</v>
      </c>
      <c r="B17" s="730" t="s">
        <v>85</v>
      </c>
      <c r="C17" s="740">
        <v>3221000</v>
      </c>
      <c r="D17" s="741">
        <v>3380000</v>
      </c>
      <c r="E17" s="742">
        <v>3745000</v>
      </c>
      <c r="F17" s="743">
        <f t="shared" si="0"/>
        <v>1.2884E-2</v>
      </c>
      <c r="G17" s="744">
        <f t="shared" si="0"/>
        <v>1.3520000000000001E-2</v>
      </c>
      <c r="H17" s="745">
        <f t="shared" si="0"/>
        <v>1.498E-2</v>
      </c>
      <c r="I17" s="746">
        <f t="shared" si="1"/>
        <v>1.3794666666666669E-2</v>
      </c>
      <c r="J17" s="747">
        <f t="shared" si="2"/>
        <v>3449000</v>
      </c>
      <c r="L17" s="773"/>
      <c r="N17" s="773"/>
    </row>
    <row r="18" spans="1:14" ht="15" customHeight="1" x14ac:dyDescent="0.2">
      <c r="A18" s="775">
        <v>2300</v>
      </c>
      <c r="B18" s="730" t="s">
        <v>86</v>
      </c>
      <c r="C18" s="740">
        <v>9031000</v>
      </c>
      <c r="D18" s="741">
        <v>8725000</v>
      </c>
      <c r="E18" s="742">
        <v>8918000</v>
      </c>
      <c r="F18" s="743">
        <f t="shared" si="0"/>
        <v>3.6124000000000003E-2</v>
      </c>
      <c r="G18" s="744">
        <f t="shared" si="0"/>
        <v>3.49E-2</v>
      </c>
      <c r="H18" s="745">
        <f t="shared" si="0"/>
        <v>3.5672000000000002E-2</v>
      </c>
      <c r="I18" s="746">
        <f t="shared" si="1"/>
        <v>3.5565333333333338E-2</v>
      </c>
      <c r="J18" s="747">
        <f t="shared" si="2"/>
        <v>8891000</v>
      </c>
      <c r="L18" s="773"/>
      <c r="N18" s="773"/>
    </row>
    <row r="19" spans="1:14" ht="15" customHeight="1" x14ac:dyDescent="0.2">
      <c r="A19" s="775">
        <v>2400</v>
      </c>
      <c r="B19" s="730" t="s">
        <v>87</v>
      </c>
      <c r="C19" s="740">
        <v>6189000</v>
      </c>
      <c r="D19" s="741">
        <v>6260000</v>
      </c>
      <c r="E19" s="742">
        <v>6237000</v>
      </c>
      <c r="F19" s="743">
        <f t="shared" si="0"/>
        <v>2.4756E-2</v>
      </c>
      <c r="G19" s="744">
        <f t="shared" si="0"/>
        <v>2.504E-2</v>
      </c>
      <c r="H19" s="745">
        <f t="shared" si="0"/>
        <v>2.4948000000000001E-2</v>
      </c>
      <c r="I19" s="746">
        <f t="shared" si="1"/>
        <v>2.4914666666666668E-2</v>
      </c>
      <c r="J19" s="747">
        <f t="shared" si="2"/>
        <v>6229000</v>
      </c>
      <c r="L19" s="773"/>
      <c r="N19" s="773"/>
    </row>
    <row r="20" spans="1:14" ht="15" customHeight="1" x14ac:dyDescent="0.2">
      <c r="A20" s="775">
        <v>2500</v>
      </c>
      <c r="B20" s="730" t="s">
        <v>88</v>
      </c>
      <c r="C20" s="740">
        <v>6109000</v>
      </c>
      <c r="D20" s="741">
        <v>6124000</v>
      </c>
      <c r="E20" s="742">
        <v>6067000</v>
      </c>
      <c r="F20" s="743">
        <f t="shared" si="0"/>
        <v>2.4435999999999999E-2</v>
      </c>
      <c r="G20" s="744">
        <f t="shared" si="0"/>
        <v>2.4496E-2</v>
      </c>
      <c r="H20" s="745">
        <f t="shared" si="0"/>
        <v>2.4268000000000001E-2</v>
      </c>
      <c r="I20" s="746">
        <f t="shared" si="1"/>
        <v>2.4400000000000002E-2</v>
      </c>
      <c r="J20" s="747">
        <f t="shared" si="2"/>
        <v>6100000</v>
      </c>
      <c r="L20" s="773"/>
      <c r="N20" s="773"/>
    </row>
    <row r="21" spans="1:14" ht="15" customHeight="1" x14ac:dyDescent="0.2">
      <c r="A21" s="775">
        <v>2600</v>
      </c>
      <c r="B21" s="730" t="s">
        <v>89</v>
      </c>
      <c r="C21" s="740">
        <v>23429000</v>
      </c>
      <c r="D21" s="741">
        <v>22041000</v>
      </c>
      <c r="E21" s="742">
        <v>22068000</v>
      </c>
      <c r="F21" s="743">
        <f t="shared" si="0"/>
        <v>9.3715999999999994E-2</v>
      </c>
      <c r="G21" s="744">
        <f t="shared" si="0"/>
        <v>8.8164000000000006E-2</v>
      </c>
      <c r="H21" s="745">
        <f t="shared" si="0"/>
        <v>8.8272000000000003E-2</v>
      </c>
      <c r="I21" s="746">
        <f t="shared" si="1"/>
        <v>9.0050666666666668E-2</v>
      </c>
      <c r="J21" s="747">
        <f t="shared" si="2"/>
        <v>22513000</v>
      </c>
      <c r="L21" s="773"/>
      <c r="N21" s="773"/>
    </row>
    <row r="22" spans="1:14" ht="15" customHeight="1" x14ac:dyDescent="0.2">
      <c r="A22" s="775">
        <v>2700</v>
      </c>
      <c r="B22" s="730" t="s">
        <v>90</v>
      </c>
      <c r="C22" s="740">
        <v>7753000</v>
      </c>
      <c r="D22" s="741">
        <v>8095000</v>
      </c>
      <c r="E22" s="742">
        <v>7812000</v>
      </c>
      <c r="F22" s="743">
        <f t="shared" si="0"/>
        <v>3.1012000000000001E-2</v>
      </c>
      <c r="G22" s="744">
        <f t="shared" si="0"/>
        <v>3.2379999999999999E-2</v>
      </c>
      <c r="H22" s="745">
        <f t="shared" si="0"/>
        <v>3.1248000000000001E-2</v>
      </c>
      <c r="I22" s="746">
        <f t="shared" si="1"/>
        <v>3.1546666666666667E-2</v>
      </c>
      <c r="J22" s="747">
        <f>ROUND(+J$34*I22,-3)</f>
        <v>7887000</v>
      </c>
      <c r="L22" s="773"/>
      <c r="N22" s="773"/>
    </row>
    <row r="23" spans="1:14" ht="15" customHeight="1" x14ac:dyDescent="0.2">
      <c r="A23" s="775">
        <v>2800</v>
      </c>
      <c r="B23" s="730" t="s">
        <v>91</v>
      </c>
      <c r="C23" s="740">
        <v>4955000</v>
      </c>
      <c r="D23" s="741">
        <v>5121000</v>
      </c>
      <c r="E23" s="742">
        <v>5026000</v>
      </c>
      <c r="F23" s="743">
        <f t="shared" si="0"/>
        <v>1.9820000000000001E-2</v>
      </c>
      <c r="G23" s="744">
        <f t="shared" si="0"/>
        <v>2.0483999999999999E-2</v>
      </c>
      <c r="H23" s="745">
        <f t="shared" si="0"/>
        <v>2.0104E-2</v>
      </c>
      <c r="I23" s="746">
        <f t="shared" si="1"/>
        <v>2.0136000000000001E-2</v>
      </c>
      <c r="J23" s="747">
        <f t="shared" si="2"/>
        <v>5034000</v>
      </c>
      <c r="L23" s="773"/>
      <c r="N23" s="773"/>
    </row>
    <row r="24" spans="1:14" ht="15" customHeight="1" x14ac:dyDescent="0.2">
      <c r="A24" s="775">
        <v>3100</v>
      </c>
      <c r="B24" s="730" t="s">
        <v>92</v>
      </c>
      <c r="C24" s="740">
        <v>11690000</v>
      </c>
      <c r="D24" s="741">
        <v>12067000</v>
      </c>
      <c r="E24" s="742">
        <v>11759000</v>
      </c>
      <c r="F24" s="743">
        <f t="shared" si="0"/>
        <v>4.6760000000000003E-2</v>
      </c>
      <c r="G24" s="744">
        <f t="shared" si="0"/>
        <v>4.8267999999999998E-2</v>
      </c>
      <c r="H24" s="745">
        <f t="shared" si="0"/>
        <v>4.7036000000000001E-2</v>
      </c>
      <c r="I24" s="746">
        <f t="shared" si="1"/>
        <v>4.7354666666666663E-2</v>
      </c>
      <c r="J24" s="747">
        <f t="shared" si="2"/>
        <v>11839000</v>
      </c>
      <c r="L24" s="773"/>
      <c r="N24" s="773"/>
    </row>
    <row r="25" spans="1:14" ht="15" customHeight="1" x14ac:dyDescent="0.2">
      <c r="A25" s="775">
        <v>4100</v>
      </c>
      <c r="B25" s="730" t="s">
        <v>93</v>
      </c>
      <c r="C25" s="740">
        <v>12720000</v>
      </c>
      <c r="D25" s="741">
        <v>13328000</v>
      </c>
      <c r="E25" s="742">
        <v>13635000</v>
      </c>
      <c r="F25" s="743">
        <f t="shared" si="0"/>
        <v>5.0880000000000002E-2</v>
      </c>
      <c r="G25" s="744">
        <f t="shared" si="0"/>
        <v>5.3311999999999998E-2</v>
      </c>
      <c r="H25" s="745">
        <f t="shared" si="0"/>
        <v>5.4539999999999998E-2</v>
      </c>
      <c r="I25" s="746">
        <f t="shared" si="1"/>
        <v>5.2910666666666668E-2</v>
      </c>
      <c r="J25" s="747">
        <f t="shared" si="2"/>
        <v>13228000</v>
      </c>
      <c r="L25" s="773"/>
      <c r="N25" s="773"/>
    </row>
    <row r="26" spans="1:14" ht="15" customHeight="1" x14ac:dyDescent="0.2">
      <c r="A26" s="775">
        <v>4300</v>
      </c>
      <c r="B26" s="730" t="s">
        <v>94</v>
      </c>
      <c r="C26" s="740">
        <v>7930000</v>
      </c>
      <c r="D26" s="741">
        <v>7588000</v>
      </c>
      <c r="E26" s="742">
        <v>6718000</v>
      </c>
      <c r="F26" s="743">
        <f t="shared" si="0"/>
        <v>3.1719999999999998E-2</v>
      </c>
      <c r="G26" s="744">
        <f t="shared" si="0"/>
        <v>3.0352000000000001E-2</v>
      </c>
      <c r="H26" s="745">
        <f t="shared" si="0"/>
        <v>2.6872E-2</v>
      </c>
      <c r="I26" s="746">
        <f t="shared" si="1"/>
        <v>2.9647999999999997E-2</v>
      </c>
      <c r="J26" s="747">
        <f t="shared" si="2"/>
        <v>7412000</v>
      </c>
      <c r="L26" s="773"/>
      <c r="N26" s="773"/>
    </row>
    <row r="27" spans="1:14" ht="15" customHeight="1" x14ac:dyDescent="0.2">
      <c r="A27" s="775">
        <v>5100</v>
      </c>
      <c r="B27" s="730" t="s">
        <v>95</v>
      </c>
      <c r="C27" s="740">
        <v>3674000</v>
      </c>
      <c r="D27" s="741">
        <v>3692000</v>
      </c>
      <c r="E27" s="742">
        <v>3917000</v>
      </c>
      <c r="F27" s="743">
        <f t="shared" si="0"/>
        <v>1.4696000000000001E-2</v>
      </c>
      <c r="G27" s="744">
        <f t="shared" si="0"/>
        <v>1.4768E-2</v>
      </c>
      <c r="H27" s="745">
        <f t="shared" si="0"/>
        <v>1.5668000000000001E-2</v>
      </c>
      <c r="I27" s="746">
        <f t="shared" si="1"/>
        <v>1.5044000000000002E-2</v>
      </c>
      <c r="J27" s="747">
        <f t="shared" si="2"/>
        <v>3761000</v>
      </c>
      <c r="L27" s="773"/>
      <c r="N27" s="773"/>
    </row>
    <row r="28" spans="1:14" ht="15" customHeight="1" x14ac:dyDescent="0.2">
      <c r="A28" s="775">
        <v>5200</v>
      </c>
      <c r="B28" s="730" t="s">
        <v>96</v>
      </c>
      <c r="C28" s="740">
        <v>427000</v>
      </c>
      <c r="D28" s="741">
        <v>436000</v>
      </c>
      <c r="E28" s="742">
        <v>446000</v>
      </c>
      <c r="F28" s="743">
        <f t="shared" si="0"/>
        <v>1.7080000000000001E-3</v>
      </c>
      <c r="G28" s="744">
        <f t="shared" si="0"/>
        <v>1.7440000000000001E-3</v>
      </c>
      <c r="H28" s="745">
        <f t="shared" si="0"/>
        <v>1.784E-3</v>
      </c>
      <c r="I28" s="746">
        <f t="shared" si="1"/>
        <v>1.7453333333333333E-3</v>
      </c>
      <c r="J28" s="747">
        <f t="shared" si="2"/>
        <v>436000</v>
      </c>
      <c r="L28" s="773"/>
      <c r="N28" s="773"/>
    </row>
    <row r="29" spans="1:14" ht="15" customHeight="1" x14ac:dyDescent="0.2">
      <c r="A29" s="775">
        <v>5300</v>
      </c>
      <c r="B29" s="730" t="s">
        <v>97</v>
      </c>
      <c r="C29" s="740">
        <v>1187000</v>
      </c>
      <c r="D29" s="741">
        <v>1199000</v>
      </c>
      <c r="E29" s="742">
        <v>1190000</v>
      </c>
      <c r="F29" s="743">
        <f t="shared" si="0"/>
        <v>4.7479999999999996E-3</v>
      </c>
      <c r="G29" s="744">
        <f t="shared" si="0"/>
        <v>4.7959999999999999E-3</v>
      </c>
      <c r="H29" s="745">
        <f t="shared" si="0"/>
        <v>4.7600000000000003E-3</v>
      </c>
      <c r="I29" s="746">
        <f t="shared" si="1"/>
        <v>4.7680000000000005E-3</v>
      </c>
      <c r="J29" s="747">
        <f t="shared" si="2"/>
        <v>1192000</v>
      </c>
      <c r="L29" s="773"/>
      <c r="N29" s="773"/>
    </row>
    <row r="30" spans="1:14" ht="15" customHeight="1" x14ac:dyDescent="0.2">
      <c r="A30" s="775">
        <v>5400</v>
      </c>
      <c r="B30" s="730" t="s">
        <v>98</v>
      </c>
      <c r="C30" s="740">
        <v>2315000</v>
      </c>
      <c r="D30" s="741">
        <v>2312000</v>
      </c>
      <c r="E30" s="742">
        <v>2366000</v>
      </c>
      <c r="F30" s="743">
        <f t="shared" si="0"/>
        <v>9.2599999999999991E-3</v>
      </c>
      <c r="G30" s="744">
        <f t="shared" si="0"/>
        <v>9.2479999999999993E-3</v>
      </c>
      <c r="H30" s="745">
        <f t="shared" si="0"/>
        <v>9.4640000000000002E-3</v>
      </c>
      <c r="I30" s="746">
        <f t="shared" si="1"/>
        <v>9.323999999999999E-3</v>
      </c>
      <c r="J30" s="747">
        <f t="shared" si="2"/>
        <v>2331000</v>
      </c>
      <c r="L30" s="773"/>
      <c r="N30" s="773"/>
    </row>
    <row r="31" spans="1:14" ht="15" customHeight="1" x14ac:dyDescent="0.2">
      <c r="A31" s="775">
        <v>5500</v>
      </c>
      <c r="B31" s="730" t="s">
        <v>99</v>
      </c>
      <c r="C31" s="740">
        <v>1248000</v>
      </c>
      <c r="D31" s="741">
        <v>1198000</v>
      </c>
      <c r="E31" s="742">
        <v>1208000</v>
      </c>
      <c r="F31" s="743">
        <f t="shared" si="0"/>
        <v>4.9919999999999999E-3</v>
      </c>
      <c r="G31" s="744">
        <f t="shared" si="0"/>
        <v>4.7920000000000003E-3</v>
      </c>
      <c r="H31" s="745">
        <f t="shared" si="0"/>
        <v>4.8320000000000004E-3</v>
      </c>
      <c r="I31" s="746">
        <f t="shared" si="1"/>
        <v>4.8720000000000005E-3</v>
      </c>
      <c r="J31" s="747">
        <f t="shared" si="2"/>
        <v>1218000</v>
      </c>
      <c r="L31" s="773"/>
      <c r="N31" s="773"/>
    </row>
    <row r="32" spans="1:14" ht="15" customHeight="1" thickBot="1" x14ac:dyDescent="0.25">
      <c r="A32" s="776">
        <v>5600</v>
      </c>
      <c r="B32" s="731" t="s">
        <v>100</v>
      </c>
      <c r="C32" s="748">
        <v>1081000</v>
      </c>
      <c r="D32" s="749">
        <v>1180000</v>
      </c>
      <c r="E32" s="750">
        <v>1009000</v>
      </c>
      <c r="F32" s="751">
        <f t="shared" si="0"/>
        <v>4.3239999999999997E-3</v>
      </c>
      <c r="G32" s="752">
        <f t="shared" si="0"/>
        <v>4.7200000000000002E-3</v>
      </c>
      <c r="H32" s="753">
        <f t="shared" si="0"/>
        <v>4.0359999999999997E-3</v>
      </c>
      <c r="I32" s="754">
        <f t="shared" si="1"/>
        <v>4.3600000000000002E-3</v>
      </c>
      <c r="J32" s="755">
        <f t="shared" si="2"/>
        <v>1090000</v>
      </c>
      <c r="L32" s="773"/>
      <c r="N32" s="773"/>
    </row>
    <row r="33" spans="1:10" ht="15" customHeight="1" thickBot="1" x14ac:dyDescent="0.25">
      <c r="A33" s="1012" t="s">
        <v>206</v>
      </c>
      <c r="B33" s="1013"/>
      <c r="C33" s="756">
        <f>SUM(C7:C32)</f>
        <v>250000000</v>
      </c>
      <c r="D33" s="757">
        <f t="shared" ref="D33:I33" si="3">SUM(D7:D32)</f>
        <v>250000000</v>
      </c>
      <c r="E33" s="758">
        <f t="shared" si="3"/>
        <v>250000000</v>
      </c>
      <c r="F33" s="759">
        <f t="shared" si="3"/>
        <v>1.0000000000000002</v>
      </c>
      <c r="G33" s="760">
        <f t="shared" si="3"/>
        <v>1</v>
      </c>
      <c r="H33" s="761">
        <f t="shared" si="3"/>
        <v>1.0000000000000002</v>
      </c>
      <c r="I33" s="762">
        <f t="shared" si="3"/>
        <v>1</v>
      </c>
      <c r="J33" s="763">
        <f>SUM(J7:J32)</f>
        <v>250000000</v>
      </c>
    </row>
    <row r="34" spans="1:10" x14ac:dyDescent="0.2">
      <c r="J34" s="177">
        <f>250000000-1300</f>
        <v>249998700</v>
      </c>
    </row>
    <row r="35" spans="1:10" x14ac:dyDescent="0.2">
      <c r="A35" s="794" t="s">
        <v>240</v>
      </c>
      <c r="B35" s="166"/>
    </row>
    <row r="36" spans="1:10" x14ac:dyDescent="0.2">
      <c r="A36" s="166"/>
      <c r="B36" s="166"/>
    </row>
    <row r="37" spans="1:10" x14ac:dyDescent="0.2">
      <c r="A37" s="166"/>
      <c r="B37" s="166"/>
    </row>
    <row r="38" spans="1:10" x14ac:dyDescent="0.2">
      <c r="A38" s="166"/>
      <c r="B38" s="166"/>
    </row>
    <row r="39" spans="1:10" x14ac:dyDescent="0.2">
      <c r="A39" s="166"/>
      <c r="B39" s="166"/>
    </row>
    <row r="40" spans="1:10" x14ac:dyDescent="0.2">
      <c r="A40" s="166"/>
      <c r="B40" s="166"/>
    </row>
    <row r="41" spans="1:10" x14ac:dyDescent="0.2">
      <c r="A41" s="166"/>
      <c r="B41" s="166"/>
    </row>
    <row r="42" spans="1:10" x14ac:dyDescent="0.2">
      <c r="A42" s="166"/>
      <c r="B42" s="166"/>
    </row>
    <row r="43" spans="1:10" x14ac:dyDescent="0.2">
      <c r="A43" s="166"/>
      <c r="B43" s="166"/>
    </row>
    <row r="44" spans="1:10" x14ac:dyDescent="0.2">
      <c r="A44" s="166"/>
      <c r="B44" s="166"/>
    </row>
    <row r="45" spans="1:10" x14ac:dyDescent="0.2">
      <c r="A45" s="166"/>
      <c r="B45" s="166"/>
    </row>
    <row r="46" spans="1:10" x14ac:dyDescent="0.2">
      <c r="A46" s="166"/>
      <c r="B46" s="166"/>
    </row>
    <row r="47" spans="1:10" x14ac:dyDescent="0.2">
      <c r="A47" s="166"/>
      <c r="B47" s="166"/>
    </row>
    <row r="48" spans="1:10" x14ac:dyDescent="0.2">
      <c r="A48" s="166"/>
      <c r="B48" s="166"/>
    </row>
    <row r="49" spans="1:2" x14ac:dyDescent="0.2">
      <c r="A49" s="166"/>
      <c r="B49" s="166"/>
    </row>
    <row r="50" spans="1:2" x14ac:dyDescent="0.2">
      <c r="A50" s="166"/>
      <c r="B50" s="166"/>
    </row>
    <row r="51" spans="1:2" x14ac:dyDescent="0.2">
      <c r="A51" s="166"/>
      <c r="B51" s="166"/>
    </row>
  </sheetData>
  <mergeCells count="5">
    <mergeCell ref="A33:B33"/>
    <mergeCell ref="C5:E5"/>
    <mergeCell ref="F5:H5"/>
    <mergeCell ref="I5:I6"/>
    <mergeCell ref="A5:B6"/>
  </mergeCells>
  <hyperlinks>
    <hyperlink ref="A35" location="'0 Seznam'!A1" display="'0 Seznam'!A1"/>
  </hyperlinks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Header>&amp;LČ. j.: MSMT-1251/2018-1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topLeftCell="A16" zoomScale="70" zoomScaleNormal="70" workbookViewId="0">
      <selection sqref="A1:Q1"/>
    </sheetView>
  </sheetViews>
  <sheetFormatPr defaultRowHeight="12.75" x14ac:dyDescent="0.2"/>
  <cols>
    <col min="1" max="2" width="4.85546875" bestFit="1" customWidth="1"/>
    <col min="3" max="3" width="7.28515625" customWidth="1"/>
    <col min="4" max="4" width="17.140625" customWidth="1"/>
    <col min="5" max="9" width="23.28515625" customWidth="1"/>
    <col min="10" max="10" width="21" customWidth="1"/>
    <col min="11" max="11" width="18.7109375" customWidth="1"/>
    <col min="12" max="12" width="22.7109375" customWidth="1"/>
    <col min="13" max="14" width="19.42578125" customWidth="1"/>
    <col min="15" max="15" width="22.28515625" customWidth="1"/>
    <col min="16" max="17" width="19.42578125" customWidth="1"/>
  </cols>
  <sheetData>
    <row r="1" spans="1:17" ht="27.75" x14ac:dyDescent="0.2">
      <c r="A1" s="810" t="s">
        <v>233</v>
      </c>
      <c r="B1" s="810"/>
      <c r="C1" s="810"/>
      <c r="D1" s="810"/>
      <c r="E1" s="810"/>
      <c r="F1" s="810"/>
      <c r="G1" s="810"/>
      <c r="H1" s="810"/>
      <c r="I1" s="810"/>
      <c r="J1" s="810"/>
      <c r="K1" s="810"/>
      <c r="L1" s="810"/>
      <c r="M1" s="810"/>
      <c r="N1" s="810"/>
      <c r="O1" s="810"/>
      <c r="P1" s="810"/>
      <c r="Q1" s="810"/>
    </row>
    <row r="2" spans="1:17" ht="15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</row>
    <row r="3" spans="1:17" ht="15.75" thickBot="1" x14ac:dyDescent="0.25">
      <c r="A3" s="3"/>
      <c r="B3" s="3"/>
      <c r="C3" s="2"/>
      <c r="D3" s="2"/>
      <c r="E3" s="2"/>
      <c r="F3" s="2"/>
      <c r="G3" s="2"/>
      <c r="H3" s="2"/>
      <c r="I3" s="2"/>
      <c r="J3" s="5"/>
      <c r="K3" s="5"/>
      <c r="L3" s="6"/>
      <c r="M3" s="5"/>
      <c r="N3" s="7"/>
      <c r="O3" s="3"/>
      <c r="P3" s="156" t="s">
        <v>145</v>
      </c>
      <c r="Q3" s="633"/>
    </row>
    <row r="4" spans="1:17" ht="19.5" thickBot="1" x14ac:dyDescent="0.25">
      <c r="A4" s="811" t="s">
        <v>1</v>
      </c>
      <c r="B4" s="812"/>
      <c r="C4" s="812"/>
      <c r="D4" s="812"/>
      <c r="E4" s="8" t="s">
        <v>2</v>
      </c>
      <c r="F4" s="9" t="s">
        <v>3</v>
      </c>
      <c r="G4" s="10" t="s">
        <v>264</v>
      </c>
      <c r="H4" s="306" t="s">
        <v>234</v>
      </c>
      <c r="I4" s="11" t="s">
        <v>4</v>
      </c>
      <c r="J4" s="813" t="s">
        <v>1</v>
      </c>
      <c r="K4" s="814"/>
      <c r="L4" s="8" t="s">
        <v>2</v>
      </c>
      <c r="M4" s="9" t="s">
        <v>3</v>
      </c>
      <c r="N4" s="10" t="s">
        <v>151</v>
      </c>
      <c r="O4" s="306" t="s">
        <v>188</v>
      </c>
      <c r="P4" s="12" t="s">
        <v>4</v>
      </c>
      <c r="Q4" s="633"/>
    </row>
    <row r="5" spans="1:17" ht="15" x14ac:dyDescent="0.2">
      <c r="A5" s="815" t="s">
        <v>5</v>
      </c>
      <c r="B5" s="816"/>
      <c r="C5" s="816"/>
      <c r="D5" s="817"/>
      <c r="E5" s="13">
        <v>35858</v>
      </c>
      <c r="F5" s="14">
        <v>36127</v>
      </c>
      <c r="G5" s="15">
        <v>36849</v>
      </c>
      <c r="H5" s="310">
        <v>42880.734818197314</v>
      </c>
      <c r="I5" s="16" t="s">
        <v>8</v>
      </c>
      <c r="J5" s="818" t="s">
        <v>288</v>
      </c>
      <c r="K5" s="819"/>
      <c r="L5" s="21">
        <v>90000</v>
      </c>
      <c r="M5" s="21">
        <v>90000</v>
      </c>
      <c r="N5" s="21">
        <v>90000</v>
      </c>
      <c r="O5" s="307">
        <v>135000</v>
      </c>
      <c r="P5" s="17">
        <f>O5/N5-1</f>
        <v>0.5</v>
      </c>
      <c r="Q5" s="633"/>
    </row>
    <row r="6" spans="1:17" ht="15" x14ac:dyDescent="0.2">
      <c r="A6" s="805" t="s">
        <v>6</v>
      </c>
      <c r="B6" s="806"/>
      <c r="C6" s="806"/>
      <c r="D6" s="807"/>
      <c r="E6" s="599">
        <v>27252</v>
      </c>
      <c r="F6" s="18">
        <v>27445</v>
      </c>
      <c r="G6" s="19" t="s">
        <v>8</v>
      </c>
      <c r="H6" s="311" t="s">
        <v>8</v>
      </c>
      <c r="I6" s="20" t="s">
        <v>8</v>
      </c>
      <c r="J6" s="808" t="s">
        <v>235</v>
      </c>
      <c r="K6" s="809"/>
      <c r="L6" s="21">
        <v>5400</v>
      </c>
      <c r="M6" s="21">
        <v>5400.0266777715606</v>
      </c>
      <c r="N6" s="21">
        <v>5400.0266777715606</v>
      </c>
      <c r="O6" s="308">
        <v>5400.0266777715606</v>
      </c>
      <c r="P6" s="20">
        <f>O6/N6-1</f>
        <v>0</v>
      </c>
      <c r="Q6" s="633"/>
    </row>
    <row r="7" spans="1:17" ht="15.75" thickBot="1" x14ac:dyDescent="0.25">
      <c r="A7" s="836" t="s">
        <v>7</v>
      </c>
      <c r="B7" s="837"/>
      <c r="C7" s="837"/>
      <c r="D7" s="837"/>
      <c r="E7" s="600" t="s">
        <v>8</v>
      </c>
      <c r="F7" s="22" t="s">
        <v>8</v>
      </c>
      <c r="G7" s="23" t="s">
        <v>8</v>
      </c>
      <c r="H7" s="312" t="s">
        <v>8</v>
      </c>
      <c r="I7" s="24" t="s">
        <v>8</v>
      </c>
      <c r="J7" s="808" t="s">
        <v>236</v>
      </c>
      <c r="K7" s="809"/>
      <c r="L7" s="21">
        <v>1620</v>
      </c>
      <c r="M7" s="21">
        <v>1620</v>
      </c>
      <c r="N7" s="21">
        <v>2750</v>
      </c>
      <c r="O7" s="308">
        <v>3050</v>
      </c>
      <c r="P7" s="20">
        <f>O7/N7-1</f>
        <v>0.10909090909090913</v>
      </c>
      <c r="Q7" s="633"/>
    </row>
    <row r="8" spans="1:17" ht="15.75" thickBot="1" x14ac:dyDescent="0.25">
      <c r="A8" s="838"/>
      <c r="B8" s="838"/>
      <c r="C8" s="838"/>
      <c r="D8" s="838"/>
      <c r="E8" s="838"/>
      <c r="F8" s="838"/>
      <c r="G8" s="838"/>
      <c r="H8" s="838"/>
      <c r="I8" s="493"/>
      <c r="J8" s="839" t="s">
        <v>9</v>
      </c>
      <c r="K8" s="840"/>
      <c r="L8" s="25">
        <v>17.95</v>
      </c>
      <c r="M8" s="25">
        <v>17.95</v>
      </c>
      <c r="N8" s="25">
        <v>17.95</v>
      </c>
      <c r="O8" s="309">
        <v>17.95</v>
      </c>
      <c r="P8" s="26">
        <f>O8/N8-1</f>
        <v>0</v>
      </c>
    </row>
    <row r="9" spans="1:17" ht="15.75" thickBot="1" x14ac:dyDescent="0.25">
      <c r="A9" s="841"/>
      <c r="B9" s="841"/>
      <c r="C9" s="841"/>
      <c r="D9" s="841"/>
      <c r="E9" s="841"/>
      <c r="F9" s="841"/>
      <c r="G9" s="841"/>
      <c r="H9" s="841"/>
      <c r="I9" s="841"/>
      <c r="J9" s="27"/>
      <c r="K9" s="27"/>
      <c r="L9" s="27"/>
      <c r="M9" s="27"/>
      <c r="N9" s="27"/>
      <c r="O9" s="3"/>
      <c r="P9" s="3"/>
      <c r="Q9" s="156" t="s">
        <v>237</v>
      </c>
    </row>
    <row r="10" spans="1:17" x14ac:dyDescent="0.2">
      <c r="A10" s="820" t="s">
        <v>10</v>
      </c>
      <c r="B10" s="822" t="s">
        <v>11</v>
      </c>
      <c r="C10" s="824" t="s">
        <v>12</v>
      </c>
      <c r="D10" s="825"/>
      <c r="E10" s="825"/>
      <c r="F10" s="825"/>
      <c r="G10" s="826"/>
      <c r="H10" s="833" t="s">
        <v>15</v>
      </c>
      <c r="I10" s="833" t="s">
        <v>59</v>
      </c>
      <c r="J10" s="856" t="s">
        <v>13</v>
      </c>
      <c r="K10" s="859" t="s">
        <v>14</v>
      </c>
      <c r="L10" s="872" t="s">
        <v>152</v>
      </c>
      <c r="M10" s="875" t="s">
        <v>16</v>
      </c>
      <c r="N10" s="866" t="s">
        <v>17</v>
      </c>
      <c r="O10" s="869" t="s">
        <v>189</v>
      </c>
      <c r="P10" s="842" t="s">
        <v>18</v>
      </c>
      <c r="Q10" s="845" t="s">
        <v>19</v>
      </c>
    </row>
    <row r="11" spans="1:17" x14ac:dyDescent="0.2">
      <c r="A11" s="821"/>
      <c r="B11" s="823"/>
      <c r="C11" s="827"/>
      <c r="D11" s="828"/>
      <c r="E11" s="828"/>
      <c r="F11" s="828"/>
      <c r="G11" s="829"/>
      <c r="H11" s="834"/>
      <c r="I11" s="834"/>
      <c r="J11" s="857"/>
      <c r="K11" s="860"/>
      <c r="L11" s="873"/>
      <c r="M11" s="876"/>
      <c r="N11" s="867"/>
      <c r="O11" s="870"/>
      <c r="P11" s="843"/>
      <c r="Q11" s="846"/>
    </row>
    <row r="12" spans="1:17" ht="18.75" customHeight="1" thickBot="1" x14ac:dyDescent="0.25">
      <c r="A12" s="821"/>
      <c r="B12" s="823"/>
      <c r="C12" s="830"/>
      <c r="D12" s="831"/>
      <c r="E12" s="831"/>
      <c r="F12" s="831"/>
      <c r="G12" s="832"/>
      <c r="H12" s="835"/>
      <c r="I12" s="835"/>
      <c r="J12" s="858"/>
      <c r="K12" s="861"/>
      <c r="L12" s="874"/>
      <c r="M12" s="877"/>
      <c r="N12" s="868"/>
      <c r="O12" s="871"/>
      <c r="P12" s="844"/>
      <c r="Q12" s="847"/>
    </row>
    <row r="13" spans="1:17" ht="12.75" customHeight="1" thickBot="1" x14ac:dyDescent="0.25">
      <c r="A13" s="28"/>
      <c r="B13" s="29"/>
      <c r="C13" s="848">
        <v>1</v>
      </c>
      <c r="D13" s="849"/>
      <c r="E13" s="849"/>
      <c r="F13" s="849"/>
      <c r="G13" s="849"/>
      <c r="H13" s="30">
        <v>2</v>
      </c>
      <c r="I13" s="30">
        <v>3</v>
      </c>
      <c r="J13" s="32">
        <v>4</v>
      </c>
      <c r="K13" s="31">
        <v>5</v>
      </c>
      <c r="L13" s="33">
        <v>6</v>
      </c>
      <c r="M13" s="32">
        <v>7</v>
      </c>
      <c r="N13" s="34">
        <v>8</v>
      </c>
      <c r="O13" s="315">
        <v>9</v>
      </c>
      <c r="P13" s="32">
        <v>10</v>
      </c>
      <c r="Q13" s="34">
        <v>11</v>
      </c>
    </row>
    <row r="14" spans="1:17" ht="3.75" customHeight="1" x14ac:dyDescent="0.2">
      <c r="A14" s="35"/>
      <c r="B14" s="36"/>
      <c r="C14" s="37"/>
      <c r="D14" s="5"/>
      <c r="E14" s="5"/>
      <c r="F14" s="5"/>
      <c r="G14" s="5"/>
      <c r="H14" s="38"/>
      <c r="I14" s="38"/>
      <c r="J14" s="39"/>
      <c r="K14" s="40"/>
      <c r="L14" s="41"/>
      <c r="M14" s="39"/>
      <c r="N14" s="42"/>
      <c r="O14" s="316"/>
      <c r="P14" s="39"/>
      <c r="Q14" s="42"/>
    </row>
    <row r="15" spans="1:17" ht="15.75" customHeight="1" thickBot="1" x14ac:dyDescent="0.25">
      <c r="A15" s="35"/>
      <c r="B15" s="36"/>
      <c r="C15" s="43" t="s">
        <v>156</v>
      </c>
      <c r="D15" s="5"/>
      <c r="E15" s="5"/>
      <c r="F15" s="5"/>
      <c r="G15" s="5"/>
      <c r="H15" s="38"/>
      <c r="I15" s="38"/>
      <c r="J15" s="39"/>
      <c r="K15" s="40"/>
      <c r="L15" s="44"/>
      <c r="M15" s="39"/>
      <c r="N15" s="42"/>
      <c r="O15" s="317"/>
      <c r="P15" s="39"/>
      <c r="Q15" s="42"/>
    </row>
    <row r="16" spans="1:17" ht="14.25" x14ac:dyDescent="0.2">
      <c r="A16" s="45" t="s">
        <v>20</v>
      </c>
      <c r="B16" s="46"/>
      <c r="C16" s="862" t="s">
        <v>238</v>
      </c>
      <c r="D16" s="863"/>
      <c r="E16" s="863"/>
      <c r="F16" s="863"/>
      <c r="G16" s="863"/>
      <c r="H16" s="47">
        <v>12245233</v>
      </c>
      <c r="I16" s="47">
        <v>11723777656.32</v>
      </c>
      <c r="J16" s="49">
        <f>I16/$I$55</f>
        <v>0.61343194025569092</v>
      </c>
      <c r="K16" s="48">
        <f>I16/H16/1000-1</f>
        <v>-4.2584354554952131E-2</v>
      </c>
      <c r="L16" s="50">
        <v>14567420908.800001</v>
      </c>
      <c r="M16" s="49">
        <f>L16/$L$55</f>
        <v>0.76222200169322241</v>
      </c>
      <c r="N16" s="51">
        <f>L16/I16-1</f>
        <v>0.24255349562579465</v>
      </c>
      <c r="O16" s="318">
        <v>15067420909</v>
      </c>
      <c r="P16" s="49">
        <f>O16/$O$55</f>
        <v>0.65999902826782819</v>
      </c>
      <c r="Q16" s="51">
        <f>O16/L16-1</f>
        <v>3.4323165598788563E-2</v>
      </c>
    </row>
    <row r="17" spans="1:17" ht="15" thickBot="1" x14ac:dyDescent="0.25">
      <c r="A17" s="53" t="s">
        <v>20</v>
      </c>
      <c r="B17" s="54"/>
      <c r="C17" s="864" t="s">
        <v>239</v>
      </c>
      <c r="D17" s="865"/>
      <c r="E17" s="865"/>
      <c r="F17" s="865"/>
      <c r="G17" s="865"/>
      <c r="H17" s="55">
        <v>3866916</v>
      </c>
      <c r="I17" s="55">
        <v>3702245575.6799998</v>
      </c>
      <c r="J17" s="56">
        <f>I17/$I$55</f>
        <v>0.19371534955442871</v>
      </c>
      <c r="K17" s="57">
        <f t="shared" ref="K17:K18" si="0">I17/H17/1000-1</f>
        <v>-4.2584432741750833E-2</v>
      </c>
      <c r="L17" s="58">
        <v>1618602323.2</v>
      </c>
      <c r="M17" s="56">
        <f>L17/$L$55</f>
        <v>8.4691333521469153E-2</v>
      </c>
      <c r="N17" s="59">
        <f t="shared" ref="N17:N18" si="1">L17/I17-1</f>
        <v>-0.56280525153907224</v>
      </c>
      <c r="O17" s="319">
        <v>3118602323</v>
      </c>
      <c r="P17" s="56">
        <f>O17/$O$55</f>
        <v>0.1366043011053307</v>
      </c>
      <c r="Q17" s="59">
        <f>O17/L17-1</f>
        <v>0.92672547067304234</v>
      </c>
    </row>
    <row r="18" spans="1:17" ht="15.75" thickBot="1" x14ac:dyDescent="0.25">
      <c r="A18" s="60"/>
      <c r="B18" s="61"/>
      <c r="C18" s="854" t="s">
        <v>21</v>
      </c>
      <c r="D18" s="855"/>
      <c r="E18" s="855"/>
      <c r="F18" s="855"/>
      <c r="G18" s="855"/>
      <c r="H18" s="62">
        <f>SUM(H17,H16)</f>
        <v>16112149</v>
      </c>
      <c r="I18" s="62">
        <f>SUM(I17,I16)</f>
        <v>15426023232</v>
      </c>
      <c r="J18" s="63">
        <f>I18/$I$55</f>
        <v>0.80714728981011963</v>
      </c>
      <c r="K18" s="64">
        <f t="shared" si="0"/>
        <v>-4.2584373319784929E-2</v>
      </c>
      <c r="L18" s="65">
        <f>SUM(L17,L16)</f>
        <v>16186023232.000002</v>
      </c>
      <c r="M18" s="63">
        <f>L18/$L$56</f>
        <v>0.80348157540304832</v>
      </c>
      <c r="N18" s="66">
        <f t="shared" si="1"/>
        <v>4.9267396306226452E-2</v>
      </c>
      <c r="O18" s="320">
        <f>SUM(O17,O16)</f>
        <v>18186023232</v>
      </c>
      <c r="P18" s="63">
        <f>O18/$O$55</f>
        <v>0.79660332937315892</v>
      </c>
      <c r="Q18" s="66">
        <f>O18/L18-1</f>
        <v>0.12356339610621392</v>
      </c>
    </row>
    <row r="19" spans="1:17" ht="3.75" customHeight="1" x14ac:dyDescent="0.2">
      <c r="A19" s="35"/>
      <c r="B19" s="36"/>
      <c r="C19" s="37"/>
      <c r="D19" s="5"/>
      <c r="E19" s="5"/>
      <c r="F19" s="5"/>
      <c r="G19" s="5"/>
      <c r="H19" s="67"/>
      <c r="I19" s="67"/>
      <c r="J19" s="68"/>
      <c r="K19" s="69"/>
      <c r="L19" s="70"/>
      <c r="M19" s="68"/>
      <c r="N19" s="71"/>
      <c r="O19" s="321"/>
      <c r="P19" s="68"/>
      <c r="Q19" s="71"/>
    </row>
    <row r="20" spans="1:17" ht="15" thickBot="1" x14ac:dyDescent="0.25">
      <c r="A20" s="35"/>
      <c r="B20" s="36"/>
      <c r="C20" s="37" t="s">
        <v>22</v>
      </c>
      <c r="D20" s="5"/>
      <c r="E20" s="5"/>
      <c r="F20" s="5"/>
      <c r="G20" s="5"/>
      <c r="H20" s="67"/>
      <c r="I20" s="67"/>
      <c r="J20" s="72"/>
      <c r="K20" s="72"/>
      <c r="L20" s="70"/>
      <c r="M20" s="72"/>
      <c r="N20" s="73"/>
      <c r="O20" s="321"/>
      <c r="P20" s="72"/>
      <c r="Q20" s="73"/>
    </row>
    <row r="21" spans="1:17" ht="14.25" x14ac:dyDescent="0.2">
      <c r="A21" s="45" t="s">
        <v>20</v>
      </c>
      <c r="B21" s="46"/>
      <c r="C21" s="850" t="s">
        <v>23</v>
      </c>
      <c r="D21" s="851"/>
      <c r="E21" s="851"/>
      <c r="F21" s="851"/>
      <c r="G21" s="851"/>
      <c r="H21" s="74">
        <v>1070000</v>
      </c>
      <c r="I21" s="74">
        <v>1046790000</v>
      </c>
      <c r="J21" s="76">
        <f t="shared" ref="J21:J27" si="2">I21/$I$55</f>
        <v>5.4771971932962737E-2</v>
      </c>
      <c r="K21" s="75">
        <f t="shared" ref="K21:K27" si="3">I21/H21/1000-1</f>
        <v>-2.1691588785046734E-2</v>
      </c>
      <c r="L21" s="77">
        <v>1013220000</v>
      </c>
      <c r="M21" s="76">
        <f t="shared" ref="M21:M26" si="4">L21/$L$55</f>
        <v>5.3015463848447644E-2</v>
      </c>
      <c r="N21" s="78">
        <f t="shared" ref="N21:N27" si="5">L21/I21-1</f>
        <v>-3.2069469521107341E-2</v>
      </c>
      <c r="O21" s="322">
        <v>1436000000</v>
      </c>
      <c r="P21" s="76">
        <f t="shared" ref="P21:P27" si="6">O21/$O$55</f>
        <v>6.2901183309115011E-2</v>
      </c>
      <c r="Q21" s="78">
        <f t="shared" ref="Q21:Q27" si="7">O21/L21-1</f>
        <v>0.41726377292197148</v>
      </c>
    </row>
    <row r="22" spans="1:17" ht="14.25" x14ac:dyDescent="0.2">
      <c r="A22" s="52"/>
      <c r="B22" s="79" t="s">
        <v>24</v>
      </c>
      <c r="C22" s="852" t="s">
        <v>25</v>
      </c>
      <c r="D22" s="853"/>
      <c r="E22" s="853"/>
      <c r="F22" s="853"/>
      <c r="G22" s="853"/>
      <c r="H22" s="80">
        <v>150000</v>
      </c>
      <c r="I22" s="80">
        <v>137000000</v>
      </c>
      <c r="J22" s="82">
        <f t="shared" si="2"/>
        <v>7.1683529216135956E-3</v>
      </c>
      <c r="K22" s="81">
        <f t="shared" si="3"/>
        <v>-8.666666666666667E-2</v>
      </c>
      <c r="L22" s="83">
        <v>135000000</v>
      </c>
      <c r="M22" s="82">
        <f t="shared" si="4"/>
        <v>7.0637054337068274E-3</v>
      </c>
      <c r="N22" s="84">
        <f t="shared" si="5"/>
        <v>-1.4598540145985384E-2</v>
      </c>
      <c r="O22" s="323">
        <v>135000000</v>
      </c>
      <c r="P22" s="82">
        <f t="shared" si="6"/>
        <v>5.91341207989591E-3</v>
      </c>
      <c r="Q22" s="84">
        <f t="shared" si="7"/>
        <v>0</v>
      </c>
    </row>
    <row r="23" spans="1:17" ht="14.25" x14ac:dyDescent="0.2">
      <c r="A23" s="52" t="s">
        <v>20</v>
      </c>
      <c r="B23" s="79"/>
      <c r="C23" s="852" t="s">
        <v>26</v>
      </c>
      <c r="D23" s="853"/>
      <c r="E23" s="853"/>
      <c r="F23" s="853"/>
      <c r="G23" s="853"/>
      <c r="H23" s="80">
        <v>43000</v>
      </c>
      <c r="I23" s="80">
        <v>40000000</v>
      </c>
      <c r="J23" s="82">
        <f t="shared" si="2"/>
        <v>2.0929497581353563E-3</v>
      </c>
      <c r="K23" s="81">
        <f t="shared" si="3"/>
        <v>-6.9767441860465129E-2</v>
      </c>
      <c r="L23" s="83">
        <v>55000000</v>
      </c>
      <c r="M23" s="82">
        <f t="shared" si="4"/>
        <v>2.8778059174361147E-3</v>
      </c>
      <c r="N23" s="84">
        <f t="shared" si="5"/>
        <v>0.375</v>
      </c>
      <c r="O23" s="323">
        <v>50000000</v>
      </c>
      <c r="P23" s="82">
        <f t="shared" si="6"/>
        <v>2.1901526221836704E-3</v>
      </c>
      <c r="Q23" s="84">
        <f t="shared" si="7"/>
        <v>-9.0909090909090939E-2</v>
      </c>
    </row>
    <row r="24" spans="1:17" ht="14.25" x14ac:dyDescent="0.2">
      <c r="A24" s="52"/>
      <c r="B24" s="79" t="s">
        <v>24</v>
      </c>
      <c r="C24" s="852" t="s">
        <v>27</v>
      </c>
      <c r="D24" s="853"/>
      <c r="E24" s="853"/>
      <c r="F24" s="853"/>
      <c r="G24" s="853"/>
      <c r="H24" s="80">
        <v>2000</v>
      </c>
      <c r="I24" s="80">
        <v>1500000</v>
      </c>
      <c r="J24" s="82">
        <f t="shared" si="2"/>
        <v>7.8485615930075855E-5</v>
      </c>
      <c r="K24" s="81">
        <f t="shared" si="3"/>
        <v>-0.25</v>
      </c>
      <c r="L24" s="83">
        <v>2000000</v>
      </c>
      <c r="M24" s="82">
        <f t="shared" si="4"/>
        <v>1.0464748790676782E-4</v>
      </c>
      <c r="N24" s="84">
        <f t="shared" si="5"/>
        <v>0.33333333333333326</v>
      </c>
      <c r="O24" s="323">
        <v>2000000</v>
      </c>
      <c r="P24" s="82">
        <f t="shared" si="6"/>
        <v>8.7606104887346815E-5</v>
      </c>
      <c r="Q24" s="84">
        <f t="shared" si="7"/>
        <v>0</v>
      </c>
    </row>
    <row r="25" spans="1:17" ht="14.25" x14ac:dyDescent="0.2">
      <c r="A25" s="52" t="s">
        <v>20</v>
      </c>
      <c r="B25" s="79"/>
      <c r="C25" s="852" t="s">
        <v>28</v>
      </c>
      <c r="D25" s="853"/>
      <c r="E25" s="853"/>
      <c r="F25" s="853"/>
      <c r="G25" s="853"/>
      <c r="H25" s="80">
        <v>776966</v>
      </c>
      <c r="I25" s="80">
        <v>731081000</v>
      </c>
      <c r="J25" s="82">
        <f t="shared" si="2"/>
        <v>3.8252895053183862E-2</v>
      </c>
      <c r="K25" s="81">
        <f t="shared" si="3"/>
        <v>-5.9056638257015126E-2</v>
      </c>
      <c r="L25" s="83">
        <v>699456600</v>
      </c>
      <c r="M25" s="82">
        <f t="shared" si="4"/>
        <v>3.6598188044904466E-2</v>
      </c>
      <c r="N25" s="84">
        <f t="shared" si="5"/>
        <v>-4.3257039917601436E-2</v>
      </c>
      <c r="O25" s="323">
        <v>678310200</v>
      </c>
      <c r="P25" s="82">
        <f t="shared" si="6"/>
        <v>2.9712057263678596E-2</v>
      </c>
      <c r="Q25" s="84">
        <f t="shared" si="7"/>
        <v>-3.0232612001945491E-2</v>
      </c>
    </row>
    <row r="26" spans="1:17" ht="15" thickBot="1" x14ac:dyDescent="0.25">
      <c r="A26" s="53"/>
      <c r="B26" s="85" t="s">
        <v>24</v>
      </c>
      <c r="C26" s="864" t="s">
        <v>29</v>
      </c>
      <c r="D26" s="865"/>
      <c r="E26" s="865"/>
      <c r="F26" s="865"/>
      <c r="G26" s="865"/>
      <c r="H26" s="86">
        <v>52939</v>
      </c>
      <c r="I26" s="86">
        <v>48865000</v>
      </c>
      <c r="J26" s="87">
        <f t="shared" si="2"/>
        <v>2.5567997482821045E-3</v>
      </c>
      <c r="K26" s="57">
        <f t="shared" si="3"/>
        <v>-7.6956497100436283E-2</v>
      </c>
      <c r="L26" s="88">
        <v>44000000</v>
      </c>
      <c r="M26" s="87">
        <f t="shared" si="4"/>
        <v>2.3022447339488918E-3</v>
      </c>
      <c r="N26" s="89">
        <f t="shared" si="5"/>
        <v>-9.9560012278727128E-2</v>
      </c>
      <c r="O26" s="324">
        <v>42000000</v>
      </c>
      <c r="P26" s="87">
        <f t="shared" si="6"/>
        <v>1.8397282026342832E-3</v>
      </c>
      <c r="Q26" s="89">
        <f t="shared" si="7"/>
        <v>-4.5454545454545414E-2</v>
      </c>
    </row>
    <row r="27" spans="1:17" ht="15.75" thickBot="1" x14ac:dyDescent="0.25">
      <c r="A27" s="60"/>
      <c r="B27" s="61"/>
      <c r="C27" s="854" t="s">
        <v>30</v>
      </c>
      <c r="D27" s="855"/>
      <c r="E27" s="855"/>
      <c r="F27" s="855"/>
      <c r="G27" s="855"/>
      <c r="H27" s="62">
        <v>2094905</v>
      </c>
      <c r="I27" s="62">
        <v>2005236000</v>
      </c>
      <c r="J27" s="63">
        <f t="shared" si="2"/>
        <v>0.10492145503010773</v>
      </c>
      <c r="K27" s="64">
        <f t="shared" si="3"/>
        <v>-4.2803372945312557E-2</v>
      </c>
      <c r="L27" s="65">
        <v>1948676600</v>
      </c>
      <c r="M27" s="63">
        <f>L27/$L$56</f>
        <v>9.6733195181852541E-2</v>
      </c>
      <c r="N27" s="66">
        <f t="shared" si="5"/>
        <v>-2.8205857066200712E-2</v>
      </c>
      <c r="O27" s="320">
        <f>SUM(O21:O26)</f>
        <v>2343310200</v>
      </c>
      <c r="P27" s="63">
        <f t="shared" si="6"/>
        <v>0.10264413958239482</v>
      </c>
      <c r="Q27" s="66">
        <f t="shared" si="7"/>
        <v>0.20251364438819652</v>
      </c>
    </row>
    <row r="28" spans="1:17" ht="3.75" customHeight="1" x14ac:dyDescent="0.2">
      <c r="A28" s="35"/>
      <c r="B28" s="36"/>
      <c r="C28" s="37"/>
      <c r="D28" s="5"/>
      <c r="E28" s="5"/>
      <c r="F28" s="5"/>
      <c r="G28" s="5"/>
      <c r="H28" s="67"/>
      <c r="I28" s="67"/>
      <c r="J28" s="68"/>
      <c r="K28" s="72"/>
      <c r="L28" s="70"/>
      <c r="M28" s="68"/>
      <c r="N28" s="73"/>
      <c r="O28" s="321"/>
      <c r="P28" s="68"/>
      <c r="Q28" s="73"/>
    </row>
    <row r="29" spans="1:17" ht="15" x14ac:dyDescent="0.2">
      <c r="A29" s="35"/>
      <c r="B29" s="36"/>
      <c r="C29" s="43" t="s">
        <v>31</v>
      </c>
      <c r="D29" s="5"/>
      <c r="E29" s="5"/>
      <c r="F29" s="5"/>
      <c r="G29" s="5"/>
      <c r="H29" s="67"/>
      <c r="I29" s="67"/>
      <c r="J29" s="72"/>
      <c r="K29" s="72"/>
      <c r="L29" s="70"/>
      <c r="M29" s="72"/>
      <c r="N29" s="73"/>
      <c r="O29" s="321"/>
      <c r="P29" s="72"/>
      <c r="Q29" s="73"/>
    </row>
    <row r="30" spans="1:17" ht="14.25" x14ac:dyDescent="0.2">
      <c r="A30" s="90" t="s">
        <v>20</v>
      </c>
      <c r="B30" s="91" t="s">
        <v>24</v>
      </c>
      <c r="C30" s="852" t="s">
        <v>32</v>
      </c>
      <c r="D30" s="853"/>
      <c r="E30" s="853"/>
      <c r="F30" s="853"/>
      <c r="G30" s="853"/>
      <c r="H30" s="80">
        <v>1150000</v>
      </c>
      <c r="I30" s="80">
        <v>1150000000</v>
      </c>
      <c r="J30" s="82">
        <f>I30/$I$55</f>
        <v>6.0172305546391497E-2</v>
      </c>
      <c r="K30" s="81">
        <f t="shared" ref="K30:K33" si="8">I30/H30/1000-1</f>
        <v>0</v>
      </c>
      <c r="L30" s="83">
        <v>1150000000</v>
      </c>
      <c r="M30" s="82">
        <f>L30/$L$55</f>
        <v>6.0172305546391497E-2</v>
      </c>
      <c r="N30" s="92">
        <f t="shared" ref="N30:N33" si="9">L30/I30-1</f>
        <v>0</v>
      </c>
      <c r="O30" s="323">
        <f>O31+O32</f>
        <v>1185000000</v>
      </c>
      <c r="P30" s="82">
        <f>O30/$O$55</f>
        <v>5.1906617145752988E-2</v>
      </c>
      <c r="Q30" s="92">
        <f>O30/L30-1</f>
        <v>3.0434782608695699E-2</v>
      </c>
    </row>
    <row r="31" spans="1:17" ht="14.25" x14ac:dyDescent="0.2">
      <c r="A31" s="52" t="s">
        <v>20</v>
      </c>
      <c r="B31" s="79"/>
      <c r="C31" s="91" t="s">
        <v>33</v>
      </c>
      <c r="D31" s="93" t="s">
        <v>34</v>
      </c>
      <c r="E31" s="36"/>
      <c r="F31" s="36"/>
      <c r="G31" s="36"/>
      <c r="H31" s="94">
        <v>1035002</v>
      </c>
      <c r="I31" s="94">
        <v>1035000000</v>
      </c>
      <c r="J31" s="82">
        <f>I31/$I$55</f>
        <v>5.4155074991752344E-2</v>
      </c>
      <c r="K31" s="81">
        <f t="shared" si="8"/>
        <v>-1.9323634157242253E-6</v>
      </c>
      <c r="L31" s="95">
        <v>1035000000</v>
      </c>
      <c r="M31" s="82">
        <f>L31/$L$55</f>
        <v>5.4155074991752344E-2</v>
      </c>
      <c r="N31" s="92">
        <f t="shared" si="9"/>
        <v>0</v>
      </c>
      <c r="O31" s="325">
        <v>1035000000</v>
      </c>
      <c r="P31" s="82">
        <f>O31/$O$55</f>
        <v>4.5336159279201975E-2</v>
      </c>
      <c r="Q31" s="92">
        <f>O31/L31-1</f>
        <v>0</v>
      </c>
    </row>
    <row r="32" spans="1:17" ht="14.25" x14ac:dyDescent="0.2">
      <c r="A32" s="52"/>
      <c r="B32" s="79" t="s">
        <v>24</v>
      </c>
      <c r="C32" s="601"/>
      <c r="D32" s="96" t="s">
        <v>35</v>
      </c>
      <c r="E32" s="97"/>
      <c r="F32" s="97"/>
      <c r="G32" s="614"/>
      <c r="H32" s="602">
        <v>114998</v>
      </c>
      <c r="I32" s="603">
        <v>115000000</v>
      </c>
      <c r="J32" s="82">
        <f>I32/$I$55</f>
        <v>6.017230554639149E-3</v>
      </c>
      <c r="K32" s="81">
        <f t="shared" si="8"/>
        <v>1.7391606810468474E-5</v>
      </c>
      <c r="L32" s="604">
        <v>115000000</v>
      </c>
      <c r="M32" s="82">
        <f>L32/$L$55</f>
        <v>6.017230554639149E-3</v>
      </c>
      <c r="N32" s="92">
        <f t="shared" si="9"/>
        <v>0</v>
      </c>
      <c r="O32" s="605">
        <v>150000000</v>
      </c>
      <c r="P32" s="82"/>
      <c r="Q32" s="92">
        <f>O32/L32-1</f>
        <v>0.30434782608695654</v>
      </c>
    </row>
    <row r="33" spans="1:17" ht="15.75" thickBot="1" x14ac:dyDescent="0.25">
      <c r="A33" s="60"/>
      <c r="B33" s="61"/>
      <c r="C33" s="883" t="s">
        <v>36</v>
      </c>
      <c r="D33" s="884"/>
      <c r="E33" s="884"/>
      <c r="F33" s="884"/>
      <c r="G33" s="884"/>
      <c r="H33" s="62">
        <v>1150000</v>
      </c>
      <c r="I33" s="62">
        <v>1150000000</v>
      </c>
      <c r="J33" s="63">
        <f>I33/$I$55</f>
        <v>6.0172305546391497E-2</v>
      </c>
      <c r="K33" s="64">
        <f t="shared" si="8"/>
        <v>0</v>
      </c>
      <c r="L33" s="65">
        <v>1150000000</v>
      </c>
      <c r="M33" s="63">
        <f>L33/$L$56</f>
        <v>5.708652449520378E-2</v>
      </c>
      <c r="N33" s="66">
        <f t="shared" si="9"/>
        <v>0</v>
      </c>
      <c r="O33" s="320">
        <f>SUM(O30:O30)</f>
        <v>1185000000</v>
      </c>
      <c r="P33" s="63">
        <f>O33/$O$55</f>
        <v>5.1906617145752988E-2</v>
      </c>
      <c r="Q33" s="66">
        <f>O33/L33-1</f>
        <v>3.0434782608695699E-2</v>
      </c>
    </row>
    <row r="34" spans="1:17" ht="3.75" customHeight="1" x14ac:dyDescent="0.2">
      <c r="A34" s="35"/>
      <c r="B34" s="36"/>
      <c r="C34" s="37"/>
      <c r="D34" s="5"/>
      <c r="E34" s="5"/>
      <c r="F34" s="5"/>
      <c r="G34" s="5"/>
      <c r="H34" s="67"/>
      <c r="I34" s="67"/>
      <c r="J34" s="68"/>
      <c r="K34" s="72"/>
      <c r="L34" s="70"/>
      <c r="M34" s="68"/>
      <c r="N34" s="73"/>
      <c r="O34" s="321"/>
      <c r="P34" s="68"/>
      <c r="Q34" s="73"/>
    </row>
    <row r="35" spans="1:17" ht="15.75" thickBot="1" x14ac:dyDescent="0.25">
      <c r="A35" s="98"/>
      <c r="B35" s="99"/>
      <c r="C35" s="43" t="s">
        <v>37</v>
      </c>
      <c r="D35" s="5"/>
      <c r="E35" s="5"/>
      <c r="F35" s="5"/>
      <c r="G35" s="5"/>
      <c r="H35" s="67"/>
      <c r="I35" s="67"/>
      <c r="J35" s="72"/>
      <c r="K35" s="72"/>
      <c r="L35" s="70"/>
      <c r="M35" s="72"/>
      <c r="N35" s="73"/>
      <c r="O35" s="321"/>
      <c r="P35" s="72"/>
      <c r="Q35" s="73"/>
    </row>
    <row r="36" spans="1:17" ht="15" thickBot="1" x14ac:dyDescent="0.25">
      <c r="A36" s="100" t="s">
        <v>20</v>
      </c>
      <c r="B36" s="101" t="s">
        <v>24</v>
      </c>
      <c r="C36" s="102" t="s">
        <v>38</v>
      </c>
      <c r="D36" s="103"/>
      <c r="E36" s="103"/>
      <c r="F36" s="103"/>
      <c r="G36" s="103"/>
      <c r="H36" s="104">
        <v>260000</v>
      </c>
      <c r="I36" s="104">
        <v>260000000</v>
      </c>
      <c r="J36" s="106">
        <f>I36/$I$55</f>
        <v>1.3604173427879816E-2</v>
      </c>
      <c r="K36" s="105">
        <f>I36/H36/1000-1</f>
        <v>0</v>
      </c>
      <c r="L36" s="107">
        <v>260000000</v>
      </c>
      <c r="M36" s="106">
        <f>L36/$L$55</f>
        <v>1.3604173427879816E-2</v>
      </c>
      <c r="N36" s="108">
        <f>L36/I36-1</f>
        <v>0</v>
      </c>
      <c r="O36" s="326">
        <f>SUM(O37:O38)</f>
        <v>260000000</v>
      </c>
      <c r="P36" s="106">
        <f>O36/$L$55</f>
        <v>1.3604173427879816E-2</v>
      </c>
      <c r="Q36" s="108">
        <f>O36/L36-1</f>
        <v>0</v>
      </c>
    </row>
    <row r="37" spans="1:17" ht="14.25" x14ac:dyDescent="0.2">
      <c r="A37" s="109"/>
      <c r="B37" s="112" t="s">
        <v>24</v>
      </c>
      <c r="C37" s="113"/>
      <c r="D37" s="96" t="s">
        <v>40</v>
      </c>
      <c r="E37" s="97"/>
      <c r="F37" s="97"/>
      <c r="G37" s="614"/>
      <c r="H37" s="606">
        <v>10000</v>
      </c>
      <c r="I37" s="80">
        <v>10000000</v>
      </c>
      <c r="J37" s="82">
        <f>I37/$I$55</f>
        <v>5.2323743953383909E-4</v>
      </c>
      <c r="K37" s="81">
        <f>I37/H37/1000-1</f>
        <v>0</v>
      </c>
      <c r="L37" s="83">
        <v>10000000</v>
      </c>
      <c r="M37" s="82">
        <f>L37/$L$55</f>
        <v>5.2323743953383909E-4</v>
      </c>
      <c r="N37" s="92">
        <f>L37/I37-1</f>
        <v>0</v>
      </c>
      <c r="O37" s="323">
        <v>10000000</v>
      </c>
      <c r="P37" s="82">
        <f>O37/$O$55</f>
        <v>4.3803052443673406E-4</v>
      </c>
      <c r="Q37" s="92">
        <f>O37/L37-1</f>
        <v>0</v>
      </c>
    </row>
    <row r="38" spans="1:17" ht="15" thickBot="1" x14ac:dyDescent="0.25">
      <c r="A38" s="115" t="s">
        <v>20</v>
      </c>
      <c r="B38" s="112"/>
      <c r="C38" s="113"/>
      <c r="D38" s="112" t="s">
        <v>41</v>
      </c>
      <c r="E38" s="114"/>
      <c r="F38" s="114"/>
      <c r="G38" s="615"/>
      <c r="H38" s="606">
        <v>250000</v>
      </c>
      <c r="I38" s="80">
        <v>250000000</v>
      </c>
      <c r="J38" s="82"/>
      <c r="K38" s="81">
        <f>I38/H38/1000-1</f>
        <v>0</v>
      </c>
      <c r="L38" s="83">
        <v>250000000</v>
      </c>
      <c r="M38" s="82">
        <f>L38/$L$55</f>
        <v>1.3080935988345976E-2</v>
      </c>
      <c r="N38" s="92">
        <f>L38/I38-1</f>
        <v>0</v>
      </c>
      <c r="O38" s="323">
        <v>250000000</v>
      </c>
      <c r="P38" s="82">
        <f>O38/$O$55</f>
        <v>1.0950763110918351E-2</v>
      </c>
      <c r="Q38" s="92">
        <f>O38/L38-1</f>
        <v>0</v>
      </c>
    </row>
    <row r="39" spans="1:17" ht="15" thickBot="1" x14ac:dyDescent="0.25">
      <c r="A39" s="116"/>
      <c r="B39" s="117"/>
      <c r="C39" s="102" t="s">
        <v>42</v>
      </c>
      <c r="D39" s="103"/>
      <c r="E39" s="103"/>
      <c r="F39" s="103"/>
      <c r="G39" s="103"/>
      <c r="H39" s="118">
        <v>215995</v>
      </c>
      <c r="I39" s="118">
        <v>251600000</v>
      </c>
      <c r="J39" s="106">
        <f>I39/$I$55</f>
        <v>1.3164653978671391E-2</v>
      </c>
      <c r="K39" s="105">
        <f>I39/H39/1000-1</f>
        <v>0.16484177874487838</v>
      </c>
      <c r="L39" s="119">
        <v>600159400</v>
      </c>
      <c r="M39" s="106">
        <f>L39/$L$55</f>
        <v>3.1402586776816517E-2</v>
      </c>
      <c r="N39" s="108">
        <f>L39/I39-1</f>
        <v>1.385371224165342</v>
      </c>
      <c r="O39" s="328">
        <f>SUM(O40:O53)</f>
        <v>855125800</v>
      </c>
      <c r="P39" s="106">
        <f>O39/$O$55</f>
        <v>3.7457120263338174E-2</v>
      </c>
      <c r="Q39" s="108">
        <f>O39/L39-1</f>
        <v>0.42483113652806237</v>
      </c>
    </row>
    <row r="40" spans="1:17" ht="14.25" x14ac:dyDescent="0.2">
      <c r="A40" s="124" t="s">
        <v>20</v>
      </c>
      <c r="B40" s="93" t="s">
        <v>24</v>
      </c>
      <c r="C40" s="113" t="s">
        <v>39</v>
      </c>
      <c r="D40" s="120" t="s">
        <v>43</v>
      </c>
      <c r="E40" s="120"/>
      <c r="F40" s="120"/>
      <c r="G40" s="120"/>
      <c r="H40" s="126"/>
      <c r="I40" s="126"/>
      <c r="J40" s="128"/>
      <c r="K40" s="127"/>
      <c r="L40" s="617"/>
      <c r="M40" s="128"/>
      <c r="N40" s="111"/>
      <c r="O40" s="618"/>
      <c r="P40" s="128"/>
      <c r="Q40" s="111"/>
    </row>
    <row r="41" spans="1:17" ht="14.25" x14ac:dyDescent="0.2">
      <c r="A41" s="52"/>
      <c r="B41" s="93"/>
      <c r="C41" s="113"/>
      <c r="D41" s="91" t="s">
        <v>33</v>
      </c>
      <c r="E41" s="114" t="s">
        <v>44</v>
      </c>
      <c r="F41" s="120"/>
      <c r="G41" s="120"/>
      <c r="H41" s="121">
        <v>51300</v>
      </c>
      <c r="I41" s="121">
        <v>51300000</v>
      </c>
      <c r="J41" s="123">
        <f>I41/$I$55</f>
        <v>2.6842080648085942E-3</v>
      </c>
      <c r="K41" s="122">
        <f t="shared" ref="K41:K43" si="10">I41/H41/1000-1</f>
        <v>0</v>
      </c>
      <c r="L41" s="83">
        <v>60000000</v>
      </c>
      <c r="M41" s="123">
        <f>L41/$L$55</f>
        <v>3.1394246372030343E-3</v>
      </c>
      <c r="N41" s="92">
        <f t="shared" ref="N41:N43" si="11">L41/I41-1</f>
        <v>0.16959064327485374</v>
      </c>
      <c r="O41" s="323">
        <v>80000000</v>
      </c>
      <c r="P41" s="123">
        <f>O41/$O$55</f>
        <v>3.5042441954938725E-3</v>
      </c>
      <c r="Q41" s="92">
        <f>O41/L41-1</f>
        <v>0.33333333333333326</v>
      </c>
    </row>
    <row r="42" spans="1:17" ht="14.25" x14ac:dyDescent="0.2">
      <c r="A42" s="124"/>
      <c r="B42" s="93"/>
      <c r="C42" s="113"/>
      <c r="D42" s="113"/>
      <c r="E42" s="114" t="s">
        <v>45</v>
      </c>
      <c r="F42" s="120"/>
      <c r="G42" s="120"/>
      <c r="H42" s="121">
        <v>22000</v>
      </c>
      <c r="I42" s="121">
        <v>22000000</v>
      </c>
      <c r="J42" s="123">
        <f>I42/$I$55</f>
        <v>1.1511223669744459E-3</v>
      </c>
      <c r="K42" s="122">
        <f t="shared" si="10"/>
        <v>0</v>
      </c>
      <c r="L42" s="83">
        <v>22000000</v>
      </c>
      <c r="M42" s="123">
        <f>L42/$L$55</f>
        <v>1.1511223669744459E-3</v>
      </c>
      <c r="N42" s="92">
        <f t="shared" si="11"/>
        <v>0</v>
      </c>
      <c r="O42" s="323">
        <v>22000000</v>
      </c>
      <c r="P42" s="123">
        <f>O42/$O$55</f>
        <v>9.6366715376081493E-4</v>
      </c>
      <c r="Q42" s="92">
        <f>O42/L42-1</f>
        <v>0</v>
      </c>
    </row>
    <row r="43" spans="1:17" ht="14.25" x14ac:dyDescent="0.2">
      <c r="A43" s="124"/>
      <c r="B43" s="93"/>
      <c r="C43" s="113"/>
      <c r="D43" s="113"/>
      <c r="E43" s="120" t="s">
        <v>46</v>
      </c>
      <c r="F43" s="120"/>
      <c r="G43" s="125"/>
      <c r="H43" s="126">
        <v>12000</v>
      </c>
      <c r="I43" s="126">
        <v>12000000</v>
      </c>
      <c r="J43" s="128">
        <f>I43/$I$55</f>
        <v>6.2788492744060684E-4</v>
      </c>
      <c r="K43" s="122">
        <f t="shared" si="10"/>
        <v>0</v>
      </c>
      <c r="L43" s="110"/>
      <c r="M43" s="128">
        <f>L43/$L$55</f>
        <v>0</v>
      </c>
      <c r="N43" s="92">
        <f t="shared" si="11"/>
        <v>-1</v>
      </c>
      <c r="O43" s="327"/>
      <c r="P43" s="128"/>
      <c r="Q43" s="92"/>
    </row>
    <row r="44" spans="1:17" ht="14.25" x14ac:dyDescent="0.2">
      <c r="A44" s="124"/>
      <c r="B44" s="93"/>
      <c r="C44" s="113"/>
      <c r="D44" s="113"/>
      <c r="E44" s="120" t="s">
        <v>220</v>
      </c>
      <c r="F44" s="120"/>
      <c r="G44" s="120"/>
      <c r="H44" s="126"/>
      <c r="I44" s="126"/>
      <c r="J44" s="128"/>
      <c r="K44" s="122"/>
      <c r="L44" s="110"/>
      <c r="M44" s="128"/>
      <c r="N44" s="92"/>
      <c r="O44" s="327">
        <v>8000000</v>
      </c>
      <c r="P44" s="128">
        <f>O44/$O$55</f>
        <v>3.5042441954938726E-4</v>
      </c>
      <c r="Q44" s="92"/>
    </row>
    <row r="45" spans="1:17" ht="14.25" x14ac:dyDescent="0.2">
      <c r="A45" s="124"/>
      <c r="B45" s="93"/>
      <c r="C45" s="113"/>
      <c r="D45" s="113"/>
      <c r="E45" s="120" t="s">
        <v>153</v>
      </c>
      <c r="F45" s="120"/>
      <c r="G45" s="120"/>
      <c r="H45" s="126"/>
      <c r="I45" s="126"/>
      <c r="J45" s="128"/>
      <c r="K45" s="122"/>
      <c r="L45" s="110">
        <v>100000000</v>
      </c>
      <c r="M45" s="128"/>
      <c r="N45" s="92"/>
      <c r="O45" s="327"/>
      <c r="P45" s="128"/>
      <c r="Q45" s="92"/>
    </row>
    <row r="46" spans="1:17" ht="14.25" x14ac:dyDescent="0.2">
      <c r="A46" s="124"/>
      <c r="B46" s="93"/>
      <c r="C46" s="113"/>
      <c r="D46" s="113"/>
      <c r="E46" s="120" t="s">
        <v>154</v>
      </c>
      <c r="F46" s="120"/>
      <c r="G46" s="120"/>
      <c r="H46" s="126">
        <v>50000</v>
      </c>
      <c r="I46" s="126">
        <v>50000000</v>
      </c>
      <c r="J46" s="128">
        <f>I46/$I$55</f>
        <v>2.6161871976691955E-3</v>
      </c>
      <c r="K46" s="122">
        <f t="shared" ref="K46:K49" si="12">I46/H46/1000-1</f>
        <v>0</v>
      </c>
      <c r="L46" s="110">
        <v>260000000</v>
      </c>
      <c r="M46" s="128">
        <f>L46/$L$55</f>
        <v>1.3604173427879816E-2</v>
      </c>
      <c r="N46" s="92">
        <f t="shared" ref="N46:N49" si="13">L46/I46-1</f>
        <v>4.2</v>
      </c>
      <c r="O46" s="327">
        <v>165000000</v>
      </c>
      <c r="P46" s="128">
        <f>O46/$O$55</f>
        <v>7.2275036532061122E-3</v>
      </c>
      <c r="Q46" s="92"/>
    </row>
    <row r="47" spans="1:17" ht="14.25" x14ac:dyDescent="0.2">
      <c r="A47" s="124"/>
      <c r="B47" s="93"/>
      <c r="C47" s="113"/>
      <c r="D47" s="113"/>
      <c r="E47" s="114" t="s">
        <v>47</v>
      </c>
      <c r="F47" s="120"/>
      <c r="G47" s="120"/>
      <c r="H47" s="121">
        <v>9000</v>
      </c>
      <c r="I47" s="121">
        <v>8000000</v>
      </c>
      <c r="J47" s="123">
        <f>I47/$I$55</f>
        <v>4.1858995162707128E-4</v>
      </c>
      <c r="K47" s="122">
        <f t="shared" si="12"/>
        <v>-0.11111111111111105</v>
      </c>
      <c r="L47" s="83">
        <v>8000000</v>
      </c>
      <c r="M47" s="123">
        <f>L47/$L$55</f>
        <v>4.1858995162707128E-4</v>
      </c>
      <c r="N47" s="92">
        <f t="shared" si="13"/>
        <v>0</v>
      </c>
      <c r="O47" s="323">
        <v>8000000</v>
      </c>
      <c r="P47" s="123">
        <f>O47/$O$55</f>
        <v>3.5042441954938726E-4</v>
      </c>
      <c r="Q47" s="92">
        <f>O47/L47-1</f>
        <v>0</v>
      </c>
    </row>
    <row r="48" spans="1:17" ht="14.25" x14ac:dyDescent="0.2">
      <c r="A48" s="124"/>
      <c r="B48" s="93"/>
      <c r="C48" s="113"/>
      <c r="D48" s="113"/>
      <c r="E48" s="114" t="s">
        <v>48</v>
      </c>
      <c r="F48" s="114"/>
      <c r="G48" s="114"/>
      <c r="H48" s="121">
        <v>26000</v>
      </c>
      <c r="I48" s="121">
        <v>23000000</v>
      </c>
      <c r="J48" s="123">
        <f>I48/$I$55</f>
        <v>1.2034461109278298E-3</v>
      </c>
      <c r="K48" s="122">
        <f t="shared" si="12"/>
        <v>-0.11538461538461531</v>
      </c>
      <c r="L48" s="83">
        <v>23000000</v>
      </c>
      <c r="M48" s="123">
        <f>L48/$L$55</f>
        <v>1.2034461109278298E-3</v>
      </c>
      <c r="N48" s="92">
        <f t="shared" si="13"/>
        <v>0</v>
      </c>
      <c r="O48" s="323">
        <v>23000000</v>
      </c>
      <c r="P48" s="123">
        <f>O48/$O$55</f>
        <v>1.0074702062044883E-3</v>
      </c>
      <c r="Q48" s="92">
        <f>O48/L48-1</f>
        <v>0</v>
      </c>
    </row>
    <row r="49" spans="1:17" ht="14.25" x14ac:dyDescent="0.2">
      <c r="A49" s="124"/>
      <c r="B49" s="93"/>
      <c r="C49" s="113"/>
      <c r="D49" s="113"/>
      <c r="E49" s="129" t="s">
        <v>49</v>
      </c>
      <c r="F49" s="129"/>
      <c r="G49" s="129"/>
      <c r="H49" s="126">
        <v>13387</v>
      </c>
      <c r="I49" s="126">
        <v>20000000</v>
      </c>
      <c r="J49" s="128">
        <f>I49/$I$55</f>
        <v>1.0464748790676782E-3</v>
      </c>
      <c r="K49" s="127">
        <f t="shared" si="12"/>
        <v>0.49398670351833873</v>
      </c>
      <c r="L49" s="110">
        <v>17000000</v>
      </c>
      <c r="M49" s="123">
        <f>L49/$L$55</f>
        <v>8.8950364720752643E-4</v>
      </c>
      <c r="N49" s="92">
        <f t="shared" si="13"/>
        <v>-0.15000000000000002</v>
      </c>
      <c r="O49" s="327">
        <f>548436000-310200+1000000-O51</f>
        <v>537600519.35603809</v>
      </c>
      <c r="P49" s="123">
        <f>O49/$O$55</f>
        <v>2.3548543743098598E-2</v>
      </c>
      <c r="Q49" s="92">
        <f>O49/L49-1</f>
        <v>30.623559962119888</v>
      </c>
    </row>
    <row r="50" spans="1:17" ht="14.25" x14ac:dyDescent="0.2">
      <c r="A50" s="124"/>
      <c r="B50" s="93"/>
      <c r="C50" s="113"/>
      <c r="D50" s="113"/>
      <c r="E50" s="129" t="s">
        <v>128</v>
      </c>
      <c r="F50" s="129"/>
      <c r="G50" s="129"/>
      <c r="H50" s="126"/>
      <c r="I50" s="126">
        <v>28000000</v>
      </c>
      <c r="J50" s="128"/>
      <c r="K50" s="127"/>
      <c r="L50" s="110"/>
      <c r="M50" s="123"/>
      <c r="N50" s="92"/>
      <c r="O50" s="327"/>
      <c r="P50" s="123"/>
      <c r="Q50" s="92"/>
    </row>
    <row r="51" spans="1:17" ht="14.25" x14ac:dyDescent="0.2">
      <c r="A51" s="124" t="s">
        <v>20</v>
      </c>
      <c r="B51" s="93"/>
      <c r="C51" s="885" t="s">
        <v>265</v>
      </c>
      <c r="D51" s="886"/>
      <c r="E51" s="886"/>
      <c r="F51" s="886"/>
      <c r="G51" s="887"/>
      <c r="H51" s="126">
        <v>32308</v>
      </c>
      <c r="I51" s="126"/>
      <c r="J51" s="128"/>
      <c r="K51" s="127">
        <f>I51/H51/1000-1</f>
        <v>-1</v>
      </c>
      <c r="L51" s="110"/>
      <c r="M51" s="123"/>
      <c r="N51" s="92"/>
      <c r="O51" s="327">
        <v>11525280.643961906</v>
      </c>
      <c r="P51" s="123"/>
      <c r="Q51" s="92"/>
    </row>
    <row r="52" spans="1:17" ht="14.25" x14ac:dyDescent="0.2">
      <c r="A52" s="124"/>
      <c r="B52" s="93"/>
      <c r="C52" s="494" t="s">
        <v>58</v>
      </c>
      <c r="D52" s="495"/>
      <c r="E52" s="495"/>
      <c r="F52" s="495"/>
      <c r="G52" s="496"/>
      <c r="H52" s="126"/>
      <c r="I52" s="126">
        <v>37300000</v>
      </c>
      <c r="J52" s="128"/>
      <c r="K52" s="127"/>
      <c r="L52" s="110">
        <v>105159400</v>
      </c>
      <c r="M52" s="123"/>
      <c r="N52" s="92"/>
      <c r="O52" s="327"/>
      <c r="P52" s="123"/>
      <c r="Q52" s="92">
        <f>O52/L52-1</f>
        <v>-1</v>
      </c>
    </row>
    <row r="53" spans="1:17" ht="15" thickBot="1" x14ac:dyDescent="0.25">
      <c r="A53" s="482"/>
      <c r="B53" s="483"/>
      <c r="C53" s="888" t="s">
        <v>155</v>
      </c>
      <c r="D53" s="889"/>
      <c r="E53" s="889"/>
      <c r="F53" s="889"/>
      <c r="G53" s="890"/>
      <c r="H53" s="484"/>
      <c r="I53" s="484"/>
      <c r="J53" s="485"/>
      <c r="K53" s="486"/>
      <c r="L53" s="487">
        <v>5000000</v>
      </c>
      <c r="M53" s="488"/>
      <c r="N53" s="474"/>
      <c r="O53" s="489"/>
      <c r="P53" s="488"/>
      <c r="Q53" s="474"/>
    </row>
    <row r="54" spans="1:17" ht="15.75" thickBot="1" x14ac:dyDescent="0.25">
      <c r="A54" s="475"/>
      <c r="B54" s="490"/>
      <c r="C54" s="491" t="s">
        <v>50</v>
      </c>
      <c r="D54" s="492"/>
      <c r="E54" s="492"/>
      <c r="F54" s="492"/>
      <c r="G54" s="492"/>
      <c r="H54" s="476">
        <v>475995</v>
      </c>
      <c r="I54" s="476">
        <v>511600000</v>
      </c>
      <c r="J54" s="477">
        <f>I54/$I$55</f>
        <v>2.6768827406551208E-2</v>
      </c>
      <c r="K54" s="478">
        <f>I54/H54/1000-1</f>
        <v>7.4801205895019818E-2</v>
      </c>
      <c r="L54" s="479">
        <v>860159400</v>
      </c>
      <c r="M54" s="477">
        <f>L54/$L$56</f>
        <v>4.2698704919895469E-2</v>
      </c>
      <c r="N54" s="480">
        <f>L54/I54-1</f>
        <v>0.68131235340109453</v>
      </c>
      <c r="O54" s="481">
        <f>O36+O39</f>
        <v>1115125800</v>
      </c>
      <c r="P54" s="477">
        <f>O54/$O$55</f>
        <v>4.8845913898693263E-2</v>
      </c>
      <c r="Q54" s="480">
        <f>O54/L54-1</f>
        <v>0.29641761747880691</v>
      </c>
    </row>
    <row r="55" spans="1:17" ht="3" customHeight="1" thickBot="1" x14ac:dyDescent="0.25">
      <c r="A55" s="130"/>
      <c r="B55" s="131"/>
      <c r="C55" s="132"/>
      <c r="D55" s="132"/>
      <c r="E55" s="132"/>
      <c r="F55" s="132"/>
      <c r="G55" s="132"/>
      <c r="H55" s="607">
        <v>19907272</v>
      </c>
      <c r="I55" s="607">
        <v>19111782232</v>
      </c>
      <c r="J55" s="608">
        <f>I55/$I$55</f>
        <v>1</v>
      </c>
      <c r="K55" s="609"/>
      <c r="L55" s="610">
        <v>19111782232</v>
      </c>
      <c r="M55" s="608">
        <f>L55/$L$55</f>
        <v>1</v>
      </c>
      <c r="N55" s="611"/>
      <c r="O55" s="612">
        <v>22829459232</v>
      </c>
      <c r="P55" s="608">
        <f>O55/$L$55</f>
        <v>1.1945227794493845</v>
      </c>
      <c r="Q55" s="611"/>
    </row>
    <row r="56" spans="1:17" ht="15.75" x14ac:dyDescent="0.2">
      <c r="A56" s="133"/>
      <c r="B56" s="134"/>
      <c r="C56" s="135" t="s">
        <v>51</v>
      </c>
      <c r="D56" s="136"/>
      <c r="E56" s="136"/>
      <c r="F56" s="136"/>
      <c r="G56" s="137"/>
      <c r="H56" s="138">
        <v>19833049</v>
      </c>
      <c r="I56" s="138">
        <v>19092859232</v>
      </c>
      <c r="J56" s="139">
        <f>I56/$I$55</f>
        <v>0.99900987779317008</v>
      </c>
      <c r="K56" s="140">
        <f>I56/H56/1000-1</f>
        <v>-3.7321027543470442E-2</v>
      </c>
      <c r="L56" s="141">
        <v>20144859232</v>
      </c>
      <c r="M56" s="139">
        <f>L56/$L$56</f>
        <v>1</v>
      </c>
      <c r="N56" s="142">
        <f>L56/I56-1</f>
        <v>5.5099133514629806E-2</v>
      </c>
      <c r="O56" s="329">
        <f>+O18+O27+O33+O54</f>
        <v>22829459232</v>
      </c>
      <c r="P56" s="139">
        <f>O56/$O$55</f>
        <v>1</v>
      </c>
      <c r="Q56" s="142">
        <f>O56/L56-1</f>
        <v>0.13326476839984691</v>
      </c>
    </row>
    <row r="57" spans="1:17" ht="15.75" x14ac:dyDescent="0.2">
      <c r="A57" s="143"/>
      <c r="B57" s="144"/>
      <c r="C57" s="145" t="s">
        <v>52</v>
      </c>
      <c r="D57" s="146"/>
      <c r="E57" s="146"/>
      <c r="F57" s="146"/>
      <c r="G57" s="146"/>
      <c r="H57" s="80">
        <v>-241068</v>
      </c>
      <c r="I57" s="80">
        <v>0</v>
      </c>
      <c r="J57" s="147"/>
      <c r="K57" s="148"/>
      <c r="L57" s="149"/>
      <c r="M57" s="147"/>
      <c r="N57" s="150"/>
      <c r="O57" s="330"/>
      <c r="P57" s="147"/>
      <c r="Q57" s="150"/>
    </row>
    <row r="58" spans="1:17" ht="15.75" x14ac:dyDescent="0.2">
      <c r="A58" s="143"/>
      <c r="B58" s="144"/>
      <c r="C58" s="145" t="s">
        <v>53</v>
      </c>
      <c r="D58" s="146"/>
      <c r="E58" s="146"/>
      <c r="F58" s="146"/>
      <c r="G58" s="146"/>
      <c r="H58" s="80">
        <v>-400000</v>
      </c>
      <c r="I58" s="80">
        <v>0</v>
      </c>
      <c r="J58" s="147"/>
      <c r="K58" s="148"/>
      <c r="L58" s="149"/>
      <c r="M58" s="147"/>
      <c r="N58" s="150"/>
      <c r="O58" s="330"/>
      <c r="P58" s="147"/>
      <c r="Q58" s="150"/>
    </row>
    <row r="59" spans="1:17" ht="15.75" x14ac:dyDescent="0.2">
      <c r="A59" s="143"/>
      <c r="B59" s="144"/>
      <c r="C59" s="145" t="s">
        <v>54</v>
      </c>
      <c r="D59" s="146"/>
      <c r="E59" s="146"/>
      <c r="F59" s="146"/>
      <c r="G59" s="146"/>
      <c r="H59" s="80"/>
      <c r="I59" s="80">
        <v>-110700000</v>
      </c>
      <c r="J59" s="147"/>
      <c r="K59" s="148"/>
      <c r="L59" s="155"/>
      <c r="M59" s="147"/>
      <c r="N59" s="150"/>
      <c r="O59" s="331"/>
      <c r="P59" s="147"/>
      <c r="Q59" s="150"/>
    </row>
    <row r="60" spans="1:17" ht="15.75" x14ac:dyDescent="0.2">
      <c r="A60" s="143"/>
      <c r="B60" s="144"/>
      <c r="C60" s="145" t="s">
        <v>55</v>
      </c>
      <c r="D60" s="146"/>
      <c r="E60" s="146"/>
      <c r="F60" s="146"/>
      <c r="G60" s="146"/>
      <c r="H60" s="80"/>
      <c r="I60" s="80">
        <v>-189300000</v>
      </c>
      <c r="J60" s="147"/>
      <c r="K60" s="148"/>
      <c r="L60" s="155"/>
      <c r="M60" s="147"/>
      <c r="N60" s="150"/>
      <c r="O60" s="331"/>
      <c r="P60" s="147"/>
      <c r="Q60" s="150"/>
    </row>
    <row r="61" spans="1:17" ht="15.75" x14ac:dyDescent="0.2">
      <c r="A61" s="143"/>
      <c r="B61" s="144"/>
      <c r="C61" s="145" t="s">
        <v>56</v>
      </c>
      <c r="D61" s="146"/>
      <c r="E61" s="146"/>
      <c r="F61" s="146"/>
      <c r="G61" s="146"/>
      <c r="H61" s="80"/>
      <c r="I61" s="80">
        <v>36223000</v>
      </c>
      <c r="J61" s="147"/>
      <c r="K61" s="148"/>
      <c r="L61" s="155"/>
      <c r="M61" s="147"/>
      <c r="N61" s="150"/>
      <c r="O61" s="331"/>
      <c r="P61" s="147"/>
      <c r="Q61" s="150"/>
    </row>
    <row r="62" spans="1:17" ht="16.5" thickBot="1" x14ac:dyDescent="0.25">
      <c r="A62" s="619"/>
      <c r="B62" s="620"/>
      <c r="C62" s="621" t="s">
        <v>129</v>
      </c>
      <c r="D62" s="622"/>
      <c r="E62" s="622"/>
      <c r="F62" s="622"/>
      <c r="G62" s="622"/>
      <c r="H62" s="616"/>
      <c r="I62" s="616">
        <v>-28000000</v>
      </c>
      <c r="J62" s="623"/>
      <c r="K62" s="624"/>
      <c r="L62" s="625"/>
      <c r="M62" s="623"/>
      <c r="N62" s="626"/>
      <c r="O62" s="627"/>
      <c r="P62" s="623"/>
      <c r="Q62" s="626"/>
    </row>
    <row r="63" spans="1:17" ht="18.75" thickBot="1" x14ac:dyDescent="0.25">
      <c r="A63" s="628"/>
      <c r="B63" s="629"/>
      <c r="C63" s="879" t="s">
        <v>57</v>
      </c>
      <c r="D63" s="880"/>
      <c r="E63" s="880"/>
      <c r="F63" s="880"/>
      <c r="G63" s="880"/>
      <c r="H63" s="630">
        <f>H56+(SUM(H57:H62))</f>
        <v>19191981</v>
      </c>
      <c r="I63" s="630">
        <f>I56+(SUM(I57:I62))</f>
        <v>18801082232</v>
      </c>
      <c r="J63" s="477">
        <f>I63/$I$55</f>
        <v>0.98374301275368359</v>
      </c>
      <c r="K63" s="478">
        <f>I63/H63/1000-1</f>
        <v>-2.0367817579644343E-2</v>
      </c>
      <c r="L63" s="631">
        <f>L56+(SUM(L57:L62))</f>
        <v>20144859232</v>
      </c>
      <c r="M63" s="477">
        <f>L63/$L$55</f>
        <v>1.0540544564321299</v>
      </c>
      <c r="N63" s="480">
        <f>L63/I63-1</f>
        <v>7.1473385596540373E-2</v>
      </c>
      <c r="O63" s="632">
        <f>O56+(SUM(O57:O62))</f>
        <v>22829459232</v>
      </c>
      <c r="P63" s="477">
        <f>O63/$O$55</f>
        <v>1</v>
      </c>
      <c r="Q63" s="480">
        <f>O63/L63-1</f>
        <v>0.13326476839984691</v>
      </c>
    </row>
    <row r="64" spans="1:17" ht="6.75" customHeight="1" x14ac:dyDescent="0.2">
      <c r="A64" s="151"/>
      <c r="B64" s="151"/>
      <c r="C64" s="151"/>
      <c r="D64" s="151"/>
      <c r="E64" s="151"/>
      <c r="F64" s="151"/>
      <c r="G64" s="151"/>
      <c r="H64" s="613"/>
      <c r="I64" s="152"/>
      <c r="J64" s="153"/>
      <c r="K64" s="154"/>
      <c r="L64" s="154"/>
      <c r="M64" s="153"/>
      <c r="N64" s="154"/>
      <c r="O64" s="154"/>
      <c r="P64" s="4"/>
      <c r="Q64" s="4"/>
    </row>
    <row r="65" spans="1:17" s="674" customFormat="1" ht="21.75" customHeight="1" x14ac:dyDescent="0.2">
      <c r="A65" s="151"/>
      <c r="B65" s="151"/>
      <c r="C65" s="793" t="s">
        <v>296</v>
      </c>
      <c r="D65" s="151"/>
      <c r="E65" s="151"/>
      <c r="F65" s="151"/>
      <c r="G65" s="151"/>
      <c r="H65" s="613"/>
      <c r="I65" s="152"/>
      <c r="J65" s="153"/>
      <c r="K65" s="154"/>
      <c r="L65" s="154"/>
      <c r="M65" s="153"/>
      <c r="N65" s="154"/>
      <c r="O65" s="154"/>
      <c r="P65" s="4"/>
      <c r="Q65" s="4"/>
    </row>
    <row r="66" spans="1:17" s="674" customFormat="1" ht="15" x14ac:dyDescent="0.2">
      <c r="A66" s="151"/>
      <c r="B66" s="151"/>
      <c r="C66" s="891" t="s">
        <v>298</v>
      </c>
      <c r="D66" s="891"/>
      <c r="E66" s="891"/>
      <c r="F66" s="891"/>
      <c r="G66" s="891"/>
      <c r="H66" s="789"/>
      <c r="I66" s="790"/>
      <c r="J66" s="791"/>
      <c r="K66" s="792"/>
      <c r="L66" s="792"/>
      <c r="M66" s="791"/>
      <c r="N66" s="792"/>
      <c r="O66" s="792">
        <f>+O18+O21+O23+O25+O31+O38+O41+O42+O44+O46+O51</f>
        <v>21921858712.643963</v>
      </c>
      <c r="P66" s="4"/>
      <c r="Q66" s="4"/>
    </row>
    <row r="67" spans="1:17" s="674" customFormat="1" ht="15" x14ac:dyDescent="0.2">
      <c r="A67" s="151"/>
      <c r="B67" s="151"/>
      <c r="C67" s="891" t="s">
        <v>299</v>
      </c>
      <c r="D67" s="891"/>
      <c r="E67" s="891"/>
      <c r="F67" s="891"/>
      <c r="G67" s="891"/>
      <c r="H67" s="789"/>
      <c r="I67" s="790"/>
      <c r="J67" s="791"/>
      <c r="K67" s="792"/>
      <c r="L67" s="792"/>
      <c r="M67" s="791"/>
      <c r="N67" s="792"/>
      <c r="O67" s="792">
        <f>+O22+O24+O26+O32+O37+O47+O48</f>
        <v>370000000</v>
      </c>
      <c r="P67" s="4"/>
      <c r="Q67" s="4"/>
    </row>
    <row r="68" spans="1:17" s="674" customFormat="1" ht="15" x14ac:dyDescent="0.2">
      <c r="A68" s="151"/>
      <c r="B68" s="151"/>
      <c r="C68" s="891" t="s">
        <v>297</v>
      </c>
      <c r="D68" s="891"/>
      <c r="E68" s="891"/>
      <c r="F68" s="891"/>
      <c r="G68" s="891"/>
      <c r="H68" s="789"/>
      <c r="I68" s="790"/>
      <c r="J68" s="791"/>
      <c r="K68" s="792"/>
      <c r="L68" s="792"/>
      <c r="M68" s="791"/>
      <c r="N68" s="792"/>
      <c r="O68" s="792">
        <f>+O49</f>
        <v>537600519.35603809</v>
      </c>
      <c r="P68" s="4"/>
      <c r="Q68" s="4"/>
    </row>
    <row r="69" spans="1:17" s="674" customFormat="1" ht="15" x14ac:dyDescent="0.2">
      <c r="A69" s="151"/>
      <c r="B69" s="151"/>
      <c r="C69" s="151"/>
      <c r="D69" s="151"/>
      <c r="E69" s="151"/>
      <c r="F69" s="151"/>
      <c r="G69" s="151"/>
      <c r="H69" s="613"/>
      <c r="I69" s="152"/>
      <c r="J69" s="153"/>
      <c r="K69" s="154"/>
      <c r="L69" s="154"/>
      <c r="M69" s="153"/>
      <c r="N69" s="154"/>
      <c r="O69" s="154"/>
      <c r="P69" s="4"/>
      <c r="Q69" s="4"/>
    </row>
    <row r="70" spans="1:17" ht="16.5" x14ac:dyDescent="0.2">
      <c r="A70" s="314" t="s">
        <v>186</v>
      </c>
      <c r="B70" s="881" t="s">
        <v>187</v>
      </c>
      <c r="C70" s="881"/>
      <c r="D70" s="881"/>
      <c r="E70" s="881"/>
      <c r="F70" s="881"/>
      <c r="G70" s="881"/>
      <c r="H70" s="881"/>
      <c r="I70" s="881"/>
      <c r="J70" s="881"/>
      <c r="K70" s="881"/>
      <c r="L70" s="881"/>
      <c r="M70" s="881"/>
      <c r="N70" s="881"/>
      <c r="O70" s="881"/>
      <c r="P70" s="881"/>
      <c r="Q70" s="881"/>
    </row>
    <row r="71" spans="1:17" ht="33" customHeight="1" x14ac:dyDescent="0.2">
      <c r="A71" s="314" t="s">
        <v>185</v>
      </c>
      <c r="B71" s="882" t="s">
        <v>253</v>
      </c>
      <c r="C71" s="882"/>
      <c r="D71" s="882"/>
      <c r="E71" s="882"/>
      <c r="F71" s="882"/>
      <c r="G71" s="882"/>
      <c r="H71" s="882"/>
      <c r="I71" s="882"/>
      <c r="J71" s="882"/>
      <c r="K71" s="882"/>
      <c r="L71" s="882"/>
      <c r="M71" s="882"/>
      <c r="N71" s="882"/>
      <c r="O71" s="882"/>
      <c r="P71" s="882"/>
      <c r="Q71" s="882"/>
    </row>
    <row r="72" spans="1:17" s="674" customFormat="1" ht="8.25" customHeight="1" x14ac:dyDescent="0.2">
      <c r="A72" s="314"/>
      <c r="B72" s="673"/>
      <c r="C72" s="673"/>
      <c r="D72" s="673"/>
      <c r="E72" s="673"/>
      <c r="F72" s="673"/>
      <c r="G72" s="673"/>
      <c r="H72" s="673"/>
      <c r="I72" s="673"/>
      <c r="J72" s="673"/>
      <c r="K72" s="673"/>
      <c r="L72" s="673"/>
      <c r="M72" s="673"/>
      <c r="N72" s="673"/>
      <c r="O72" s="673"/>
      <c r="P72" s="673"/>
      <c r="Q72" s="673"/>
    </row>
    <row r="73" spans="1:17" s="674" customFormat="1" ht="17.25" customHeight="1" x14ac:dyDescent="0.2">
      <c r="A73" s="314"/>
      <c r="B73" s="878" t="s">
        <v>289</v>
      </c>
      <c r="C73" s="878"/>
      <c r="D73" s="878"/>
      <c r="E73" s="878"/>
      <c r="F73" s="878"/>
      <c r="G73" s="878"/>
      <c r="H73" s="878"/>
      <c r="I73" s="878"/>
      <c r="J73" s="878"/>
      <c r="K73" s="878"/>
      <c r="L73" s="878"/>
      <c r="M73" s="878"/>
      <c r="N73" s="878"/>
      <c r="O73" s="878"/>
      <c r="P73" s="878"/>
      <c r="Q73" s="878"/>
    </row>
    <row r="75" spans="1:17" x14ac:dyDescent="0.2">
      <c r="A75" s="794" t="s">
        <v>240</v>
      </c>
      <c r="B75" s="177"/>
      <c r="O75" s="773"/>
    </row>
    <row r="76" spans="1:17" x14ac:dyDescent="0.2">
      <c r="A76" s="177"/>
      <c r="B76" s="177"/>
    </row>
    <row r="77" spans="1:17" x14ac:dyDescent="0.2">
      <c r="A77" s="177"/>
      <c r="B77" s="177"/>
    </row>
  </sheetData>
  <mergeCells count="47">
    <mergeCell ref="C26:G26"/>
    <mergeCell ref="B73:Q73"/>
    <mergeCell ref="C63:G63"/>
    <mergeCell ref="B70:Q70"/>
    <mergeCell ref="B71:Q71"/>
    <mergeCell ref="C27:G27"/>
    <mergeCell ref="C30:G30"/>
    <mergeCell ref="C33:G33"/>
    <mergeCell ref="C51:G51"/>
    <mergeCell ref="C53:G53"/>
    <mergeCell ref="C66:G66"/>
    <mergeCell ref="C67:G67"/>
    <mergeCell ref="C68:G68"/>
    <mergeCell ref="C24:G24"/>
    <mergeCell ref="L10:L12"/>
    <mergeCell ref="M10:M12"/>
    <mergeCell ref="C23:G23"/>
    <mergeCell ref="C25:G25"/>
    <mergeCell ref="P10:P12"/>
    <mergeCell ref="Q10:Q12"/>
    <mergeCell ref="C13:G13"/>
    <mergeCell ref="C21:G21"/>
    <mergeCell ref="C22:G22"/>
    <mergeCell ref="C18:G18"/>
    <mergeCell ref="J10:J12"/>
    <mergeCell ref="K10:K12"/>
    <mergeCell ref="C16:G16"/>
    <mergeCell ref="C17:G17"/>
    <mergeCell ref="N10:N12"/>
    <mergeCell ref="O10:O12"/>
    <mergeCell ref="A7:D7"/>
    <mergeCell ref="J7:K7"/>
    <mergeCell ref="A8:H8"/>
    <mergeCell ref="J8:K8"/>
    <mergeCell ref="A9:I9"/>
    <mergeCell ref="A10:A12"/>
    <mergeCell ref="B10:B12"/>
    <mergeCell ref="C10:G12"/>
    <mergeCell ref="H10:H12"/>
    <mergeCell ref="I10:I12"/>
    <mergeCell ref="A6:D6"/>
    <mergeCell ref="J6:K6"/>
    <mergeCell ref="A1:Q1"/>
    <mergeCell ref="A4:D4"/>
    <mergeCell ref="J4:K4"/>
    <mergeCell ref="A5:D5"/>
    <mergeCell ref="J5:K5"/>
  </mergeCells>
  <hyperlinks>
    <hyperlink ref="A75" location="'0 Seznam'!A1" display="'0 Seznam'!A1"/>
  </hyperlinks>
  <pageMargins left="0.70866141732283472" right="0.70866141732283472" top="0.78740157480314965" bottom="0.78740157480314965" header="0.31496062992125984" footer="0.31496062992125984"/>
  <pageSetup paperSize="8" scale="61" orientation="landscape" r:id="rId1"/>
  <headerFooter>
    <oddHeader>&amp;L
Č. j.: MSMT-1251/2018-1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5"/>
  <sheetViews>
    <sheetView zoomScaleNormal="100" workbookViewId="0">
      <selection activeCell="A35" sqref="A35"/>
    </sheetView>
  </sheetViews>
  <sheetFormatPr defaultRowHeight="12.75" x14ac:dyDescent="0.2"/>
  <cols>
    <col min="1" max="1" width="11.140625" style="227" customWidth="1"/>
    <col min="2" max="2" width="60.7109375" style="227" customWidth="1"/>
    <col min="3" max="3" width="17.28515625" style="227" customWidth="1"/>
    <col min="4" max="4" width="17.7109375" style="227" customWidth="1"/>
    <col min="5" max="5" width="13.85546875" style="227" customWidth="1"/>
    <col min="6" max="6" width="11.85546875" style="227" customWidth="1"/>
    <col min="7" max="7" width="15.5703125" style="227" customWidth="1"/>
    <col min="8" max="8" width="16.85546875" style="227" customWidth="1"/>
    <col min="9" max="16384" width="9.140625" style="227"/>
  </cols>
  <sheetData>
    <row r="1" spans="1:8" ht="27.75" x14ac:dyDescent="0.4">
      <c r="A1" s="676" t="s">
        <v>266</v>
      </c>
      <c r="B1" s="675"/>
      <c r="C1" s="675"/>
      <c r="D1" s="390"/>
      <c r="E1" s="390"/>
    </row>
    <row r="2" spans="1:8" ht="27.75" x14ac:dyDescent="0.4">
      <c r="A2" s="687" t="s">
        <v>267</v>
      </c>
      <c r="B2" s="390"/>
      <c r="C2" s="390"/>
      <c r="D2" s="390"/>
      <c r="E2" s="768">
        <f>1-SUM(C25:C30)</f>
        <v>0.94646043698816973</v>
      </c>
    </row>
    <row r="3" spans="1:8" ht="13.5" thickBot="1" x14ac:dyDescent="0.25">
      <c r="A3" s="390"/>
      <c r="B3" s="390"/>
      <c r="C3" s="390"/>
      <c r="D3" s="391" t="s">
        <v>183</v>
      </c>
      <c r="E3" s="768">
        <f>1-SUM(D25:D30)</f>
        <v>0.94599999999999995</v>
      </c>
    </row>
    <row r="4" spans="1:8" ht="30.75" thickBot="1" x14ac:dyDescent="0.25">
      <c r="A4" s="345" t="s">
        <v>61</v>
      </c>
      <c r="B4" s="465" t="s">
        <v>103</v>
      </c>
      <c r="C4" s="498" t="s">
        <v>157</v>
      </c>
      <c r="D4" s="497" t="s">
        <v>190</v>
      </c>
      <c r="E4" s="390"/>
    </row>
    <row r="5" spans="1:8" s="333" customFormat="1" ht="15" customHeight="1" x14ac:dyDescent="0.2">
      <c r="A5" s="341">
        <v>11000</v>
      </c>
      <c r="B5" s="466" t="s">
        <v>143</v>
      </c>
      <c r="C5" s="499">
        <v>0.17703877581317168</v>
      </c>
      <c r="D5" s="689">
        <f>C5*($E$3/$E$2)</f>
        <v>0.17695264944429348</v>
      </c>
      <c r="E5" s="392"/>
      <c r="F5" s="504"/>
      <c r="G5" s="334"/>
      <c r="H5" s="334"/>
    </row>
    <row r="6" spans="1:8" s="333" customFormat="1" ht="15" customHeight="1" x14ac:dyDescent="0.2">
      <c r="A6" s="342">
        <v>12000</v>
      </c>
      <c r="B6" s="467" t="s">
        <v>78</v>
      </c>
      <c r="C6" s="500">
        <v>3.0712588244683047E-2</v>
      </c>
      <c r="D6" s="690">
        <f t="shared" ref="D6:D24" si="0">C6*($E$3/$E$2)</f>
        <v>3.0697647090169203E-2</v>
      </c>
      <c r="E6" s="392"/>
      <c r="F6" s="504"/>
      <c r="G6" s="334"/>
      <c r="H6" s="334"/>
    </row>
    <row r="7" spans="1:8" s="333" customFormat="1" ht="15" customHeight="1" x14ac:dyDescent="0.2">
      <c r="A7" s="342">
        <v>13000</v>
      </c>
      <c r="B7" s="468" t="s">
        <v>79</v>
      </c>
      <c r="C7" s="500">
        <v>2.4492280023581198E-2</v>
      </c>
      <c r="D7" s="690">
        <f t="shared" si="0"/>
        <v>2.4480364943767239E-2</v>
      </c>
      <c r="E7" s="392"/>
      <c r="F7" s="504"/>
      <c r="G7" s="334"/>
      <c r="H7" s="334"/>
    </row>
    <row r="8" spans="1:8" s="333" customFormat="1" ht="15" customHeight="1" x14ac:dyDescent="0.2">
      <c r="A8" s="342">
        <v>14000</v>
      </c>
      <c r="B8" s="468" t="s">
        <v>80</v>
      </c>
      <c r="C8" s="500">
        <v>0.11301912740144074</v>
      </c>
      <c r="D8" s="691">
        <f t="shared" si="0"/>
        <v>0.11296414550828111</v>
      </c>
      <c r="E8" s="392"/>
      <c r="F8" s="504"/>
      <c r="G8" s="334"/>
      <c r="H8" s="334"/>
    </row>
    <row r="9" spans="1:8" s="333" customFormat="1" ht="15" customHeight="1" x14ac:dyDescent="0.2">
      <c r="A9" s="342">
        <v>15000</v>
      </c>
      <c r="B9" s="468" t="s">
        <v>81</v>
      </c>
      <c r="C9" s="500">
        <v>6.3058979479020852E-2</v>
      </c>
      <c r="D9" s="691">
        <f t="shared" si="0"/>
        <v>6.302830235248319E-2</v>
      </c>
      <c r="E9" s="392"/>
      <c r="F9" s="504"/>
      <c r="G9" s="334"/>
      <c r="H9" s="334"/>
    </row>
    <row r="10" spans="1:8" s="333" customFormat="1" ht="15" customHeight="1" x14ac:dyDescent="0.2">
      <c r="A10" s="342">
        <v>16000</v>
      </c>
      <c r="B10" s="468" t="s">
        <v>82</v>
      </c>
      <c r="C10" s="500">
        <v>1.5642942800589969E-2</v>
      </c>
      <c r="D10" s="690">
        <f t="shared" si="0"/>
        <v>1.5635332773601272E-2</v>
      </c>
      <c r="E10" s="392"/>
      <c r="F10" s="504"/>
      <c r="G10" s="334"/>
      <c r="H10" s="334"/>
    </row>
    <row r="11" spans="1:8" s="333" customFormat="1" ht="15" customHeight="1" x14ac:dyDescent="0.2">
      <c r="A11" s="342">
        <v>17000</v>
      </c>
      <c r="B11" s="468" t="s">
        <v>142</v>
      </c>
      <c r="C11" s="500">
        <v>2.7781352018572514E-2</v>
      </c>
      <c r="D11" s="690">
        <f t="shared" si="0"/>
        <v>2.7767836860885183E-2</v>
      </c>
      <c r="E11" s="392"/>
      <c r="F11" s="504"/>
      <c r="G11" s="334"/>
      <c r="H11" s="334"/>
    </row>
    <row r="12" spans="1:8" s="333" customFormat="1" ht="15" customHeight="1" x14ac:dyDescent="0.2">
      <c r="A12" s="342">
        <v>18000</v>
      </c>
      <c r="B12" s="467" t="s">
        <v>75</v>
      </c>
      <c r="C12" s="500">
        <v>1.7118401559116831E-2</v>
      </c>
      <c r="D12" s="690">
        <f t="shared" si="0"/>
        <v>1.7110073746407363E-2</v>
      </c>
      <c r="E12" s="392"/>
      <c r="F12" s="504"/>
      <c r="G12" s="334"/>
      <c r="H12" s="334"/>
    </row>
    <row r="13" spans="1:8" s="333" customFormat="1" ht="15" customHeight="1" x14ac:dyDescent="0.2">
      <c r="A13" s="342">
        <v>19000</v>
      </c>
      <c r="B13" s="467" t="s">
        <v>83</v>
      </c>
      <c r="C13" s="500">
        <v>1.5324170618259388E-2</v>
      </c>
      <c r="D13" s="690">
        <f t="shared" si="0"/>
        <v>1.5316715668543663E-2</v>
      </c>
      <c r="E13" s="392"/>
      <c r="F13" s="504"/>
      <c r="G13" s="334"/>
      <c r="H13" s="334"/>
    </row>
    <row r="14" spans="1:8" s="333" customFormat="1" ht="15" customHeight="1" x14ac:dyDescent="0.2">
      <c r="A14" s="342">
        <v>21000</v>
      </c>
      <c r="B14" s="467" t="s">
        <v>84</v>
      </c>
      <c r="C14" s="500">
        <v>8.5683679149170758E-2</v>
      </c>
      <c r="D14" s="691">
        <f t="shared" si="0"/>
        <v>8.5641995489060999E-2</v>
      </c>
      <c r="E14" s="392"/>
      <c r="F14" s="504"/>
      <c r="G14" s="334"/>
      <c r="H14" s="334"/>
    </row>
    <row r="15" spans="1:8" s="333" customFormat="1" ht="15" customHeight="1" x14ac:dyDescent="0.2">
      <c r="A15" s="342">
        <v>22000</v>
      </c>
      <c r="B15" s="468" t="s">
        <v>85</v>
      </c>
      <c r="C15" s="500">
        <v>2.2777094818815707E-2</v>
      </c>
      <c r="D15" s="690">
        <f t="shared" si="0"/>
        <v>2.2766014147582364E-2</v>
      </c>
      <c r="E15" s="392"/>
      <c r="F15" s="504"/>
      <c r="H15" s="334"/>
    </row>
    <row r="16" spans="1:8" s="333" customFormat="1" ht="15" customHeight="1" x14ac:dyDescent="0.2">
      <c r="A16" s="342">
        <v>23000</v>
      </c>
      <c r="B16" s="468" t="s">
        <v>86</v>
      </c>
      <c r="C16" s="500">
        <v>3.7281019509879151E-2</v>
      </c>
      <c r="D16" s="690">
        <f t="shared" si="0"/>
        <v>3.7262882924694832E-2</v>
      </c>
      <c r="E16" s="392"/>
      <c r="F16" s="504"/>
      <c r="H16" s="334"/>
    </row>
    <row r="17" spans="1:10" s="333" customFormat="1" ht="15" customHeight="1" x14ac:dyDescent="0.2">
      <c r="A17" s="342">
        <v>24000</v>
      </c>
      <c r="B17" s="468" t="s">
        <v>87</v>
      </c>
      <c r="C17" s="500">
        <v>2.189139048998005E-2</v>
      </c>
      <c r="D17" s="690">
        <f t="shared" si="0"/>
        <v>2.1880740698916275E-2</v>
      </c>
      <c r="E17" s="392"/>
      <c r="F17" s="504"/>
      <c r="H17" s="334"/>
    </row>
    <row r="18" spans="1:10" s="333" customFormat="1" ht="15" customHeight="1" x14ac:dyDescent="0.2">
      <c r="A18" s="342">
        <v>25000</v>
      </c>
      <c r="B18" s="468" t="s">
        <v>88</v>
      </c>
      <c r="C18" s="500">
        <v>2.6150055041374583E-2</v>
      </c>
      <c r="D18" s="690">
        <f t="shared" si="0"/>
        <v>2.6137333482064571E-2</v>
      </c>
      <c r="E18" s="392"/>
      <c r="F18" s="504"/>
      <c r="H18" s="334"/>
    </row>
    <row r="19" spans="1:10" s="333" customFormat="1" ht="15" customHeight="1" x14ac:dyDescent="0.2">
      <c r="A19" s="342">
        <v>26000</v>
      </c>
      <c r="B19" s="468" t="s">
        <v>89</v>
      </c>
      <c r="C19" s="500">
        <v>6.9602045459460249E-2</v>
      </c>
      <c r="D19" s="691">
        <f t="shared" si="0"/>
        <v>6.9568185242033953E-2</v>
      </c>
      <c r="E19" s="392"/>
      <c r="F19" s="504"/>
      <c r="H19" s="334"/>
    </row>
    <row r="20" spans="1:10" s="333" customFormat="1" ht="15" customHeight="1" x14ac:dyDescent="0.2">
      <c r="A20" s="342">
        <v>27000</v>
      </c>
      <c r="B20" s="468" t="s">
        <v>90</v>
      </c>
      <c r="C20" s="500">
        <v>5.0963662578561525E-2</v>
      </c>
      <c r="D20" s="690">
        <f t="shared" si="0"/>
        <v>5.0938869619039158E-2</v>
      </c>
      <c r="E20" s="392"/>
      <c r="F20" s="504"/>
      <c r="H20" s="334"/>
    </row>
    <row r="21" spans="1:10" s="333" customFormat="1" ht="15" customHeight="1" x14ac:dyDescent="0.2">
      <c r="A21" s="342">
        <v>28000</v>
      </c>
      <c r="B21" s="468" t="s">
        <v>91</v>
      </c>
      <c r="C21" s="500">
        <v>3.1685136847760427E-2</v>
      </c>
      <c r="D21" s="690">
        <f t="shared" si="0"/>
        <v>3.1669722564807032E-2</v>
      </c>
      <c r="E21" s="392"/>
      <c r="F21" s="504"/>
      <c r="H21" s="334"/>
    </row>
    <row r="22" spans="1:10" s="333" customFormat="1" ht="15" customHeight="1" x14ac:dyDescent="0.2">
      <c r="A22" s="342">
        <v>31000</v>
      </c>
      <c r="B22" s="468" t="s">
        <v>92</v>
      </c>
      <c r="C22" s="500">
        <v>3.6090463235188934E-2</v>
      </c>
      <c r="D22" s="690">
        <f t="shared" si="0"/>
        <v>3.607290583548764E-2</v>
      </c>
      <c r="E22" s="392"/>
      <c r="F22" s="504"/>
      <c r="H22" s="334"/>
    </row>
    <row r="23" spans="1:10" s="333" customFormat="1" ht="15" customHeight="1" x14ac:dyDescent="0.2">
      <c r="A23" s="342">
        <v>41000</v>
      </c>
      <c r="B23" s="468" t="s">
        <v>93</v>
      </c>
      <c r="C23" s="500">
        <v>5.0586558563841144E-2</v>
      </c>
      <c r="D23" s="690">
        <f t="shared" si="0"/>
        <v>5.0561949059041211E-2</v>
      </c>
      <c r="E23" s="392"/>
      <c r="F23" s="504"/>
      <c r="G23" s="332"/>
      <c r="H23" s="334"/>
    </row>
    <row r="24" spans="1:10" s="333" customFormat="1" ht="15" customHeight="1" x14ac:dyDescent="0.2">
      <c r="A24" s="342">
        <v>43000</v>
      </c>
      <c r="B24" s="468" t="s">
        <v>94</v>
      </c>
      <c r="C24" s="500">
        <v>2.9560713335700914E-2</v>
      </c>
      <c r="D24" s="690">
        <f t="shared" si="0"/>
        <v>2.9546332548840183E-2</v>
      </c>
      <c r="E24" s="393"/>
      <c r="F24" s="504"/>
      <c r="H24" s="334"/>
      <c r="J24" s="334"/>
    </row>
    <row r="25" spans="1:10" s="333" customFormat="1" ht="15" customHeight="1" x14ac:dyDescent="0.2">
      <c r="A25" s="342">
        <v>51000</v>
      </c>
      <c r="B25" s="468" t="s">
        <v>95</v>
      </c>
      <c r="C25" s="500">
        <v>1.772E-2</v>
      </c>
      <c r="D25" s="692">
        <v>1.772E-2</v>
      </c>
      <c r="E25" s="392"/>
      <c r="F25" s="504"/>
      <c r="H25" s="334"/>
    </row>
    <row r="26" spans="1:10" s="333" customFormat="1" ht="15" customHeight="1" x14ac:dyDescent="0.2">
      <c r="A26" s="342">
        <v>52000</v>
      </c>
      <c r="B26" s="468" t="s">
        <v>96</v>
      </c>
      <c r="C26" s="500">
        <v>4.8399999999999997E-3</v>
      </c>
      <c r="D26" s="692">
        <v>4.8399999999999997E-3</v>
      </c>
      <c r="E26" s="392"/>
      <c r="F26" s="504"/>
      <c r="H26" s="334"/>
    </row>
    <row r="27" spans="1:10" s="333" customFormat="1" ht="15" customHeight="1" x14ac:dyDescent="0.2">
      <c r="A27" s="342">
        <v>53000</v>
      </c>
      <c r="B27" s="468" t="s">
        <v>97</v>
      </c>
      <c r="C27" s="500">
        <v>6.8000000000000005E-3</v>
      </c>
      <c r="D27" s="692">
        <v>6.8000000000000005E-3</v>
      </c>
      <c r="E27" s="392"/>
      <c r="F27" s="504"/>
      <c r="H27" s="334"/>
    </row>
    <row r="28" spans="1:10" s="333" customFormat="1" ht="15" customHeight="1" x14ac:dyDescent="0.2">
      <c r="A28" s="342">
        <v>54000</v>
      </c>
      <c r="B28" s="468" t="s">
        <v>98</v>
      </c>
      <c r="C28" s="500">
        <v>1.064E-2</v>
      </c>
      <c r="D28" s="692">
        <v>1.064E-2</v>
      </c>
      <c r="E28" s="392"/>
      <c r="F28" s="504"/>
      <c r="H28" s="334"/>
    </row>
    <row r="29" spans="1:10" s="333" customFormat="1" ht="15" customHeight="1" x14ac:dyDescent="0.2">
      <c r="A29" s="342">
        <v>55000</v>
      </c>
      <c r="B29" s="468" t="s">
        <v>99</v>
      </c>
      <c r="C29" s="500">
        <v>5.5660047054840534E-3</v>
      </c>
      <c r="D29" s="693">
        <v>5.7999999999999996E-3</v>
      </c>
      <c r="E29" s="392"/>
      <c r="F29" s="504"/>
    </row>
    <row r="30" spans="1:10" s="333" customFormat="1" ht="15" customHeight="1" thickBot="1" x14ac:dyDescent="0.25">
      <c r="A30" s="343">
        <v>56000</v>
      </c>
      <c r="B30" s="469" t="s">
        <v>100</v>
      </c>
      <c r="C30" s="501">
        <v>7.9735583063461832E-3</v>
      </c>
      <c r="D30" s="694">
        <v>8.2000000000000007E-3</v>
      </c>
      <c r="E30" s="392"/>
      <c r="F30" s="504"/>
    </row>
    <row r="31" spans="1:10" s="333" customFormat="1" ht="15" customHeight="1" thickBot="1" x14ac:dyDescent="0.3">
      <c r="A31" s="344"/>
      <c r="B31" s="470" t="s">
        <v>60</v>
      </c>
      <c r="C31" s="502">
        <v>0.99999999999999978</v>
      </c>
      <c r="D31" s="695">
        <v>1</v>
      </c>
      <c r="E31" s="392"/>
      <c r="H31" s="334"/>
    </row>
    <row r="32" spans="1:10" ht="14.25" x14ac:dyDescent="0.2">
      <c r="A32" s="228"/>
      <c r="B32" s="228"/>
      <c r="C32" s="503"/>
      <c r="D32" s="503"/>
      <c r="E32" s="390"/>
    </row>
    <row r="33" spans="1:5" ht="14.25" x14ac:dyDescent="0.2">
      <c r="A33" s="228" t="s">
        <v>254</v>
      </c>
      <c r="B33" s="228"/>
      <c r="C33" s="228"/>
      <c r="D33" s="228"/>
      <c r="E33" s="390"/>
    </row>
    <row r="34" spans="1:5" ht="14.25" x14ac:dyDescent="0.2">
      <c r="A34" s="228"/>
      <c r="B34" s="228"/>
      <c r="C34" s="228"/>
      <c r="D34" s="228"/>
      <c r="E34" s="390"/>
    </row>
    <row r="35" spans="1:5" x14ac:dyDescent="0.2">
      <c r="A35" s="794" t="s">
        <v>240</v>
      </c>
      <c r="B35" s="390"/>
      <c r="C35" s="390"/>
      <c r="D35" s="390"/>
    </row>
  </sheetData>
  <hyperlinks>
    <hyperlink ref="A35" location="'0 Seznam'!A1" display="'0 Seznam'!A1"/>
  </hyperlinks>
  <pageMargins left="0.70866141732283472" right="0.70866141732283472" top="0.78740157480314965" bottom="0.78740157480314965" header="0.31496062992125984" footer="0.31496062992125984"/>
  <pageSetup paperSize="9" scale="72" fitToHeight="0" orientation="portrait" r:id="rId1"/>
  <headerFooter>
    <oddHeader>&amp;L
Č. j.: MSMT-1251/2018-1</oddHeader>
    <oddFooter>&amp;C&amp;A</oddFooter>
  </headerFooter>
  <ignoredErrors>
    <ignoredError sqref="E2:E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8"/>
  <sheetViews>
    <sheetView topLeftCell="A22" zoomScaleNormal="100" workbookViewId="0">
      <selection activeCell="A52" sqref="A52"/>
    </sheetView>
  </sheetViews>
  <sheetFormatPr defaultRowHeight="12.75" x14ac:dyDescent="0.2"/>
  <cols>
    <col min="2" max="2" width="10.28515625" customWidth="1"/>
    <col min="3" max="3" width="46.42578125" customWidth="1"/>
    <col min="4" max="5" width="10" customWidth="1"/>
    <col min="6" max="6" width="10.140625" customWidth="1"/>
    <col min="7" max="7" width="14.42578125" customWidth="1"/>
    <col min="8" max="10" width="13" customWidth="1"/>
    <col min="11" max="11" width="15" customWidth="1"/>
  </cols>
  <sheetData>
    <row r="1" spans="2:12" ht="23.25" x14ac:dyDescent="0.35">
      <c r="B1" s="769" t="s">
        <v>241</v>
      </c>
    </row>
    <row r="2" spans="2:12" ht="12.75" customHeight="1" x14ac:dyDescent="0.35">
      <c r="B2" s="634"/>
    </row>
    <row r="3" spans="2:12" ht="15" x14ac:dyDescent="0.2">
      <c r="B3" s="770" t="s">
        <v>268</v>
      </c>
      <c r="D3" s="672"/>
      <c r="G3" s="157"/>
      <c r="H3" s="672"/>
      <c r="I3" s="672"/>
      <c r="J3" s="672"/>
      <c r="K3" s="672"/>
      <c r="L3" s="672"/>
    </row>
    <row r="4" spans="2:12" s="674" customFormat="1" ht="6" customHeight="1" thickBot="1" x14ac:dyDescent="0.25">
      <c r="B4" s="770"/>
      <c r="G4" s="157"/>
    </row>
    <row r="5" spans="2:12" ht="27" customHeight="1" x14ac:dyDescent="0.2">
      <c r="B5" s="913" t="s">
        <v>61</v>
      </c>
      <c r="C5" s="913" t="s">
        <v>103</v>
      </c>
      <c r="D5" s="918"/>
      <c r="E5" s="918"/>
      <c r="F5" s="919"/>
      <c r="G5" s="701" t="s">
        <v>180</v>
      </c>
      <c r="H5" s="698"/>
      <c r="I5" s="698"/>
      <c r="J5" s="698"/>
      <c r="K5" s="698"/>
      <c r="L5" s="698"/>
    </row>
    <row r="6" spans="2:12" ht="15" customHeight="1" thickBot="1" x14ac:dyDescent="0.25">
      <c r="B6" s="914"/>
      <c r="C6" s="920"/>
      <c r="D6" s="921"/>
      <c r="E6" s="921"/>
      <c r="F6" s="922"/>
      <c r="G6" s="667" t="s">
        <v>182</v>
      </c>
      <c r="H6" s="698"/>
      <c r="I6" s="672"/>
      <c r="J6" s="672"/>
      <c r="K6" s="672"/>
      <c r="L6" s="672"/>
    </row>
    <row r="7" spans="2:12" ht="14.25" x14ac:dyDescent="0.2">
      <c r="B7" s="700">
        <v>11000</v>
      </c>
      <c r="C7" s="915" t="s">
        <v>143</v>
      </c>
      <c r="D7" s="916"/>
      <c r="E7" s="916"/>
      <c r="F7" s="917"/>
      <c r="G7" s="718">
        <v>0.20953546849984567</v>
      </c>
      <c r="H7" s="672"/>
      <c r="I7" s="672"/>
      <c r="J7" s="672"/>
      <c r="K7" s="672"/>
      <c r="L7" s="672"/>
    </row>
    <row r="8" spans="2:12" ht="14.25" x14ac:dyDescent="0.2">
      <c r="B8" s="462">
        <v>12000</v>
      </c>
      <c r="C8" s="892" t="s">
        <v>78</v>
      </c>
      <c r="D8" s="893"/>
      <c r="E8" s="893"/>
      <c r="F8" s="894"/>
      <c r="G8" s="663">
        <v>2.8680376252434501E-2</v>
      </c>
      <c r="H8" s="672"/>
      <c r="I8" s="672"/>
      <c r="J8" s="672"/>
      <c r="K8" s="672"/>
      <c r="L8" s="672"/>
    </row>
    <row r="9" spans="2:12" ht="14.25" x14ac:dyDescent="0.2">
      <c r="B9" s="462">
        <v>13000</v>
      </c>
      <c r="C9" s="892" t="s">
        <v>79</v>
      </c>
      <c r="D9" s="893"/>
      <c r="E9" s="893"/>
      <c r="F9" s="894"/>
      <c r="G9" s="663">
        <v>1.6291584452938577E-2</v>
      </c>
      <c r="H9" s="672"/>
      <c r="I9" s="672"/>
      <c r="J9" s="672"/>
      <c r="K9" s="672"/>
      <c r="L9" s="672"/>
    </row>
    <row r="10" spans="2:12" ht="14.25" x14ac:dyDescent="0.2">
      <c r="B10" s="462">
        <v>14000</v>
      </c>
      <c r="C10" s="892" t="s">
        <v>80</v>
      </c>
      <c r="D10" s="893"/>
      <c r="E10" s="893"/>
      <c r="F10" s="894"/>
      <c r="G10" s="664">
        <v>0.12122222155183993</v>
      </c>
      <c r="H10" s="672"/>
      <c r="I10" s="672"/>
      <c r="J10" s="672"/>
      <c r="K10" s="672"/>
      <c r="L10" s="672"/>
    </row>
    <row r="11" spans="2:12" ht="14.25" x14ac:dyDescent="0.2">
      <c r="B11" s="462">
        <v>15000</v>
      </c>
      <c r="C11" s="892" t="s">
        <v>81</v>
      </c>
      <c r="D11" s="893"/>
      <c r="E11" s="893"/>
      <c r="F11" s="894"/>
      <c r="G11" s="664">
        <v>6.4511352630302291E-2</v>
      </c>
      <c r="H11" s="698"/>
      <c r="I11" s="672"/>
      <c r="J11" s="672"/>
      <c r="K11" s="672"/>
      <c r="L11" s="672"/>
    </row>
    <row r="12" spans="2:12" ht="14.25" x14ac:dyDescent="0.2">
      <c r="B12" s="462">
        <v>16000</v>
      </c>
      <c r="C12" s="892" t="s">
        <v>82</v>
      </c>
      <c r="D12" s="893"/>
      <c r="E12" s="893"/>
      <c r="F12" s="894"/>
      <c r="G12" s="663">
        <v>1.0082871028469418E-2</v>
      </c>
      <c r="H12" s="672"/>
      <c r="I12" s="672"/>
      <c r="J12" s="672"/>
      <c r="K12" s="672"/>
      <c r="L12" s="672"/>
    </row>
    <row r="13" spans="2:12" ht="14.25" x14ac:dyDescent="0.2">
      <c r="B13" s="462">
        <v>17000</v>
      </c>
      <c r="C13" s="892" t="s">
        <v>142</v>
      </c>
      <c r="D13" s="893"/>
      <c r="E13" s="893"/>
      <c r="F13" s="894"/>
      <c r="G13" s="663">
        <v>2.2411681043430561E-2</v>
      </c>
    </row>
    <row r="14" spans="2:12" ht="14.25" x14ac:dyDescent="0.2">
      <c r="B14" s="462">
        <v>18000</v>
      </c>
      <c r="C14" s="892" t="s">
        <v>75</v>
      </c>
      <c r="D14" s="893"/>
      <c r="E14" s="893"/>
      <c r="F14" s="894"/>
      <c r="G14" s="663">
        <v>1.5065404461156062E-2</v>
      </c>
    </row>
    <row r="15" spans="2:12" ht="14.25" x14ac:dyDescent="0.2">
      <c r="B15" s="462">
        <v>19000</v>
      </c>
      <c r="C15" s="892" t="s">
        <v>83</v>
      </c>
      <c r="D15" s="893"/>
      <c r="E15" s="893"/>
      <c r="F15" s="894"/>
      <c r="G15" s="663">
        <v>1.2024940994960582E-2</v>
      </c>
    </row>
    <row r="16" spans="2:12" ht="14.25" x14ac:dyDescent="0.2">
      <c r="B16" s="462">
        <v>21000</v>
      </c>
      <c r="C16" s="892" t="s">
        <v>84</v>
      </c>
      <c r="D16" s="893"/>
      <c r="E16" s="893"/>
      <c r="F16" s="894"/>
      <c r="G16" s="664">
        <v>9.3129321919194402E-2</v>
      </c>
    </row>
    <row r="17" spans="2:7" ht="14.25" x14ac:dyDescent="0.2">
      <c r="B17" s="462">
        <v>22000</v>
      </c>
      <c r="C17" s="892" t="s">
        <v>85</v>
      </c>
      <c r="D17" s="893"/>
      <c r="E17" s="893"/>
      <c r="F17" s="894"/>
      <c r="G17" s="663">
        <v>2.8370973518789731E-2</v>
      </c>
    </row>
    <row r="18" spans="2:7" ht="14.25" x14ac:dyDescent="0.2">
      <c r="B18" s="462">
        <v>23000</v>
      </c>
      <c r="C18" s="892" t="s">
        <v>86</v>
      </c>
      <c r="D18" s="893"/>
      <c r="E18" s="893"/>
      <c r="F18" s="894"/>
      <c r="G18" s="663">
        <v>3.6388125904963917E-2</v>
      </c>
    </row>
    <row r="19" spans="2:7" ht="14.25" x14ac:dyDescent="0.2">
      <c r="B19" s="462">
        <v>24000</v>
      </c>
      <c r="C19" s="892" t="s">
        <v>87</v>
      </c>
      <c r="D19" s="893"/>
      <c r="E19" s="893"/>
      <c r="F19" s="894"/>
      <c r="G19" s="663">
        <v>1.9384797617447679E-2</v>
      </c>
    </row>
    <row r="20" spans="2:7" ht="14.25" x14ac:dyDescent="0.2">
      <c r="B20" s="462">
        <v>25000</v>
      </c>
      <c r="C20" s="892" t="s">
        <v>88</v>
      </c>
      <c r="D20" s="893"/>
      <c r="E20" s="893"/>
      <c r="F20" s="894"/>
      <c r="G20" s="663">
        <v>2.3209578191910447E-2</v>
      </c>
    </row>
    <row r="21" spans="2:7" ht="14.25" x14ac:dyDescent="0.2">
      <c r="B21" s="462">
        <v>26000</v>
      </c>
      <c r="C21" s="892" t="s">
        <v>89</v>
      </c>
      <c r="D21" s="893"/>
      <c r="E21" s="893"/>
      <c r="F21" s="894"/>
      <c r="G21" s="664">
        <v>7.1510277684357304E-2</v>
      </c>
    </row>
    <row r="22" spans="2:7" ht="14.25" x14ac:dyDescent="0.2">
      <c r="B22" s="462">
        <v>27000</v>
      </c>
      <c r="C22" s="892" t="s">
        <v>90</v>
      </c>
      <c r="D22" s="893"/>
      <c r="E22" s="893"/>
      <c r="F22" s="894"/>
      <c r="G22" s="663">
        <v>4.4070406589225966E-2</v>
      </c>
    </row>
    <row r="23" spans="2:7" ht="14.25" x14ac:dyDescent="0.2">
      <c r="B23" s="462">
        <v>28000</v>
      </c>
      <c r="C23" s="892" t="s">
        <v>91</v>
      </c>
      <c r="D23" s="893"/>
      <c r="E23" s="893"/>
      <c r="F23" s="894"/>
      <c r="G23" s="663">
        <v>2.4461004788455937E-2</v>
      </c>
    </row>
    <row r="24" spans="2:7" ht="14.25" x14ac:dyDescent="0.2">
      <c r="B24" s="462">
        <v>31000</v>
      </c>
      <c r="C24" s="892" t="s">
        <v>92</v>
      </c>
      <c r="D24" s="893"/>
      <c r="E24" s="893"/>
      <c r="F24" s="894"/>
      <c r="G24" s="663">
        <v>3.9404281687472321E-2</v>
      </c>
    </row>
    <row r="25" spans="2:7" ht="14.25" x14ac:dyDescent="0.2">
      <c r="B25" s="462">
        <v>41000</v>
      </c>
      <c r="C25" s="892" t="s">
        <v>93</v>
      </c>
      <c r="D25" s="893"/>
      <c r="E25" s="893"/>
      <c r="F25" s="894"/>
      <c r="G25" s="663">
        <v>4.9023870964596726E-2</v>
      </c>
    </row>
    <row r="26" spans="2:7" ht="14.25" x14ac:dyDescent="0.2">
      <c r="B26" s="462">
        <v>43000</v>
      </c>
      <c r="C26" s="892" t="s">
        <v>94</v>
      </c>
      <c r="D26" s="893"/>
      <c r="E26" s="893"/>
      <c r="F26" s="894"/>
      <c r="G26" s="663">
        <v>2.9138337257705607E-2</v>
      </c>
    </row>
    <row r="27" spans="2:7" ht="14.25" x14ac:dyDescent="0.2">
      <c r="B27" s="462">
        <v>51000</v>
      </c>
      <c r="C27" s="892" t="s">
        <v>95</v>
      </c>
      <c r="D27" s="893"/>
      <c r="E27" s="893"/>
      <c r="F27" s="894"/>
      <c r="G27" s="665">
        <f>G45</f>
        <v>1.3442553937592732E-2</v>
      </c>
    </row>
    <row r="28" spans="2:7" ht="14.25" x14ac:dyDescent="0.2">
      <c r="B28" s="462">
        <v>52000</v>
      </c>
      <c r="C28" s="892" t="s">
        <v>96</v>
      </c>
      <c r="D28" s="893"/>
      <c r="E28" s="893"/>
      <c r="F28" s="894"/>
      <c r="G28" s="665">
        <f t="shared" ref="G28:G30" si="0">G46</f>
        <v>3.7387164482731356E-3</v>
      </c>
    </row>
    <row r="29" spans="2:7" ht="14.25" x14ac:dyDescent="0.2">
      <c r="B29" s="462">
        <v>53000</v>
      </c>
      <c r="C29" s="892" t="s">
        <v>97</v>
      </c>
      <c r="D29" s="893"/>
      <c r="E29" s="893"/>
      <c r="F29" s="894"/>
      <c r="G29" s="665">
        <f t="shared" si="0"/>
        <v>6.6986482839678793E-3</v>
      </c>
    </row>
    <row r="30" spans="2:7" ht="14.25" x14ac:dyDescent="0.2">
      <c r="B30" s="462">
        <v>54000</v>
      </c>
      <c r="C30" s="892" t="s">
        <v>98</v>
      </c>
      <c r="D30" s="893"/>
      <c r="E30" s="893"/>
      <c r="F30" s="894"/>
      <c r="G30" s="665">
        <f t="shared" si="0"/>
        <v>8.3592970407039106E-3</v>
      </c>
    </row>
    <row r="31" spans="2:7" ht="14.25" x14ac:dyDescent="0.2">
      <c r="B31" s="462">
        <v>55000</v>
      </c>
      <c r="C31" s="892" t="s">
        <v>99</v>
      </c>
      <c r="D31" s="893"/>
      <c r="E31" s="893"/>
      <c r="F31" s="894"/>
      <c r="G31" s="666">
        <v>5.5660047054840534E-3</v>
      </c>
    </row>
    <row r="32" spans="2:7" ht="18" customHeight="1" thickBot="1" x14ac:dyDescent="0.25">
      <c r="B32" s="636">
        <v>56000</v>
      </c>
      <c r="C32" s="910" t="s">
        <v>100</v>
      </c>
      <c r="D32" s="911"/>
      <c r="E32" s="911"/>
      <c r="F32" s="912"/>
      <c r="G32" s="719">
        <v>7.9735583063461832E-3</v>
      </c>
    </row>
    <row r="33" spans="2:7" ht="15.75" thickBot="1" x14ac:dyDescent="0.25">
      <c r="B33" s="907" t="s">
        <v>206</v>
      </c>
      <c r="C33" s="908"/>
      <c r="D33" s="908"/>
      <c r="E33" s="908"/>
      <c r="F33" s="909"/>
      <c r="G33" s="570">
        <f>SUM(G7:G32)</f>
        <v>1.0036956557618657</v>
      </c>
    </row>
    <row r="34" spans="2:7" ht="13.5" thickBot="1" x14ac:dyDescent="0.25">
      <c r="D34" s="672"/>
    </row>
    <row r="35" spans="2:7" ht="14.25" x14ac:dyDescent="0.2">
      <c r="B35" s="895" t="s">
        <v>208</v>
      </c>
      <c r="C35" s="896"/>
      <c r="D35" s="896"/>
      <c r="E35" s="896"/>
      <c r="F35" s="897"/>
      <c r="G35" s="567">
        <f>SUM(G27:H30)</f>
        <v>3.2239215710537658E-2</v>
      </c>
    </row>
    <row r="36" spans="2:7" ht="14.25" x14ac:dyDescent="0.2">
      <c r="B36" s="898" t="s">
        <v>209</v>
      </c>
      <c r="C36" s="899"/>
      <c r="D36" s="899"/>
      <c r="E36" s="899"/>
      <c r="F36" s="900"/>
      <c r="G36" s="568">
        <f>SUM(G31:H32)</f>
        <v>1.3539563011830236E-2</v>
      </c>
    </row>
    <row r="37" spans="2:7" ht="14.25" x14ac:dyDescent="0.2">
      <c r="B37" s="901" t="s">
        <v>210</v>
      </c>
      <c r="C37" s="902"/>
      <c r="D37" s="902"/>
      <c r="E37" s="902"/>
      <c r="F37" s="903"/>
      <c r="G37" s="569">
        <f>SUM(G22:H26,G17:H20,G13:H15,G12,G8:H9)</f>
        <v>0.39800823475395808</v>
      </c>
    </row>
    <row r="38" spans="2:7" ht="15" thickBot="1" x14ac:dyDescent="0.25">
      <c r="B38" s="904" t="s">
        <v>211</v>
      </c>
      <c r="C38" s="905"/>
      <c r="D38" s="905"/>
      <c r="E38" s="905"/>
      <c r="F38" s="906"/>
      <c r="G38" s="720">
        <f>SUM(G21,G16,G10:H11,G7)</f>
        <v>0.55990864228553949</v>
      </c>
    </row>
    <row r="39" spans="2:7" ht="15.75" thickBot="1" x14ac:dyDescent="0.25">
      <c r="B39" s="907" t="s">
        <v>207</v>
      </c>
      <c r="C39" s="908"/>
      <c r="D39" s="908"/>
      <c r="E39" s="908"/>
      <c r="F39" s="909"/>
      <c r="G39" s="570">
        <f>SUM(G35:H38)</f>
        <v>1.0036956557618655</v>
      </c>
    </row>
    <row r="40" spans="2:7" s="672" customFormat="1" ht="15" x14ac:dyDescent="0.2">
      <c r="B40" s="696"/>
      <c r="C40" s="696"/>
      <c r="D40" s="697"/>
    </row>
    <row r="41" spans="2:7" s="672" customFormat="1" ht="15" x14ac:dyDescent="0.2">
      <c r="B41" s="770" t="s">
        <v>269</v>
      </c>
    </row>
    <row r="42" spans="2:7" s="674" customFormat="1" ht="8.25" customHeight="1" thickBot="1" x14ac:dyDescent="0.25">
      <c r="B42" s="770"/>
    </row>
    <row r="43" spans="2:7" s="672" customFormat="1" ht="13.5" customHeight="1" thickBot="1" x14ac:dyDescent="0.25">
      <c r="B43" s="923" t="s">
        <v>61</v>
      </c>
      <c r="C43" s="925" t="s">
        <v>103</v>
      </c>
      <c r="D43" s="927" t="s">
        <v>180</v>
      </c>
      <c r="E43" s="928"/>
      <c r="F43" s="928"/>
      <c r="G43" s="929"/>
    </row>
    <row r="44" spans="2:7" s="672" customFormat="1" ht="24" customHeight="1" thickBot="1" x14ac:dyDescent="0.25">
      <c r="B44" s="924"/>
      <c r="C44" s="926"/>
      <c r="D44" s="639">
        <v>2017</v>
      </c>
      <c r="E44" s="640">
        <v>2015</v>
      </c>
      <c r="F44" s="641">
        <v>2013</v>
      </c>
      <c r="G44" s="699" t="s">
        <v>244</v>
      </c>
    </row>
    <row r="45" spans="2:7" s="672" customFormat="1" ht="14.25" x14ac:dyDescent="0.2">
      <c r="B45" s="462">
        <v>51000</v>
      </c>
      <c r="C45" s="637" t="s">
        <v>95</v>
      </c>
      <c r="D45" s="702">
        <v>1.1814398158267635E-2</v>
      </c>
      <c r="E45" s="703">
        <v>1.5018077451406884E-2</v>
      </c>
      <c r="F45" s="704">
        <v>1.5149658115184249E-2</v>
      </c>
      <c r="G45" s="705">
        <f>0.5*D45+0.3*E45+0.2*F45</f>
        <v>1.3442553937592732E-2</v>
      </c>
    </row>
    <row r="46" spans="2:7" s="672" customFormat="1" ht="14.25" x14ac:dyDescent="0.2">
      <c r="B46" s="462">
        <v>52000</v>
      </c>
      <c r="C46" s="637" t="s">
        <v>96</v>
      </c>
      <c r="D46" s="706">
        <v>3.2502303290682993E-3</v>
      </c>
      <c r="E46" s="707">
        <v>4.1928707604542243E-3</v>
      </c>
      <c r="F46" s="708">
        <v>4.2787002780135946E-3</v>
      </c>
      <c r="G46" s="709">
        <f t="shared" ref="G46:G48" si="1">0.5*D46+0.3*E46+0.2*F46</f>
        <v>3.7387164482731356E-3</v>
      </c>
    </row>
    <row r="47" spans="2:7" s="672" customFormat="1" ht="14.25" x14ac:dyDescent="0.2">
      <c r="B47" s="462">
        <v>53000</v>
      </c>
      <c r="C47" s="637" t="s">
        <v>97</v>
      </c>
      <c r="D47" s="706">
        <v>6.0273672414488258E-3</v>
      </c>
      <c r="E47" s="707">
        <v>7.6603127139866682E-3</v>
      </c>
      <c r="F47" s="708">
        <v>6.9343542452373289E-3</v>
      </c>
      <c r="G47" s="709">
        <f t="shared" si="1"/>
        <v>6.6986482839678793E-3</v>
      </c>
    </row>
    <row r="48" spans="2:7" s="672" customFormat="1" ht="14.25" customHeight="1" thickBot="1" x14ac:dyDescent="0.25">
      <c r="B48" s="636">
        <v>54000</v>
      </c>
      <c r="C48" s="638" t="s">
        <v>98</v>
      </c>
      <c r="D48" s="710">
        <v>7.4515642198875109E-3</v>
      </c>
      <c r="E48" s="711">
        <v>9.87958498836756E-3</v>
      </c>
      <c r="F48" s="712">
        <v>8.3481971712494399E-3</v>
      </c>
      <c r="G48" s="713">
        <f t="shared" si="1"/>
        <v>8.3592970407039106E-3</v>
      </c>
    </row>
    <row r="49" spans="1:7" s="672" customFormat="1" ht="15.75" thickBot="1" x14ac:dyDescent="0.25">
      <c r="B49" s="907" t="s">
        <v>206</v>
      </c>
      <c r="C49" s="908"/>
      <c r="D49" s="714">
        <f>SUM(D45:D48)</f>
        <v>2.8543559948672272E-2</v>
      </c>
      <c r="E49" s="715">
        <f>SUM(E45:E48)</f>
        <v>3.6750845914215333E-2</v>
      </c>
      <c r="F49" s="716">
        <f>SUM(F45:F48)</f>
        <v>3.4710909809684609E-2</v>
      </c>
      <c r="G49" s="717">
        <f>SUM(G45:G48)</f>
        <v>3.2239215710537658E-2</v>
      </c>
    </row>
    <row r="50" spans="1:7" s="672" customFormat="1" ht="15" x14ac:dyDescent="0.2">
      <c r="B50" s="696"/>
      <c r="C50" s="696"/>
      <c r="D50" s="697"/>
    </row>
    <row r="51" spans="1:7" s="672" customFormat="1" ht="15" x14ac:dyDescent="0.2">
      <c r="B51" s="696"/>
      <c r="C51" s="696"/>
      <c r="D51" s="697"/>
    </row>
    <row r="52" spans="1:7" s="672" customFormat="1" ht="15" x14ac:dyDescent="0.2">
      <c r="A52" s="794" t="s">
        <v>240</v>
      </c>
      <c r="B52" s="696"/>
      <c r="C52" s="696"/>
      <c r="D52" s="697"/>
    </row>
    <row r="53" spans="1:7" s="672" customFormat="1" ht="15" x14ac:dyDescent="0.2">
      <c r="B53" s="696"/>
      <c r="C53" s="696"/>
      <c r="D53" s="697"/>
    </row>
    <row r="54" spans="1:7" s="672" customFormat="1" ht="15" x14ac:dyDescent="0.2">
      <c r="B54" s="696"/>
      <c r="C54" s="696"/>
      <c r="D54" s="697"/>
    </row>
    <row r="57" spans="1:7" x14ac:dyDescent="0.2">
      <c r="A57" s="177"/>
    </row>
    <row r="58" spans="1:7" x14ac:dyDescent="0.2">
      <c r="A58" s="177"/>
    </row>
  </sheetData>
  <mergeCells count="38">
    <mergeCell ref="B49:C49"/>
    <mergeCell ref="B5:B6"/>
    <mergeCell ref="C7:F7"/>
    <mergeCell ref="C5:F6"/>
    <mergeCell ref="B43:B44"/>
    <mergeCell ref="C43:C44"/>
    <mergeCell ref="D43:G43"/>
    <mergeCell ref="C14:F14"/>
    <mergeCell ref="C13:F13"/>
    <mergeCell ref="C23:F23"/>
    <mergeCell ref="C22:F22"/>
    <mergeCell ref="C21:F21"/>
    <mergeCell ref="C20:F20"/>
    <mergeCell ref="C28:F28"/>
    <mergeCell ref="C27:F27"/>
    <mergeCell ref="C26:F26"/>
    <mergeCell ref="C25:F25"/>
    <mergeCell ref="C24:F24"/>
    <mergeCell ref="B33:F33"/>
    <mergeCell ref="C32:F32"/>
    <mergeCell ref="C31:F31"/>
    <mergeCell ref="C30:F30"/>
    <mergeCell ref="C29:F29"/>
    <mergeCell ref="B35:F35"/>
    <mergeCell ref="B36:F36"/>
    <mergeCell ref="B37:F37"/>
    <mergeCell ref="B38:F38"/>
    <mergeCell ref="B39:F39"/>
    <mergeCell ref="C19:F19"/>
    <mergeCell ref="C18:F18"/>
    <mergeCell ref="C17:F17"/>
    <mergeCell ref="C16:F16"/>
    <mergeCell ref="C15:F15"/>
    <mergeCell ref="C12:F12"/>
    <mergeCell ref="C11:F11"/>
    <mergeCell ref="C10:F10"/>
    <mergeCell ref="C9:F9"/>
    <mergeCell ref="C8:F8"/>
  </mergeCells>
  <hyperlinks>
    <hyperlink ref="A52" location="'0 Seznam'!A1" display="'0 Seznam'!A1"/>
  </hyperlinks>
  <pageMargins left="0.70866141732283472" right="0.70866141732283472" top="0.78740157480314965" bottom="0.78740157480314965" header="0.31496062992125984" footer="0.31496062992125984"/>
  <pageSetup paperSize="9" scale="79" orientation="portrait" r:id="rId1"/>
  <headerFooter>
    <oddHeader>&amp;LČ. j.: MSMT-1251/2018-1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42"/>
  <sheetViews>
    <sheetView topLeftCell="A4" zoomScaleNormal="100" workbookViewId="0">
      <selection activeCell="A37" sqref="A36:A37"/>
    </sheetView>
  </sheetViews>
  <sheetFormatPr defaultRowHeight="12.75" x14ac:dyDescent="0.2"/>
  <cols>
    <col min="1" max="1" width="10" customWidth="1"/>
    <col min="2" max="2" width="13.42578125" customWidth="1"/>
    <col min="3" max="14" width="10" customWidth="1"/>
    <col min="15" max="15" width="14.140625" customWidth="1"/>
    <col min="16" max="16" width="13.5703125" customWidth="1"/>
  </cols>
  <sheetData>
    <row r="1" spans="1:17" ht="27.75" x14ac:dyDescent="0.2">
      <c r="A1" s="678" t="s">
        <v>255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505"/>
    </row>
    <row r="2" spans="1:17" ht="20.25" thickBot="1" x14ac:dyDescent="0.25">
      <c r="A2" s="230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505"/>
    </row>
    <row r="3" spans="1:17" ht="23.25" customHeight="1" x14ac:dyDescent="0.2">
      <c r="A3" s="936"/>
      <c r="B3" s="937"/>
      <c r="C3" s="940" t="s">
        <v>292</v>
      </c>
      <c r="D3" s="941"/>
      <c r="E3" s="941"/>
      <c r="F3" s="942"/>
      <c r="G3" s="943" t="s">
        <v>160</v>
      </c>
      <c r="H3" s="944"/>
      <c r="I3" s="943" t="s">
        <v>158</v>
      </c>
      <c r="J3" s="947"/>
      <c r="K3" s="943" t="s">
        <v>159</v>
      </c>
      <c r="L3" s="944"/>
      <c r="M3" s="949" t="s">
        <v>191</v>
      </c>
      <c r="N3" s="950"/>
      <c r="O3" s="930" t="s">
        <v>192</v>
      </c>
      <c r="P3" s="930" t="s">
        <v>193</v>
      </c>
      <c r="Q3" s="505"/>
    </row>
    <row r="4" spans="1:17" ht="26.25" customHeight="1" thickBot="1" x14ac:dyDescent="0.25">
      <c r="A4" s="938"/>
      <c r="B4" s="939"/>
      <c r="C4" s="786" t="s">
        <v>163</v>
      </c>
      <c r="D4" s="232" t="s">
        <v>164</v>
      </c>
      <c r="E4" s="232" t="s">
        <v>60</v>
      </c>
      <c r="F4" s="787" t="s">
        <v>60</v>
      </c>
      <c r="G4" s="945"/>
      <c r="H4" s="946"/>
      <c r="I4" s="945"/>
      <c r="J4" s="948"/>
      <c r="K4" s="945"/>
      <c r="L4" s="946"/>
      <c r="M4" s="951"/>
      <c r="N4" s="952"/>
      <c r="O4" s="931"/>
      <c r="P4" s="931"/>
      <c r="Q4" s="505"/>
    </row>
    <row r="5" spans="1:17" ht="15.75" thickBot="1" x14ac:dyDescent="0.3">
      <c r="A5" s="932" t="s">
        <v>165</v>
      </c>
      <c r="B5" s="933"/>
      <c r="C5" s="534"/>
      <c r="D5" s="238"/>
      <c r="E5" s="238"/>
      <c r="F5" s="509">
        <v>0.2</v>
      </c>
      <c r="G5" s="785"/>
      <c r="H5" s="236">
        <v>0.1</v>
      </c>
      <c r="I5" s="721"/>
      <c r="J5" s="313">
        <v>0.1</v>
      </c>
      <c r="K5" s="721"/>
      <c r="L5" s="509">
        <v>0.5</v>
      </c>
      <c r="M5" s="722"/>
      <c r="N5" s="509">
        <v>0.1</v>
      </c>
      <c r="O5" s="510">
        <f>SUM(C5:N5)</f>
        <v>1</v>
      </c>
      <c r="P5" s="511"/>
      <c r="Q5" s="505"/>
    </row>
    <row r="6" spans="1:17" ht="15" x14ac:dyDescent="0.25">
      <c r="A6" s="934" t="s">
        <v>166</v>
      </c>
      <c r="B6" s="935"/>
      <c r="C6" s="782"/>
      <c r="D6" s="783"/>
      <c r="E6" s="783"/>
      <c r="F6" s="784">
        <f>SUM(F7:F10)</f>
        <v>1</v>
      </c>
      <c r="G6" s="241"/>
      <c r="H6" s="242">
        <f>SUM(H7:H10)</f>
        <v>1</v>
      </c>
      <c r="I6" s="723"/>
      <c r="J6" s="244">
        <v>1.0000000000000004</v>
      </c>
      <c r="K6" s="723"/>
      <c r="L6" s="242">
        <f>SUM(L7:L10)</f>
        <v>1.0000000000000002</v>
      </c>
      <c r="M6" s="724"/>
      <c r="N6" s="242">
        <f>SUM(N7:N10)</f>
        <v>0.99999999999999978</v>
      </c>
      <c r="O6" s="513">
        <f>SUM(O7:O10)</f>
        <v>1</v>
      </c>
      <c r="P6" s="514">
        <f>SUM(P7:P10)</f>
        <v>3.2239215710537658E-2</v>
      </c>
      <c r="Q6" s="505"/>
    </row>
    <row r="7" spans="1:17" x14ac:dyDescent="0.2">
      <c r="A7" s="245" t="s">
        <v>194</v>
      </c>
      <c r="B7" s="246" t="s">
        <v>195</v>
      </c>
      <c r="C7" s="251"/>
      <c r="D7" s="252"/>
      <c r="E7" s="252"/>
      <c r="F7" s="250">
        <f>0.5*F13+0.3*F19+0.2*F25</f>
        <v>0.39446600918539887</v>
      </c>
      <c r="G7" s="249"/>
      <c r="H7" s="250">
        <f>H13</f>
        <v>0.42101260510399352</v>
      </c>
      <c r="I7" s="247"/>
      <c r="J7" s="256">
        <f>J19</f>
        <v>0.50579526746615544</v>
      </c>
      <c r="K7" s="528"/>
      <c r="L7" s="250">
        <f>L13</f>
        <v>0.38381314255208765</v>
      </c>
      <c r="M7" s="252"/>
      <c r="N7" s="250">
        <f>0.5*N19+0.3*N25+0.2*N31</f>
        <v>0.6320975599199502</v>
      </c>
      <c r="O7" s="253">
        <f>SUMPRODUCT(C$5:N$5,C7:N7)</f>
        <v>0.4266903163621335</v>
      </c>
      <c r="P7" s="515">
        <f>O7*'3 - Stanovení podílů segmentů'!$G$35</f>
        <v>1.3756161150796378E-2</v>
      </c>
      <c r="Q7" s="505"/>
    </row>
    <row r="8" spans="1:17" x14ac:dyDescent="0.2">
      <c r="A8" s="245" t="s">
        <v>196</v>
      </c>
      <c r="B8" s="246" t="s">
        <v>197</v>
      </c>
      <c r="C8" s="255"/>
      <c r="D8" s="256"/>
      <c r="E8" s="256"/>
      <c r="F8" s="250">
        <f t="shared" ref="F8:F10" si="0">0.5*F14+0.3*F20+0.2*F26</f>
        <v>0.12520126876522139</v>
      </c>
      <c r="G8" s="254"/>
      <c r="H8" s="250">
        <f t="shared" ref="H8:H10" si="1">H14</f>
        <v>8.8323392135527104E-2</v>
      </c>
      <c r="I8" s="247"/>
      <c r="J8" s="256">
        <f t="shared" ref="J8:J10" si="2">J20</f>
        <v>0.13156416681651603</v>
      </c>
      <c r="K8" s="528"/>
      <c r="L8" s="250">
        <f t="shared" ref="L8:L10" si="3">L14</f>
        <v>0.13176474447576367</v>
      </c>
      <c r="M8" s="256"/>
      <c r="N8" s="250">
        <f t="shared" ref="N8:N10" si="4">0.5*N20+0.3*N26+0.2*N32</f>
        <v>0.13049948716357332</v>
      </c>
      <c r="O8" s="253">
        <f>SUMPRODUCT(C$5:N$5,C8:N8)</f>
        <v>0.12596133060248776</v>
      </c>
      <c r="P8" s="515">
        <f>O8*'3 - Stanovení podílů segmentů'!$G$35</f>
        <v>4.0608945084799515E-3</v>
      </c>
      <c r="Q8" s="505"/>
    </row>
    <row r="9" spans="1:17" x14ac:dyDescent="0.2">
      <c r="A9" s="245" t="s">
        <v>198</v>
      </c>
      <c r="B9" s="246" t="s">
        <v>199</v>
      </c>
      <c r="C9" s="255"/>
      <c r="D9" s="256"/>
      <c r="E9" s="256"/>
      <c r="F9" s="250">
        <f t="shared" si="0"/>
        <v>0.28062029936006383</v>
      </c>
      <c r="G9" s="254"/>
      <c r="H9" s="250">
        <f t="shared" si="1"/>
        <v>0.18023244740247471</v>
      </c>
      <c r="I9" s="247"/>
      <c r="J9" s="256">
        <f t="shared" si="2"/>
        <v>0.22419588752893974</v>
      </c>
      <c r="K9" s="528"/>
      <c r="L9" s="250">
        <f t="shared" si="3"/>
        <v>0.23779219376073385</v>
      </c>
      <c r="M9" s="256"/>
      <c r="N9" s="250">
        <f t="shared" si="4"/>
        <v>0.1425647691642257</v>
      </c>
      <c r="O9" s="253">
        <f>SUMPRODUCT(C$5:N$5,C9:N9)</f>
        <v>0.22971946716194369</v>
      </c>
      <c r="P9" s="515">
        <f>O9*'3 - Stanovení podílů segmentů'!$G$35</f>
        <v>7.4059754547436745E-3</v>
      </c>
      <c r="Q9" s="505"/>
    </row>
    <row r="10" spans="1:17" ht="13.5" thickBot="1" x14ac:dyDescent="0.25">
      <c r="A10" s="257" t="s">
        <v>200</v>
      </c>
      <c r="B10" s="258" t="s">
        <v>73</v>
      </c>
      <c r="C10" s="262"/>
      <c r="D10" s="263"/>
      <c r="E10" s="263"/>
      <c r="F10" s="261">
        <f t="shared" si="0"/>
        <v>0.19971242268931591</v>
      </c>
      <c r="G10" s="516"/>
      <c r="H10" s="261">
        <f t="shared" si="1"/>
        <v>0.31043155535800465</v>
      </c>
      <c r="I10" s="259"/>
      <c r="J10" s="263">
        <f t="shared" si="2"/>
        <v>0.1384446781883889</v>
      </c>
      <c r="K10" s="529"/>
      <c r="L10" s="261">
        <f t="shared" si="3"/>
        <v>0.24662991921141489</v>
      </c>
      <c r="M10" s="263"/>
      <c r="N10" s="261">
        <f t="shared" si="4"/>
        <v>9.4838183752250643E-2</v>
      </c>
      <c r="O10" s="264">
        <f>SUMPRODUCT(C$5:N$5,C10:N10)</f>
        <v>0.21762888587343504</v>
      </c>
      <c r="P10" s="517">
        <f>O10*'3 - Stanovení podílů segmentů'!$G$35</f>
        <v>7.0161845965176538E-3</v>
      </c>
      <c r="Q10" s="505"/>
    </row>
    <row r="11" spans="1:17" ht="15.75" thickBot="1" x14ac:dyDescent="0.3">
      <c r="A11" s="518"/>
      <c r="B11" s="518"/>
      <c r="C11" s="518"/>
      <c r="D11" s="518"/>
      <c r="E11" s="518"/>
      <c r="F11" s="518"/>
      <c r="G11" s="518"/>
      <c r="H11" s="518"/>
      <c r="I11" s="518"/>
      <c r="J11" s="518"/>
      <c r="K11" s="518"/>
      <c r="L11" s="518"/>
      <c r="M11" s="518"/>
      <c r="N11" s="518"/>
      <c r="O11" s="518"/>
      <c r="P11" s="518"/>
      <c r="Q11" s="505"/>
    </row>
    <row r="12" spans="1:17" ht="15" x14ac:dyDescent="0.25">
      <c r="A12" s="635" t="s">
        <v>201</v>
      </c>
      <c r="B12" s="525" t="s">
        <v>166</v>
      </c>
      <c r="C12" s="272">
        <f t="shared" ref="C12:H12" si="5">SUM(C13:C16)</f>
        <v>29258</v>
      </c>
      <c r="D12" s="272">
        <f t="shared" si="5"/>
        <v>31712</v>
      </c>
      <c r="E12" s="273">
        <f t="shared" si="5"/>
        <v>60970</v>
      </c>
      <c r="F12" s="274">
        <f t="shared" si="5"/>
        <v>0.99999999999999989</v>
      </c>
      <c r="G12" s="266">
        <f t="shared" si="5"/>
        <v>3313.4961525753461</v>
      </c>
      <c r="H12" s="267">
        <f t="shared" si="5"/>
        <v>1</v>
      </c>
      <c r="I12" s="518"/>
      <c r="J12" s="518"/>
      <c r="K12" s="266">
        <f>SUM(K13:K16)</f>
        <v>245089.08</v>
      </c>
      <c r="L12" s="267">
        <f>SUM(L13:L16)</f>
        <v>1.0000000000000002</v>
      </c>
      <c r="M12" s="518"/>
      <c r="N12" s="518"/>
      <c r="O12" s="518"/>
      <c r="P12" s="518"/>
      <c r="Q12" s="505"/>
    </row>
    <row r="13" spans="1:17" ht="15" x14ac:dyDescent="0.25">
      <c r="A13" s="245" t="s">
        <v>194</v>
      </c>
      <c r="B13" s="246" t="s">
        <v>195</v>
      </c>
      <c r="C13" s="272">
        <v>11774</v>
      </c>
      <c r="D13" s="272">
        <v>10821</v>
      </c>
      <c r="E13" s="273">
        <f>+C13+D13</f>
        <v>22595</v>
      </c>
      <c r="F13" s="281">
        <f>+E13/E$12</f>
        <v>0.37059209447269148</v>
      </c>
      <c r="G13" s="277">
        <v>1395.023647197806</v>
      </c>
      <c r="H13" s="278">
        <f>G13/G$12</f>
        <v>0.42101260510399352</v>
      </c>
      <c r="I13" s="518"/>
      <c r="J13" s="518"/>
      <c r="K13" s="520">
        <v>94068.41</v>
      </c>
      <c r="L13" s="281">
        <f>+K13/K$12</f>
        <v>0.38381314255208765</v>
      </c>
      <c r="M13" s="518"/>
      <c r="N13" s="518"/>
      <c r="O13" s="518"/>
      <c r="P13" s="518"/>
      <c r="Q13" s="505"/>
    </row>
    <row r="14" spans="1:17" ht="15" x14ac:dyDescent="0.25">
      <c r="A14" s="245" t="s">
        <v>196</v>
      </c>
      <c r="B14" s="246" t="s">
        <v>197</v>
      </c>
      <c r="C14" s="283">
        <v>3072</v>
      </c>
      <c r="D14" s="283">
        <v>6024</v>
      </c>
      <c r="E14" s="284">
        <f t="shared" ref="E14:E16" si="6">+C14+D14</f>
        <v>9096</v>
      </c>
      <c r="F14" s="278">
        <f t="shared" ref="F14:F15" si="7">+E14/E$12</f>
        <v>0.14918812530752829</v>
      </c>
      <c r="G14" s="277">
        <v>292.65922002347264</v>
      </c>
      <c r="H14" s="278">
        <f t="shared" ref="H14:H16" si="8">G14/G$12</f>
        <v>8.8323392135527104E-2</v>
      </c>
      <c r="I14" s="518"/>
      <c r="J14" s="518"/>
      <c r="K14" s="277">
        <v>32294.1</v>
      </c>
      <c r="L14" s="278">
        <f t="shared" ref="L14:L16" si="9">+K14/K$12</f>
        <v>0.13176474447576367</v>
      </c>
      <c r="M14" s="518"/>
      <c r="N14" s="518"/>
      <c r="O14" s="518"/>
      <c r="P14" s="518"/>
      <c r="Q14" s="505"/>
    </row>
    <row r="15" spans="1:17" ht="15" x14ac:dyDescent="0.25">
      <c r="A15" s="245" t="s">
        <v>198</v>
      </c>
      <c r="B15" s="246" t="s">
        <v>199</v>
      </c>
      <c r="C15" s="283">
        <v>6594</v>
      </c>
      <c r="D15" s="283">
        <v>9986</v>
      </c>
      <c r="E15" s="284">
        <f t="shared" si="6"/>
        <v>16580</v>
      </c>
      <c r="F15" s="278">
        <f t="shared" si="7"/>
        <v>0.2719370182056749</v>
      </c>
      <c r="G15" s="277">
        <v>597.1995210373384</v>
      </c>
      <c r="H15" s="278">
        <f t="shared" si="8"/>
        <v>0.18023244740247471</v>
      </c>
      <c r="I15" s="518"/>
      <c r="J15" s="518"/>
      <c r="K15" s="277">
        <v>58280.27</v>
      </c>
      <c r="L15" s="278">
        <f t="shared" si="9"/>
        <v>0.23779219376073385</v>
      </c>
      <c r="M15" s="518"/>
      <c r="N15" s="518"/>
      <c r="O15" s="518"/>
      <c r="P15" s="518"/>
      <c r="Q15" s="505"/>
    </row>
    <row r="16" spans="1:17" ht="15.75" thickBot="1" x14ac:dyDescent="0.3">
      <c r="A16" s="257" t="s">
        <v>200</v>
      </c>
      <c r="B16" s="258" t="s">
        <v>73</v>
      </c>
      <c r="C16" s="290">
        <v>7818</v>
      </c>
      <c r="D16" s="290">
        <v>4881</v>
      </c>
      <c r="E16" s="291">
        <f t="shared" si="6"/>
        <v>12699</v>
      </c>
      <c r="F16" s="286">
        <f>+E16/E$12</f>
        <v>0.20828276201410531</v>
      </c>
      <c r="G16" s="285">
        <v>1028.613764316729</v>
      </c>
      <c r="H16" s="286">
        <f t="shared" si="8"/>
        <v>0.31043155535800465</v>
      </c>
      <c r="I16" s="518"/>
      <c r="J16" s="518"/>
      <c r="K16" s="285">
        <v>60446.299999999996</v>
      </c>
      <c r="L16" s="286">
        <f t="shared" si="9"/>
        <v>0.24662991921141489</v>
      </c>
      <c r="M16" s="518"/>
      <c r="N16" s="518"/>
      <c r="O16" s="518"/>
      <c r="P16" s="518"/>
      <c r="Q16" s="505"/>
    </row>
    <row r="17" spans="1:17" ht="15.75" thickBot="1" x14ac:dyDescent="0.3">
      <c r="A17" s="518"/>
      <c r="B17" s="518"/>
      <c r="C17" s="518"/>
      <c r="D17" s="518"/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05"/>
    </row>
    <row r="18" spans="1:17" x14ac:dyDescent="0.2">
      <c r="A18" s="635" t="s">
        <v>149</v>
      </c>
      <c r="B18" s="525" t="s">
        <v>166</v>
      </c>
      <c r="C18" s="272">
        <f t="shared" ref="C18:F18" si="10">SUM(C19:C22)</f>
        <v>31703</v>
      </c>
      <c r="D18" s="272">
        <f t="shared" si="10"/>
        <v>32567</v>
      </c>
      <c r="E18" s="273">
        <f t="shared" si="10"/>
        <v>64270</v>
      </c>
      <c r="F18" s="274">
        <f t="shared" si="10"/>
        <v>1</v>
      </c>
      <c r="G18" s="505"/>
      <c r="H18" s="505"/>
      <c r="I18" s="266">
        <f>SUM(I19:I22)</f>
        <v>10868.456467177479</v>
      </c>
      <c r="J18" s="267">
        <f>SUM(J19:J22)</f>
        <v>1</v>
      </c>
      <c r="K18" s="505"/>
      <c r="L18" s="505"/>
      <c r="M18" s="266">
        <f>SUM(M19:M22)</f>
        <v>44569.05</v>
      </c>
      <c r="N18" s="267">
        <f>SUM(N19:N22)</f>
        <v>0.99999999999999989</v>
      </c>
      <c r="O18" s="265"/>
      <c r="P18" s="229"/>
      <c r="Q18" s="505"/>
    </row>
    <row r="19" spans="1:17" x14ac:dyDescent="0.2">
      <c r="A19" s="245" t="s">
        <v>194</v>
      </c>
      <c r="B19" s="246" t="s">
        <v>195</v>
      </c>
      <c r="C19" s="272">
        <v>12810</v>
      </c>
      <c r="D19" s="272">
        <v>13038</v>
      </c>
      <c r="E19" s="273">
        <f>+C19+D19</f>
        <v>25848</v>
      </c>
      <c r="F19" s="281">
        <f>+E19/E$18</f>
        <v>0.40217831025361755</v>
      </c>
      <c r="G19" s="505"/>
      <c r="H19" s="505"/>
      <c r="I19" s="520">
        <v>5497.2138457602996</v>
      </c>
      <c r="J19" s="281">
        <f>+I19/I$18</f>
        <v>0.50579526746615544</v>
      </c>
      <c r="K19" s="505"/>
      <c r="L19" s="505"/>
      <c r="M19" s="520">
        <v>28451</v>
      </c>
      <c r="N19" s="281">
        <f>M19/$M$18</f>
        <v>0.63835778415739164</v>
      </c>
      <c r="O19" s="229"/>
      <c r="P19" s="229"/>
      <c r="Q19" s="505"/>
    </row>
    <row r="20" spans="1:17" x14ac:dyDescent="0.2">
      <c r="A20" s="245" t="s">
        <v>196</v>
      </c>
      <c r="B20" s="246" t="s">
        <v>197</v>
      </c>
      <c r="C20" s="283">
        <v>609</v>
      </c>
      <c r="D20" s="283">
        <v>5520</v>
      </c>
      <c r="E20" s="284">
        <f t="shared" ref="E20:E22" si="11">+C20+D20</f>
        <v>6129</v>
      </c>
      <c r="F20" s="278">
        <f>+E20/E$18</f>
        <v>9.5363311031585504E-2</v>
      </c>
      <c r="G20" s="505"/>
      <c r="H20" s="505"/>
      <c r="I20" s="277">
        <v>1429.8994196857802</v>
      </c>
      <c r="J20" s="278">
        <f t="shared" ref="J20:J22" si="12">+I20/I$18</f>
        <v>0.13156416681651603</v>
      </c>
      <c r="K20" s="505"/>
      <c r="L20" s="505"/>
      <c r="M20" s="277">
        <v>6190.5</v>
      </c>
      <c r="N20" s="278">
        <f t="shared" ref="N20:N22" si="13">M20/$M$18</f>
        <v>0.13889683535996392</v>
      </c>
      <c r="O20" s="229"/>
      <c r="P20" s="229"/>
      <c r="Q20" s="505"/>
    </row>
    <row r="21" spans="1:17" x14ac:dyDescent="0.2">
      <c r="A21" s="245" t="s">
        <v>198</v>
      </c>
      <c r="B21" s="246" t="s">
        <v>199</v>
      </c>
      <c r="C21" s="283">
        <v>9571</v>
      </c>
      <c r="D21" s="283">
        <v>9766</v>
      </c>
      <c r="E21" s="284">
        <f t="shared" si="11"/>
        <v>19337</v>
      </c>
      <c r="F21" s="278">
        <f>+E21/E$18</f>
        <v>0.30087132410144701</v>
      </c>
      <c r="G21" s="505"/>
      <c r="H21" s="505"/>
      <c r="I21" s="277">
        <v>2436.6632437284998</v>
      </c>
      <c r="J21" s="278">
        <f t="shared" si="12"/>
        <v>0.22419588752893974</v>
      </c>
      <c r="K21" s="505"/>
      <c r="L21" s="505"/>
      <c r="M21" s="277">
        <v>5140</v>
      </c>
      <c r="N21" s="278">
        <f t="shared" si="13"/>
        <v>0.11532666727246822</v>
      </c>
      <c r="O21" s="229"/>
      <c r="P21" s="229"/>
      <c r="Q21" s="505"/>
    </row>
    <row r="22" spans="1:17" ht="13.5" thickBot="1" x14ac:dyDescent="0.25">
      <c r="A22" s="257" t="s">
        <v>200</v>
      </c>
      <c r="B22" s="258" t="s">
        <v>73</v>
      </c>
      <c r="C22" s="290">
        <v>8713</v>
      </c>
      <c r="D22" s="290">
        <v>4243</v>
      </c>
      <c r="E22" s="291">
        <f t="shared" si="11"/>
        <v>12956</v>
      </c>
      <c r="F22" s="286">
        <f>+E22/E$18</f>
        <v>0.20158705461334994</v>
      </c>
      <c r="G22" s="505"/>
      <c r="H22" s="505"/>
      <c r="I22" s="285">
        <v>1504.6799580029001</v>
      </c>
      <c r="J22" s="286">
        <f t="shared" si="12"/>
        <v>0.1384446781883889</v>
      </c>
      <c r="K22" s="505"/>
      <c r="L22" s="505"/>
      <c r="M22" s="285">
        <v>4787.55</v>
      </c>
      <c r="N22" s="286">
        <f t="shared" si="13"/>
        <v>0.10741871321017611</v>
      </c>
      <c r="O22" s="265"/>
      <c r="P22" s="229"/>
      <c r="Q22" s="505"/>
    </row>
    <row r="23" spans="1:17" ht="15.75" thickBot="1" x14ac:dyDescent="0.3">
      <c r="A23" s="229"/>
      <c r="B23" s="229"/>
      <c r="C23" s="229"/>
      <c r="D23" s="229"/>
      <c r="E23" s="229"/>
      <c r="F23" s="229"/>
      <c r="G23" s="229"/>
      <c r="H23" s="229"/>
      <c r="I23" s="229"/>
      <c r="J23" s="229"/>
      <c r="K23" s="522"/>
      <c r="L23" s="229"/>
      <c r="M23" s="522"/>
      <c r="N23" s="229"/>
      <c r="O23" s="265"/>
      <c r="P23" s="229"/>
      <c r="Q23" s="505"/>
    </row>
    <row r="24" spans="1:17" ht="15" x14ac:dyDescent="0.25">
      <c r="A24" s="635" t="s">
        <v>148</v>
      </c>
      <c r="B24" s="526" t="s">
        <v>166</v>
      </c>
      <c r="C24" s="272">
        <f>SUM(C25:C28)</f>
        <v>31801</v>
      </c>
      <c r="D24" s="272">
        <f>SUM(D25:D28)</f>
        <v>31986</v>
      </c>
      <c r="E24" s="273">
        <f>SUM(E25:E28)</f>
        <v>63787</v>
      </c>
      <c r="F24" s="274">
        <f>SUM(F25:F28)</f>
        <v>1</v>
      </c>
      <c r="G24" s="523"/>
      <c r="H24" s="523"/>
      <c r="I24" s="505"/>
      <c r="J24" s="505"/>
      <c r="K24" s="294"/>
      <c r="L24" s="295"/>
      <c r="M24" s="266">
        <f>SUM(M25:M28)</f>
        <v>66415.520000000004</v>
      </c>
      <c r="N24" s="267">
        <f>SUM(N25:N28)</f>
        <v>0.99999999999999989</v>
      </c>
      <c r="O24" s="507"/>
      <c r="P24" s="229"/>
      <c r="Q24" s="505"/>
    </row>
    <row r="25" spans="1:17" x14ac:dyDescent="0.2">
      <c r="A25" s="245" t="s">
        <v>194</v>
      </c>
      <c r="B25" s="246" t="s">
        <v>195</v>
      </c>
      <c r="C25" s="272">
        <v>14090</v>
      </c>
      <c r="D25" s="272">
        <v>14141</v>
      </c>
      <c r="E25" s="273">
        <f>+C25+D25</f>
        <v>28231</v>
      </c>
      <c r="F25" s="281">
        <f>+E25/E$24</f>
        <v>0.44258234436483923</v>
      </c>
      <c r="G25" s="524"/>
      <c r="H25" s="524"/>
      <c r="I25" s="505"/>
      <c r="J25" s="505"/>
      <c r="K25" s="294"/>
      <c r="L25" s="296"/>
      <c r="M25" s="277">
        <v>41819</v>
      </c>
      <c r="N25" s="278">
        <f>M25/$M$24</f>
        <v>0.6296570440162178</v>
      </c>
      <c r="O25" s="265"/>
      <c r="P25" s="229"/>
      <c r="Q25" s="505"/>
    </row>
    <row r="26" spans="1:17" x14ac:dyDescent="0.2">
      <c r="A26" s="245" t="s">
        <v>196</v>
      </c>
      <c r="B26" s="246" t="s">
        <v>197</v>
      </c>
      <c r="C26" s="283">
        <v>2362</v>
      </c>
      <c r="D26" s="283">
        <v>4654</v>
      </c>
      <c r="E26" s="284">
        <f t="shared" ref="E26:E28" si="14">+C26+D26</f>
        <v>7016</v>
      </c>
      <c r="F26" s="278">
        <f>+E26/E$24</f>
        <v>0.10999106400990798</v>
      </c>
      <c r="G26" s="524"/>
      <c r="H26" s="524"/>
      <c r="I26" s="505"/>
      <c r="J26" s="505"/>
      <c r="K26" s="294"/>
      <c r="L26" s="296"/>
      <c r="M26" s="277">
        <v>7370</v>
      </c>
      <c r="N26" s="278">
        <f>M26/$M$24</f>
        <v>0.11096803879575134</v>
      </c>
      <c r="O26" s="265"/>
      <c r="P26" s="229"/>
      <c r="Q26" s="505"/>
    </row>
    <row r="27" spans="1:17" x14ac:dyDescent="0.2">
      <c r="A27" s="245" t="s">
        <v>198</v>
      </c>
      <c r="B27" s="246" t="s">
        <v>199</v>
      </c>
      <c r="C27" s="283">
        <v>7364</v>
      </c>
      <c r="D27" s="283">
        <v>9983</v>
      </c>
      <c r="E27" s="284">
        <f t="shared" si="14"/>
        <v>17347</v>
      </c>
      <c r="F27" s="278">
        <f>+E27/E$24</f>
        <v>0.27195196513396147</v>
      </c>
      <c r="G27" s="524"/>
      <c r="H27" s="524"/>
      <c r="I27" s="505"/>
      <c r="J27" s="505"/>
      <c r="K27" s="294"/>
      <c r="L27" s="296"/>
      <c r="M27" s="277">
        <v>11552</v>
      </c>
      <c r="N27" s="278">
        <f>M27/$M$24</f>
        <v>0.17393524886954131</v>
      </c>
      <c r="O27" s="265"/>
      <c r="P27" s="229"/>
      <c r="Q27" s="505"/>
    </row>
    <row r="28" spans="1:17" ht="13.5" thickBot="1" x14ac:dyDescent="0.25">
      <c r="A28" s="257" t="s">
        <v>200</v>
      </c>
      <c r="B28" s="258" t="s">
        <v>73</v>
      </c>
      <c r="C28" s="290">
        <v>7985</v>
      </c>
      <c r="D28" s="290">
        <v>3208</v>
      </c>
      <c r="E28" s="291">
        <f t="shared" si="14"/>
        <v>11193</v>
      </c>
      <c r="F28" s="286">
        <f>+E28/E$24</f>
        <v>0.17547462649129134</v>
      </c>
      <c r="G28" s="524"/>
      <c r="H28" s="524"/>
      <c r="I28" s="505"/>
      <c r="J28" s="505"/>
      <c r="K28" s="294"/>
      <c r="L28" s="296"/>
      <c r="M28" s="285">
        <v>5674.52</v>
      </c>
      <c r="N28" s="286">
        <f>M28/$M$24</f>
        <v>8.5439668318489412E-2</v>
      </c>
      <c r="O28" s="265"/>
      <c r="P28" s="229"/>
      <c r="Q28" s="505"/>
    </row>
    <row r="29" spans="1:17" ht="15.75" thickBot="1" x14ac:dyDescent="0.3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522"/>
      <c r="L29" s="229"/>
      <c r="M29" s="522"/>
      <c r="N29" s="229"/>
      <c r="O29" s="265"/>
      <c r="P29" s="229"/>
      <c r="Q29" s="505"/>
    </row>
    <row r="30" spans="1:17" ht="15" x14ac:dyDescent="0.25">
      <c r="A30" s="635" t="s">
        <v>147</v>
      </c>
      <c r="B30" s="525" t="s">
        <v>166</v>
      </c>
      <c r="C30" s="505"/>
      <c r="D30" s="505"/>
      <c r="E30" s="505"/>
      <c r="F30" s="505"/>
      <c r="G30" s="523"/>
      <c r="H30" s="523"/>
      <c r="I30" s="505"/>
      <c r="J30" s="505"/>
      <c r="K30" s="294"/>
      <c r="L30" s="295"/>
      <c r="M30" s="266">
        <f>SUM(M31:M34)</f>
        <v>60683</v>
      </c>
      <c r="N30" s="267">
        <f>SUM(N31:N34)</f>
        <v>1</v>
      </c>
      <c r="O30" s="507"/>
      <c r="P30" s="229"/>
      <c r="Q30" s="505"/>
    </row>
    <row r="31" spans="1:17" ht="15" x14ac:dyDescent="0.25">
      <c r="A31" s="245" t="s">
        <v>194</v>
      </c>
      <c r="B31" s="246" t="s">
        <v>195</v>
      </c>
      <c r="C31" s="505"/>
      <c r="D31" s="505"/>
      <c r="E31" s="505"/>
      <c r="F31" s="505"/>
      <c r="G31" s="524"/>
      <c r="H31" s="524"/>
      <c r="I31" s="505"/>
      <c r="J31" s="505"/>
      <c r="K31" s="294"/>
      <c r="L31" s="296"/>
      <c r="M31" s="277">
        <v>37630</v>
      </c>
      <c r="N31" s="278">
        <f>M31/$M$30</f>
        <v>0.62010777318194554</v>
      </c>
      <c r="O31" s="507"/>
      <c r="P31" s="229"/>
      <c r="Q31" s="505"/>
    </row>
    <row r="32" spans="1:17" ht="15" x14ac:dyDescent="0.25">
      <c r="A32" s="245" t="s">
        <v>196</v>
      </c>
      <c r="B32" s="246" t="s">
        <v>197</v>
      </c>
      <c r="C32" s="505"/>
      <c r="D32" s="505"/>
      <c r="E32" s="505"/>
      <c r="F32" s="505"/>
      <c r="G32" s="524"/>
      <c r="H32" s="524"/>
      <c r="I32" s="505"/>
      <c r="J32" s="505"/>
      <c r="K32" s="294"/>
      <c r="L32" s="296"/>
      <c r="M32" s="277">
        <v>8423</v>
      </c>
      <c r="N32" s="278">
        <f>M32/$M$30</f>
        <v>0.13880328922432972</v>
      </c>
      <c r="O32" s="507"/>
      <c r="P32" s="229"/>
      <c r="Q32" s="505"/>
    </row>
    <row r="33" spans="1:17" ht="15" x14ac:dyDescent="0.25">
      <c r="A33" s="245" t="s">
        <v>198</v>
      </c>
      <c r="B33" s="246" t="s">
        <v>199</v>
      </c>
      <c r="C33" s="505"/>
      <c r="D33" s="505"/>
      <c r="E33" s="505"/>
      <c r="F33" s="505"/>
      <c r="G33" s="524"/>
      <c r="H33" s="524"/>
      <c r="I33" s="505"/>
      <c r="J33" s="505"/>
      <c r="K33" s="294"/>
      <c r="L33" s="296"/>
      <c r="M33" s="277">
        <v>9928</v>
      </c>
      <c r="N33" s="278">
        <f>M33/$M$30</f>
        <v>0.16360430433564591</v>
      </c>
      <c r="O33" s="507"/>
      <c r="P33" s="229"/>
      <c r="Q33" s="505"/>
    </row>
    <row r="34" spans="1:17" ht="15.75" thickBot="1" x14ac:dyDescent="0.3">
      <c r="A34" s="257" t="s">
        <v>200</v>
      </c>
      <c r="B34" s="258" t="s">
        <v>73</v>
      </c>
      <c r="C34" s="505"/>
      <c r="D34" s="505"/>
      <c r="E34" s="505"/>
      <c r="F34" s="505"/>
      <c r="G34" s="524"/>
      <c r="H34" s="524"/>
      <c r="I34" s="505"/>
      <c r="J34" s="505"/>
      <c r="K34" s="294"/>
      <c r="L34" s="296"/>
      <c r="M34" s="285">
        <v>4702</v>
      </c>
      <c r="N34" s="286">
        <f>M34/$M$30</f>
        <v>7.7484633258078875E-2</v>
      </c>
      <c r="O34" s="507"/>
      <c r="P34" s="229"/>
      <c r="Q34" s="505"/>
    </row>
    <row r="35" spans="1:17" x14ac:dyDescent="0.2">
      <c r="A35" s="781"/>
      <c r="B35" s="505"/>
      <c r="C35" s="505"/>
      <c r="D35" s="505"/>
      <c r="E35" s="505"/>
      <c r="F35" s="505"/>
      <c r="G35" s="505"/>
      <c r="H35" s="505"/>
      <c r="I35" s="505"/>
      <c r="J35" s="505"/>
      <c r="K35" s="505"/>
      <c r="L35" s="505"/>
      <c r="M35" s="505"/>
      <c r="N35" s="505"/>
      <c r="O35" s="505"/>
      <c r="P35" s="505"/>
      <c r="Q35" s="505"/>
    </row>
    <row r="36" spans="1:17" x14ac:dyDescent="0.2">
      <c r="A36" s="794" t="s">
        <v>240</v>
      </c>
      <c r="B36" s="505"/>
      <c r="C36" s="505"/>
      <c r="D36" s="505"/>
      <c r="E36" s="505"/>
      <c r="F36" s="505"/>
      <c r="G36" s="505"/>
      <c r="H36" s="505"/>
      <c r="I36" s="505"/>
      <c r="J36" s="505"/>
      <c r="K36" s="505"/>
      <c r="L36" s="505"/>
      <c r="M36" s="505"/>
      <c r="N36" s="505"/>
      <c r="O36" s="505"/>
      <c r="P36" s="505"/>
      <c r="Q36" s="505"/>
    </row>
    <row r="37" spans="1:17" x14ac:dyDescent="0.2">
      <c r="A37" s="795"/>
      <c r="B37" s="505"/>
      <c r="C37" s="505"/>
      <c r="D37" s="505"/>
      <c r="E37" s="505"/>
      <c r="F37" s="505"/>
      <c r="G37" s="505"/>
      <c r="H37" s="505"/>
      <c r="I37" s="505"/>
      <c r="J37" s="505"/>
      <c r="K37" s="505"/>
      <c r="L37" s="505"/>
      <c r="M37" s="505"/>
      <c r="N37" s="505"/>
      <c r="O37" s="505"/>
      <c r="P37" s="505"/>
      <c r="Q37" s="505"/>
    </row>
    <row r="38" spans="1:17" x14ac:dyDescent="0.2">
      <c r="A38" s="505"/>
      <c r="B38" s="505"/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</row>
    <row r="39" spans="1:17" x14ac:dyDescent="0.2">
      <c r="A39" s="505"/>
      <c r="B39" s="505"/>
      <c r="C39" s="505"/>
      <c r="D39" s="505"/>
      <c r="E39" s="505"/>
      <c r="F39" s="505"/>
      <c r="G39" s="505"/>
      <c r="H39" s="505"/>
      <c r="I39" s="505"/>
      <c r="J39" s="505"/>
      <c r="K39" s="505"/>
      <c r="L39" s="505"/>
      <c r="M39" s="505"/>
      <c r="N39" s="505"/>
      <c r="O39" s="505"/>
      <c r="P39" s="505"/>
      <c r="Q39" s="505"/>
    </row>
    <row r="40" spans="1:17" x14ac:dyDescent="0.2">
      <c r="A40" s="505"/>
      <c r="B40" s="505"/>
      <c r="C40" s="505"/>
      <c r="D40" s="505"/>
      <c r="E40" s="505"/>
      <c r="F40" s="505"/>
      <c r="G40" s="505"/>
      <c r="H40" s="505"/>
      <c r="I40" s="505"/>
      <c r="J40" s="505"/>
      <c r="K40" s="505"/>
      <c r="L40" s="505"/>
      <c r="M40" s="505"/>
      <c r="N40" s="505"/>
      <c r="O40" s="505"/>
      <c r="P40" s="505"/>
      <c r="Q40" s="505"/>
    </row>
    <row r="41" spans="1:17" x14ac:dyDescent="0.2">
      <c r="A41" s="505"/>
      <c r="B41" s="505"/>
      <c r="C41" s="505"/>
      <c r="D41" s="505"/>
      <c r="E41" s="505"/>
      <c r="F41" s="505"/>
      <c r="G41" s="505"/>
      <c r="H41" s="505"/>
      <c r="I41" s="505"/>
      <c r="J41" s="505"/>
      <c r="K41" s="505"/>
      <c r="L41" s="505"/>
      <c r="M41" s="505"/>
      <c r="N41" s="505"/>
      <c r="O41" s="505"/>
      <c r="P41" s="505"/>
      <c r="Q41" s="505"/>
    </row>
    <row r="42" spans="1:17" x14ac:dyDescent="0.2">
      <c r="A42" s="505"/>
      <c r="B42" s="505"/>
      <c r="C42" s="505"/>
      <c r="D42" s="505"/>
      <c r="E42" s="505"/>
      <c r="F42" s="505"/>
      <c r="G42" s="505"/>
      <c r="H42" s="505"/>
      <c r="I42" s="505"/>
      <c r="J42" s="505"/>
      <c r="K42" s="505"/>
      <c r="L42" s="505"/>
      <c r="M42" s="505"/>
      <c r="N42" s="505"/>
      <c r="O42" s="505"/>
      <c r="P42" s="505"/>
      <c r="Q42" s="505"/>
    </row>
  </sheetData>
  <mergeCells count="10">
    <mergeCell ref="O3:O4"/>
    <mergeCell ref="P3:P4"/>
    <mergeCell ref="A5:B5"/>
    <mergeCell ref="A6:B6"/>
    <mergeCell ref="A3:B4"/>
    <mergeCell ref="C3:F3"/>
    <mergeCell ref="G3:H4"/>
    <mergeCell ref="I3:J4"/>
    <mergeCell ref="K3:L4"/>
    <mergeCell ref="M3:N4"/>
  </mergeCells>
  <hyperlinks>
    <hyperlink ref="A36" location="'0 Seznam'!A1" display="'0 Seznam'!A1"/>
  </hyperlinks>
  <pageMargins left="0.70866141732283472" right="0.70866141732283472" top="0.78740157480314965" bottom="0.78740157480314965" header="0.31496062992125984" footer="0.31496062992125984"/>
  <pageSetup paperSize="9" scale="78" orientation="landscape" r:id="rId1"/>
  <headerFooter>
    <oddHeader>&amp;LČ. j.: MSMT-1251/2018-1</oddHeader>
    <oddFooter>&amp;C&amp;A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4"/>
  <sheetViews>
    <sheetView zoomScaleNormal="100" workbookViewId="0">
      <selection activeCell="A23" sqref="A22:A23"/>
    </sheetView>
  </sheetViews>
  <sheetFormatPr defaultRowHeight="12.75" x14ac:dyDescent="0.2"/>
  <cols>
    <col min="1" max="1" width="10" customWidth="1"/>
    <col min="2" max="2" width="12.85546875" customWidth="1"/>
    <col min="3" max="9" width="10" customWidth="1"/>
    <col min="10" max="10" width="17.42578125" customWidth="1"/>
    <col min="11" max="11" width="16.5703125" customWidth="1"/>
  </cols>
  <sheetData>
    <row r="1" spans="1:11" ht="27.75" x14ac:dyDescent="0.2">
      <c r="A1" s="678" t="s">
        <v>256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ht="20.25" thickBot="1" x14ac:dyDescent="0.25">
      <c r="A2" s="230"/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3" spans="1:11" ht="24" customHeight="1" x14ac:dyDescent="0.2">
      <c r="A3" s="936"/>
      <c r="B3" s="937"/>
      <c r="C3" s="953" t="s">
        <v>202</v>
      </c>
      <c r="D3" s="954"/>
      <c r="E3" s="941" t="s">
        <v>292</v>
      </c>
      <c r="F3" s="941"/>
      <c r="G3" s="957"/>
      <c r="H3" s="953" t="s">
        <v>160</v>
      </c>
      <c r="I3" s="954"/>
      <c r="J3" s="930" t="s">
        <v>192</v>
      </c>
      <c r="K3" s="930" t="s">
        <v>193</v>
      </c>
    </row>
    <row r="4" spans="1:11" ht="13.5" thickBot="1" x14ac:dyDescent="0.25">
      <c r="A4" s="938"/>
      <c r="B4" s="939"/>
      <c r="C4" s="955"/>
      <c r="D4" s="956"/>
      <c r="E4" s="232" t="s">
        <v>163</v>
      </c>
      <c r="F4" s="232" t="s">
        <v>60</v>
      </c>
      <c r="G4" s="233" t="s">
        <v>60</v>
      </c>
      <c r="H4" s="955"/>
      <c r="I4" s="956"/>
      <c r="J4" s="931"/>
      <c r="K4" s="931"/>
    </row>
    <row r="5" spans="1:11" ht="15.75" thickBot="1" x14ac:dyDescent="0.3">
      <c r="A5" s="932" t="s">
        <v>165</v>
      </c>
      <c r="B5" s="933"/>
      <c r="C5" s="508"/>
      <c r="D5" s="313">
        <v>0.4</v>
      </c>
      <c r="E5" s="534"/>
      <c r="F5" s="238"/>
      <c r="G5" s="509">
        <v>0.2</v>
      </c>
      <c r="H5" s="785"/>
      <c r="I5" s="236">
        <v>0.4</v>
      </c>
      <c r="J5" s="510">
        <f>SUM(C5:I5)</f>
        <v>1</v>
      </c>
      <c r="K5" s="511"/>
    </row>
    <row r="6" spans="1:11" ht="15" x14ac:dyDescent="0.25">
      <c r="A6" s="934" t="s">
        <v>166</v>
      </c>
      <c r="B6" s="935"/>
      <c r="C6" s="530"/>
      <c r="D6" s="239">
        <v>1.0000000000000004</v>
      </c>
      <c r="E6" s="243"/>
      <c r="F6" s="244"/>
      <c r="G6" s="242">
        <f>SUM(G7:G8)</f>
        <v>1</v>
      </c>
      <c r="H6" s="241"/>
      <c r="I6" s="242">
        <f>SUM(I7:I8)</f>
        <v>1</v>
      </c>
      <c r="J6" s="513">
        <f>SUM(J7:J8)</f>
        <v>1</v>
      </c>
      <c r="K6" s="514">
        <f>SUM(K7:K8)</f>
        <v>1.3539563011830236E-2</v>
      </c>
    </row>
    <row r="7" spans="1:11" x14ac:dyDescent="0.2">
      <c r="A7" s="245" t="s">
        <v>203</v>
      </c>
      <c r="B7" s="246" t="s">
        <v>204</v>
      </c>
      <c r="C7" s="247"/>
      <c r="D7" s="248">
        <f>D11</f>
        <v>0.47027839640991115</v>
      </c>
      <c r="E7" s="251"/>
      <c r="F7" s="252"/>
      <c r="G7" s="250">
        <f>0.5*G11+0.3*G15+0.2*G19</f>
        <v>0.41715850148104211</v>
      </c>
      <c r="H7" s="249"/>
      <c r="I7" s="250">
        <f>I11</f>
        <v>0.46993557725290774</v>
      </c>
      <c r="J7" s="253">
        <f>SUMPRODUCT(C$5:I$5,C7:I7)</f>
        <v>0.45951728976133599</v>
      </c>
      <c r="K7" s="515">
        <f>J7*'3 - Stanovení podílů segmentů'!$G$36</f>
        <v>6.2216632997490612E-3</v>
      </c>
    </row>
    <row r="8" spans="1:11" ht="13.5" thickBot="1" x14ac:dyDescent="0.25">
      <c r="A8" s="257" t="s">
        <v>205</v>
      </c>
      <c r="B8" s="258" t="s">
        <v>74</v>
      </c>
      <c r="C8" s="259"/>
      <c r="D8" s="260">
        <f>D12</f>
        <v>0.52972160359008891</v>
      </c>
      <c r="E8" s="262"/>
      <c r="F8" s="263"/>
      <c r="G8" s="261">
        <f>0.5*G12+0.3*G16+0.2*G20</f>
        <v>0.58284149851895783</v>
      </c>
      <c r="H8" s="516"/>
      <c r="I8" s="261">
        <f>I12</f>
        <v>0.53006442274709231</v>
      </c>
      <c r="J8" s="264">
        <f>SUMPRODUCT(C$5:I$5,C8:I8)</f>
        <v>0.54048271023866412</v>
      </c>
      <c r="K8" s="517">
        <f>J8*'3 - Stanovení podílů segmentů'!$G$36</f>
        <v>7.3178997120811754E-3</v>
      </c>
    </row>
    <row r="9" spans="1:11" ht="15.75" thickBot="1" x14ac:dyDescent="0.3">
      <c r="A9" s="518"/>
      <c r="B9" s="518"/>
      <c r="C9" s="518"/>
      <c r="D9" s="518"/>
      <c r="E9" s="518"/>
      <c r="F9" s="518"/>
      <c r="G9" s="518"/>
      <c r="H9" s="518"/>
      <c r="I9" s="518"/>
      <c r="J9" s="518"/>
      <c r="K9" s="518"/>
    </row>
    <row r="10" spans="1:11" ht="15" x14ac:dyDescent="0.25">
      <c r="A10" s="473" t="s">
        <v>201</v>
      </c>
      <c r="B10" s="525" t="s">
        <v>166</v>
      </c>
      <c r="C10" s="532">
        <f t="shared" ref="C10:I10" si="0">SUM(C11:C12)</f>
        <v>2220.9843328635461</v>
      </c>
      <c r="D10" s="267">
        <f t="shared" si="0"/>
        <v>1</v>
      </c>
      <c r="E10" s="271">
        <f t="shared" si="0"/>
        <v>10958</v>
      </c>
      <c r="F10" s="273">
        <f t="shared" si="0"/>
        <v>10958</v>
      </c>
      <c r="G10" s="274">
        <f t="shared" si="0"/>
        <v>1</v>
      </c>
      <c r="H10" s="266">
        <f t="shared" si="0"/>
        <v>1186.6527683254858</v>
      </c>
      <c r="I10" s="267">
        <f t="shared" si="0"/>
        <v>1</v>
      </c>
      <c r="J10" s="518"/>
      <c r="K10" s="518"/>
    </row>
    <row r="11" spans="1:11" ht="15" x14ac:dyDescent="0.25">
      <c r="A11" s="245" t="s">
        <v>203</v>
      </c>
      <c r="B11" s="246" t="s">
        <v>204</v>
      </c>
      <c r="C11" s="284">
        <v>1044.4809505106048</v>
      </c>
      <c r="D11" s="278">
        <f>+C11/C$10</f>
        <v>0.47027839640991115</v>
      </c>
      <c r="E11" s="271">
        <v>4306</v>
      </c>
      <c r="F11" s="273">
        <f>E11</f>
        <v>4306</v>
      </c>
      <c r="G11" s="281">
        <f>+F11/F$10</f>
        <v>0.39295491878079941</v>
      </c>
      <c r="H11" s="277">
        <v>557.65035368179815</v>
      </c>
      <c r="I11" s="278">
        <f>H11/H$10</f>
        <v>0.46993557725290774</v>
      </c>
      <c r="J11" s="518"/>
      <c r="K11" s="518"/>
    </row>
    <row r="12" spans="1:11" ht="15.75" thickBot="1" x14ac:dyDescent="0.3">
      <c r="A12" s="257" t="s">
        <v>205</v>
      </c>
      <c r="B12" s="258" t="s">
        <v>74</v>
      </c>
      <c r="C12" s="291">
        <v>1176.5033823529413</v>
      </c>
      <c r="D12" s="286">
        <f>+C12/C$10</f>
        <v>0.52972160359008891</v>
      </c>
      <c r="E12" s="531">
        <v>6652</v>
      </c>
      <c r="F12" s="291">
        <f>E12</f>
        <v>6652</v>
      </c>
      <c r="G12" s="286">
        <f>+F12/F$10</f>
        <v>0.60704508121920053</v>
      </c>
      <c r="H12" s="285">
        <v>629.00241464368764</v>
      </c>
      <c r="I12" s="286">
        <f>H12/H$10</f>
        <v>0.53006442274709231</v>
      </c>
      <c r="J12" s="518"/>
      <c r="K12" s="518"/>
    </row>
    <row r="13" spans="1:11" ht="15.75" thickBot="1" x14ac:dyDescent="0.3">
      <c r="A13" s="518"/>
      <c r="B13" s="518"/>
      <c r="C13" s="518"/>
      <c r="D13" s="518"/>
      <c r="E13" s="518"/>
      <c r="F13" s="518"/>
      <c r="G13" s="518"/>
      <c r="H13" s="518"/>
      <c r="I13" s="518"/>
      <c r="J13" s="518"/>
      <c r="K13" s="518"/>
    </row>
    <row r="14" spans="1:11" ht="15" x14ac:dyDescent="0.25">
      <c r="A14" s="473" t="s">
        <v>149</v>
      </c>
      <c r="B14" s="525" t="s">
        <v>166</v>
      </c>
      <c r="C14" s="518"/>
      <c r="D14" s="518"/>
      <c r="E14" s="271">
        <f t="shared" ref="E14:G14" si="1">SUM(E15:E16)</f>
        <v>12705</v>
      </c>
      <c r="F14" s="273">
        <f t="shared" si="1"/>
        <v>12705</v>
      </c>
      <c r="G14" s="274">
        <f t="shared" si="1"/>
        <v>1</v>
      </c>
      <c r="H14" s="505"/>
      <c r="I14" s="505"/>
      <c r="J14" s="265"/>
      <c r="K14" s="229"/>
    </row>
    <row r="15" spans="1:11" ht="15" x14ac:dyDescent="0.25">
      <c r="A15" s="245" t="s">
        <v>203</v>
      </c>
      <c r="B15" s="246" t="s">
        <v>204</v>
      </c>
      <c r="C15" s="518"/>
      <c r="D15" s="518"/>
      <c r="E15" s="271">
        <v>5555</v>
      </c>
      <c r="F15" s="273">
        <f>E15</f>
        <v>5555</v>
      </c>
      <c r="G15" s="281">
        <f>+F15/F$14</f>
        <v>0.43722943722943725</v>
      </c>
      <c r="H15" s="505"/>
      <c r="I15" s="505"/>
      <c r="J15" s="229"/>
      <c r="K15" s="229"/>
    </row>
    <row r="16" spans="1:11" ht="15.75" thickBot="1" x14ac:dyDescent="0.3">
      <c r="A16" s="257" t="s">
        <v>205</v>
      </c>
      <c r="B16" s="258" t="s">
        <v>74</v>
      </c>
      <c r="C16" s="518"/>
      <c r="D16" s="518"/>
      <c r="E16" s="531">
        <v>7150</v>
      </c>
      <c r="F16" s="291">
        <f>E16</f>
        <v>7150</v>
      </c>
      <c r="G16" s="286">
        <f>+F16/F$14</f>
        <v>0.56277056277056281</v>
      </c>
      <c r="H16" s="505"/>
      <c r="I16" s="505"/>
      <c r="J16" s="265"/>
      <c r="K16" s="229"/>
    </row>
    <row r="17" spans="1:11" ht="13.5" thickBot="1" x14ac:dyDescent="0.25">
      <c r="A17" s="229"/>
      <c r="B17" s="229"/>
      <c r="C17" s="229"/>
      <c r="D17" s="229"/>
      <c r="E17" s="229"/>
      <c r="F17" s="229"/>
      <c r="G17" s="229"/>
      <c r="H17" s="229"/>
      <c r="I17" s="229"/>
      <c r="J17" s="265"/>
      <c r="K17" s="229"/>
    </row>
    <row r="18" spans="1:11" ht="15" x14ac:dyDescent="0.25">
      <c r="A18" s="473" t="s">
        <v>148</v>
      </c>
      <c r="B18" s="526" t="s">
        <v>166</v>
      </c>
      <c r="C18" s="294"/>
      <c r="D18" s="295"/>
      <c r="E18" s="271">
        <f>SUM(E19:E20)</f>
        <v>15437</v>
      </c>
      <c r="F18" s="273">
        <f>SUM(F19:F20)</f>
        <v>15437</v>
      </c>
      <c r="G18" s="274">
        <f>SUM(G19:G20)</f>
        <v>1</v>
      </c>
      <c r="H18" s="523"/>
      <c r="I18" s="523"/>
      <c r="J18" s="507"/>
      <c r="K18" s="229"/>
    </row>
    <row r="19" spans="1:11" x14ac:dyDescent="0.2">
      <c r="A19" s="245" t="s">
        <v>203</v>
      </c>
      <c r="B19" s="246" t="s">
        <v>204</v>
      </c>
      <c r="C19" s="294"/>
      <c r="D19" s="296"/>
      <c r="E19" s="271">
        <v>6909</v>
      </c>
      <c r="F19" s="273">
        <f>E19</f>
        <v>6909</v>
      </c>
      <c r="G19" s="281">
        <f>+F19/F$18</f>
        <v>0.44756105460905615</v>
      </c>
      <c r="H19" s="524"/>
      <c r="I19" s="524"/>
      <c r="J19" s="265"/>
      <c r="K19" s="229"/>
    </row>
    <row r="20" spans="1:11" ht="13.5" thickBot="1" x14ac:dyDescent="0.25">
      <c r="A20" s="257" t="s">
        <v>205</v>
      </c>
      <c r="B20" s="258" t="s">
        <v>74</v>
      </c>
      <c r="C20" s="294"/>
      <c r="D20" s="296"/>
      <c r="E20" s="289">
        <v>8528</v>
      </c>
      <c r="F20" s="291">
        <f>E20</f>
        <v>8528</v>
      </c>
      <c r="G20" s="286">
        <f>+F20/F$18</f>
        <v>0.55243894539094385</v>
      </c>
      <c r="H20" s="524"/>
      <c r="I20" s="524"/>
      <c r="J20" s="265"/>
      <c r="K20" s="229"/>
    </row>
    <row r="22" spans="1:11" x14ac:dyDescent="0.2">
      <c r="A22" s="794" t="s">
        <v>240</v>
      </c>
    </row>
    <row r="23" spans="1:11" x14ac:dyDescent="0.2">
      <c r="A23" s="158"/>
    </row>
    <row r="24" spans="1:11" x14ac:dyDescent="0.2">
      <c r="A24" s="177"/>
    </row>
  </sheetData>
  <mergeCells count="8">
    <mergeCell ref="H3:I4"/>
    <mergeCell ref="J3:J4"/>
    <mergeCell ref="K3:K4"/>
    <mergeCell ref="A5:B5"/>
    <mergeCell ref="A6:B6"/>
    <mergeCell ref="A3:B4"/>
    <mergeCell ref="C3:D4"/>
    <mergeCell ref="E3:G3"/>
  </mergeCells>
  <hyperlinks>
    <hyperlink ref="A22" location="'0 Seznam'!A1" display="'0 Seznam'!A1"/>
  </hyperlink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&amp;LČ. j.: MSMT-1251/2018-1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93"/>
  <sheetViews>
    <sheetView topLeftCell="A22" zoomScaleNormal="100" workbookViewId="0">
      <selection activeCell="A92" sqref="A91:A92"/>
    </sheetView>
  </sheetViews>
  <sheetFormatPr defaultRowHeight="12.75" x14ac:dyDescent="0.2"/>
  <cols>
    <col min="2" max="2" width="12.42578125" customWidth="1"/>
    <col min="4" max="4" width="12.85546875" bestFit="1" customWidth="1"/>
    <col min="8" max="8" width="13.5703125" bestFit="1" customWidth="1"/>
    <col min="10" max="10" width="12.85546875" bestFit="1" customWidth="1"/>
    <col min="16" max="16" width="12.85546875" bestFit="1" customWidth="1"/>
    <col min="19" max="19" width="13.42578125" customWidth="1"/>
    <col min="20" max="20" width="12.7109375" customWidth="1"/>
  </cols>
  <sheetData>
    <row r="1" spans="1:20" ht="27.75" x14ac:dyDescent="0.2">
      <c r="A1" s="678" t="s">
        <v>257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</row>
    <row r="2" spans="1:20" ht="20.25" thickBot="1" x14ac:dyDescent="0.25">
      <c r="A2" s="230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</row>
    <row r="3" spans="1:20" ht="30" customHeight="1" x14ac:dyDescent="0.2">
      <c r="A3" s="936"/>
      <c r="B3" s="937"/>
      <c r="C3" s="953" t="s">
        <v>202</v>
      </c>
      <c r="D3" s="954"/>
      <c r="E3" s="941" t="s">
        <v>292</v>
      </c>
      <c r="F3" s="941"/>
      <c r="G3" s="941"/>
      <c r="H3" s="957"/>
      <c r="I3" s="953" t="s">
        <v>160</v>
      </c>
      <c r="J3" s="954"/>
      <c r="K3" s="949" t="s">
        <v>158</v>
      </c>
      <c r="L3" s="950"/>
      <c r="M3" s="953" t="s">
        <v>159</v>
      </c>
      <c r="N3" s="954"/>
      <c r="O3" s="949" t="s">
        <v>184</v>
      </c>
      <c r="P3" s="950"/>
      <c r="Q3" s="940" t="s">
        <v>161</v>
      </c>
      <c r="R3" s="942"/>
      <c r="S3" s="930" t="s">
        <v>192</v>
      </c>
      <c r="T3" s="930" t="s">
        <v>193</v>
      </c>
    </row>
    <row r="4" spans="1:20" ht="27" customHeight="1" thickBot="1" x14ac:dyDescent="0.25">
      <c r="A4" s="938"/>
      <c r="B4" s="939"/>
      <c r="C4" s="955"/>
      <c r="D4" s="956"/>
      <c r="E4" s="232" t="s">
        <v>163</v>
      </c>
      <c r="F4" s="232" t="s">
        <v>164</v>
      </c>
      <c r="G4" s="232" t="s">
        <v>60</v>
      </c>
      <c r="H4" s="232" t="s">
        <v>60</v>
      </c>
      <c r="I4" s="955"/>
      <c r="J4" s="956"/>
      <c r="K4" s="951"/>
      <c r="L4" s="959"/>
      <c r="M4" s="955"/>
      <c r="N4" s="956"/>
      <c r="O4" s="951"/>
      <c r="P4" s="959"/>
      <c r="Q4" s="231" t="s">
        <v>162</v>
      </c>
      <c r="R4" s="533" t="s">
        <v>60</v>
      </c>
      <c r="S4" s="931"/>
      <c r="T4" s="931"/>
    </row>
    <row r="5" spans="1:20" ht="15.75" thickBot="1" x14ac:dyDescent="0.3">
      <c r="A5" s="932" t="s">
        <v>165</v>
      </c>
      <c r="B5" s="933"/>
      <c r="C5" s="508"/>
      <c r="D5" s="313">
        <v>0.15</v>
      </c>
      <c r="E5" s="534"/>
      <c r="F5" s="238"/>
      <c r="G5" s="238"/>
      <c r="H5" s="313">
        <v>0.22</v>
      </c>
      <c r="I5" s="535"/>
      <c r="J5" s="236">
        <v>0.1</v>
      </c>
      <c r="K5" s="508"/>
      <c r="L5" s="509">
        <v>0.3</v>
      </c>
      <c r="M5" s="508"/>
      <c r="N5" s="509">
        <v>0.03</v>
      </c>
      <c r="O5" s="508"/>
      <c r="P5" s="509">
        <v>0.1</v>
      </c>
      <c r="Q5" s="235"/>
      <c r="R5" s="509">
        <v>0.1</v>
      </c>
      <c r="S5" s="536">
        <f>SUM(C5:R5)</f>
        <v>1</v>
      </c>
      <c r="T5" s="511"/>
    </row>
    <row r="6" spans="1:20" ht="15.75" thickBot="1" x14ac:dyDescent="0.3">
      <c r="A6" s="934" t="s">
        <v>166</v>
      </c>
      <c r="B6" s="935"/>
      <c r="C6" s="530"/>
      <c r="D6" s="244">
        <f>SUM(D7:D21)</f>
        <v>1</v>
      </c>
      <c r="E6" s="243"/>
      <c r="F6" s="244"/>
      <c r="G6" s="244"/>
      <c r="H6" s="244">
        <f>SUM(H7:H21)</f>
        <v>0.99999999999999989</v>
      </c>
      <c r="I6" s="537"/>
      <c r="J6" s="242">
        <f>SUM(J7:J21)</f>
        <v>0.99999999999999978</v>
      </c>
      <c r="K6" s="512"/>
      <c r="L6" s="242">
        <f>SUM(L7:L21)</f>
        <v>1</v>
      </c>
      <c r="M6" s="538"/>
      <c r="N6" s="539">
        <f>SUM(N7:N21)</f>
        <v>0.99999999999999967</v>
      </c>
      <c r="O6" s="512"/>
      <c r="P6" s="242">
        <f>SUM(P7:P21)</f>
        <v>0.99999999999999989</v>
      </c>
      <c r="Q6" s="240"/>
      <c r="R6" s="242">
        <f>SUM(R7:R21)</f>
        <v>1</v>
      </c>
      <c r="S6" s="514">
        <f>SUM(S7:S21)</f>
        <v>1</v>
      </c>
      <c r="T6" s="514">
        <f>SUM(T7:T21)</f>
        <v>0.39800823475395797</v>
      </c>
    </row>
    <row r="7" spans="1:20" ht="15" x14ac:dyDescent="0.25">
      <c r="A7" s="245">
        <v>12000</v>
      </c>
      <c r="B7" s="246" t="s">
        <v>62</v>
      </c>
      <c r="C7" s="247"/>
      <c r="D7" s="256">
        <f>D24</f>
        <v>7.8021393108345868E-2</v>
      </c>
      <c r="E7" s="255"/>
      <c r="F7" s="256"/>
      <c r="G7" s="256"/>
      <c r="H7" s="256">
        <f>0.5*H24+0.3*H41+0.2*H58</f>
        <v>3.875880681731781E-2</v>
      </c>
      <c r="I7" s="540"/>
      <c r="J7" s="250">
        <f>J24</f>
        <v>8.1042476408191039E-2</v>
      </c>
      <c r="K7" s="247"/>
      <c r="L7" s="250">
        <f>L41</f>
        <v>9.2821372181005057E-2</v>
      </c>
      <c r="M7" s="541"/>
      <c r="N7" s="539">
        <f>N24</f>
        <v>1.6665570872875613E-2</v>
      </c>
      <c r="O7" s="255"/>
      <c r="P7" s="250">
        <f t="shared" ref="P7:P21" si="0">0.5*P41+0.3*P58+0.2*P75</f>
        <v>7.3638983870562238E-2</v>
      </c>
      <c r="Q7" s="542"/>
      <c r="R7" s="250">
        <f>0.5*R24+0.3*R41+0.2*R58</f>
        <v>0.14280270029600287</v>
      </c>
      <c r="S7" s="515">
        <f t="shared" ref="S7:S21" si="1">SUMPRODUCT(C$5:R$5,C7:R7)</f>
        <v>7.8324941304025203E-2</v>
      </c>
      <c r="T7" s="515">
        <f>S7*'3 - Stanovení podílů segmentů'!$G$37</f>
        <v>3.1173971625622451E-2</v>
      </c>
    </row>
    <row r="8" spans="1:20" ht="15" x14ac:dyDescent="0.25">
      <c r="A8" s="245">
        <v>13000</v>
      </c>
      <c r="B8" s="246" t="s">
        <v>168</v>
      </c>
      <c r="C8" s="247"/>
      <c r="D8" s="256">
        <f t="shared" ref="D8:D21" si="2">D25</f>
        <v>4.4781680348955584E-2</v>
      </c>
      <c r="E8" s="255"/>
      <c r="F8" s="256"/>
      <c r="G8" s="256"/>
      <c r="H8" s="256">
        <f t="shared" ref="H8:H21" si="3">0.5*H25+0.3*H42+0.2*H59</f>
        <v>4.5217306797768808E-2</v>
      </c>
      <c r="I8" s="540"/>
      <c r="J8" s="250">
        <f t="shared" ref="J8:J21" si="4">J25</f>
        <v>5.5289417207904763E-2</v>
      </c>
      <c r="K8" s="247"/>
      <c r="L8" s="250">
        <f t="shared" ref="L8:L21" si="5">L42</f>
        <v>2.5739690942105171E-2</v>
      </c>
      <c r="M8" s="528"/>
      <c r="N8" s="250">
        <f>N25</f>
        <v>0.18812177106245687</v>
      </c>
      <c r="O8" s="255"/>
      <c r="P8" s="250">
        <f t="shared" si="0"/>
        <v>1.806087770089242E-2</v>
      </c>
      <c r="Q8" s="542"/>
      <c r="R8" s="250">
        <f t="shared" ref="R8:R21" si="6">0.5*R25+0.3*R42+0.2*R59</f>
        <v>2.8666620647512783E-2</v>
      </c>
      <c r="S8" s="515">
        <f t="shared" si="1"/>
        <v>4.0232311517988728E-2</v>
      </c>
      <c r="T8" s="515">
        <f>S8*'3 - Stanovení podílů segmentů'!$G$37</f>
        <v>1.6012791287346031E-2</v>
      </c>
    </row>
    <row r="9" spans="1:20" ht="15" x14ac:dyDescent="0.25">
      <c r="A9" s="245">
        <v>16000</v>
      </c>
      <c r="B9" s="246" t="s">
        <v>169</v>
      </c>
      <c r="C9" s="247"/>
      <c r="D9" s="256">
        <f t="shared" si="2"/>
        <v>2.6575704974369639E-2</v>
      </c>
      <c r="E9" s="255"/>
      <c r="F9" s="256"/>
      <c r="G9" s="256"/>
      <c r="H9" s="256">
        <f t="shared" si="3"/>
        <v>1.745425873804261E-2</v>
      </c>
      <c r="I9" s="540"/>
      <c r="J9" s="250">
        <f t="shared" si="4"/>
        <v>4.2791393671418293E-2</v>
      </c>
      <c r="K9" s="247"/>
      <c r="L9" s="250">
        <f t="shared" si="5"/>
        <v>2.6213769611266809E-2</v>
      </c>
      <c r="M9" s="528"/>
      <c r="N9" s="250">
        <f>N26</f>
        <v>0</v>
      </c>
      <c r="O9" s="255"/>
      <c r="P9" s="250">
        <f t="shared" si="0"/>
        <v>3.7608022867421834E-2</v>
      </c>
      <c r="Q9" s="542"/>
      <c r="R9" s="250">
        <f t="shared" si="6"/>
        <v>5.7868109801208253E-2</v>
      </c>
      <c r="S9" s="515">
        <f t="shared" si="1"/>
        <v>2.95171761859097E-2</v>
      </c>
      <c r="T9" s="515">
        <f>S9*'3 - Stanovení podílů segmentů'!$G$37</f>
        <v>1.1748079188675488E-2</v>
      </c>
    </row>
    <row r="10" spans="1:20" ht="15" x14ac:dyDescent="0.25">
      <c r="A10" s="245">
        <v>17000</v>
      </c>
      <c r="B10" s="246" t="s">
        <v>65</v>
      </c>
      <c r="C10" s="247"/>
      <c r="D10" s="256">
        <f t="shared" si="2"/>
        <v>6.66447362399996E-2</v>
      </c>
      <c r="E10" s="255"/>
      <c r="F10" s="256"/>
      <c r="G10" s="256"/>
      <c r="H10" s="256">
        <f t="shared" si="3"/>
        <v>5.0707418586208829E-2</v>
      </c>
      <c r="I10" s="540"/>
      <c r="J10" s="250">
        <f t="shared" si="4"/>
        <v>7.438857983720229E-2</v>
      </c>
      <c r="K10" s="247"/>
      <c r="L10" s="250">
        <f t="shared" si="5"/>
        <v>4.3744571769033576E-2</v>
      </c>
      <c r="M10" s="528"/>
      <c r="N10" s="250">
        <f t="shared" ref="N10:N21" si="7">N27</f>
        <v>0.13022587376821387</v>
      </c>
      <c r="O10" s="255"/>
      <c r="P10" s="250">
        <f t="shared" si="0"/>
        <v>3.4519463164902592E-2</v>
      </c>
      <c r="Q10" s="542"/>
      <c r="R10" s="250">
        <f t="shared" si="6"/>
        <v>8.0774679437145155E-2</v>
      </c>
      <c r="S10" s="515">
        <f t="shared" si="1"/>
        <v>5.7150762512647377E-2</v>
      </c>
      <c r="T10" s="515">
        <f>S10*'3 - Stanovení podílů segmentů'!$G$37</f>
        <v>2.2746474102501465E-2</v>
      </c>
    </row>
    <row r="11" spans="1:20" ht="15" x14ac:dyDescent="0.25">
      <c r="A11" s="245">
        <v>18000</v>
      </c>
      <c r="B11" s="246" t="s">
        <v>66</v>
      </c>
      <c r="C11" s="247"/>
      <c r="D11" s="256">
        <f t="shared" si="2"/>
        <v>4.567455352232825E-2</v>
      </c>
      <c r="E11" s="255"/>
      <c r="F11" s="256"/>
      <c r="G11" s="256"/>
      <c r="H11" s="256">
        <f t="shared" si="3"/>
        <v>5.5242564391548787E-2</v>
      </c>
      <c r="I11" s="540"/>
      <c r="J11" s="250">
        <f t="shared" si="4"/>
        <v>4.0035797305044862E-2</v>
      </c>
      <c r="K11" s="247"/>
      <c r="L11" s="250">
        <f t="shared" si="5"/>
        <v>2.6316240825672754E-2</v>
      </c>
      <c r="M11" s="528"/>
      <c r="N11" s="250">
        <f t="shared" si="7"/>
        <v>8.8702588401236127E-2</v>
      </c>
      <c r="O11" s="255"/>
      <c r="P11" s="250">
        <f t="shared" si="0"/>
        <v>8.3973797642916039E-3</v>
      </c>
      <c r="Q11" s="542"/>
      <c r="R11" s="250">
        <f t="shared" si="6"/>
        <v>3.298684582627516E-2</v>
      </c>
      <c r="S11" s="515">
        <f t="shared" si="1"/>
        <v>3.7702499383790042E-2</v>
      </c>
      <c r="T11" s="515">
        <f>S11*'3 - Stanovení podílů segmentů'!$G$37</f>
        <v>1.5005905225554467E-2</v>
      </c>
    </row>
    <row r="12" spans="1:20" ht="15" x14ac:dyDescent="0.25">
      <c r="A12" s="245">
        <v>19000</v>
      </c>
      <c r="B12" s="246" t="s">
        <v>67</v>
      </c>
      <c r="C12" s="247"/>
      <c r="D12" s="256">
        <f t="shared" si="2"/>
        <v>3.194752512812031E-2</v>
      </c>
      <c r="E12" s="255"/>
      <c r="F12" s="256"/>
      <c r="G12" s="256"/>
      <c r="H12" s="256">
        <f t="shared" si="3"/>
        <v>1.4787222594247374E-2</v>
      </c>
      <c r="I12" s="540"/>
      <c r="J12" s="250">
        <f t="shared" si="4"/>
        <v>3.1165190582137178E-2</v>
      </c>
      <c r="K12" s="247"/>
      <c r="L12" s="250">
        <f t="shared" si="5"/>
        <v>2.6966293845651169E-2</v>
      </c>
      <c r="M12" s="528"/>
      <c r="N12" s="250">
        <f t="shared" si="7"/>
        <v>0.10927180359730986</v>
      </c>
      <c r="O12" s="255"/>
      <c r="P12" s="250">
        <f t="shared" si="0"/>
        <v>9.8918097384862631E-3</v>
      </c>
      <c r="Q12" s="542"/>
      <c r="R12" s="250">
        <f t="shared" si="6"/>
        <v>4.6818213673782895E-2</v>
      </c>
      <c r="S12" s="515">
        <f t="shared" si="1"/>
        <v>2.8200881401007752E-2</v>
      </c>
      <c r="T12" s="515">
        <f>S12*'3 - Stanovení podílů segmentů'!$G$37</f>
        <v>1.1224183024920823E-2</v>
      </c>
    </row>
    <row r="13" spans="1:20" ht="15" x14ac:dyDescent="0.25">
      <c r="A13" s="245">
        <v>22000</v>
      </c>
      <c r="B13" s="246" t="s">
        <v>170</v>
      </c>
      <c r="C13" s="247"/>
      <c r="D13" s="256">
        <f t="shared" si="2"/>
        <v>2.9947601606913128E-2</v>
      </c>
      <c r="E13" s="255"/>
      <c r="F13" s="256"/>
      <c r="G13" s="256"/>
      <c r="H13" s="256">
        <f t="shared" si="3"/>
        <v>3.7963987552324066E-2</v>
      </c>
      <c r="I13" s="540"/>
      <c r="J13" s="250">
        <f t="shared" si="4"/>
        <v>4.9542767945608412E-2</v>
      </c>
      <c r="K13" s="247"/>
      <c r="L13" s="250">
        <f t="shared" si="5"/>
        <v>0.12773922711794497</v>
      </c>
      <c r="M13" s="528"/>
      <c r="N13" s="250">
        <f t="shared" si="7"/>
        <v>1.2191826827420869E-3</v>
      </c>
      <c r="O13" s="255"/>
      <c r="P13" s="250">
        <f t="shared" si="0"/>
        <v>0.17553553592602314</v>
      </c>
      <c r="Q13" s="542"/>
      <c r="R13" s="250">
        <f t="shared" si="6"/>
        <v>8.34996538813116E-2</v>
      </c>
      <c r="S13" s="515">
        <f t="shared" si="1"/>
        <v>8.2060356893708331E-2</v>
      </c>
      <c r="T13" s="515">
        <f>S13*'3 - Stanovení podílů segmentů'!$G$37</f>
        <v>3.2660697790544646E-2</v>
      </c>
    </row>
    <row r="14" spans="1:20" ht="15" x14ac:dyDescent="0.25">
      <c r="A14" s="245">
        <v>23000</v>
      </c>
      <c r="B14" s="246" t="s">
        <v>171</v>
      </c>
      <c r="C14" s="247"/>
      <c r="D14" s="256">
        <f t="shared" si="2"/>
        <v>8.2021414567792023E-2</v>
      </c>
      <c r="E14" s="255"/>
      <c r="F14" s="256"/>
      <c r="G14" s="256"/>
      <c r="H14" s="256">
        <f t="shared" si="3"/>
        <v>7.1629806025535245E-2</v>
      </c>
      <c r="I14" s="540"/>
      <c r="J14" s="250">
        <f t="shared" si="4"/>
        <v>7.5526864212007633E-2</v>
      </c>
      <c r="K14" s="247"/>
      <c r="L14" s="250">
        <f t="shared" si="5"/>
        <v>0.11223517010454789</v>
      </c>
      <c r="M14" s="528"/>
      <c r="N14" s="250">
        <f t="shared" si="7"/>
        <v>0.1689396048320094</v>
      </c>
      <c r="O14" s="255"/>
      <c r="P14" s="250">
        <f t="shared" si="0"/>
        <v>0.13632813379583511</v>
      </c>
      <c r="Q14" s="542"/>
      <c r="R14" s="250">
        <f t="shared" si="6"/>
        <v>8.0766875466023638E-2</v>
      </c>
      <c r="S14" s="515">
        <f t="shared" si="1"/>
        <v>9.6062696034497838E-2</v>
      </c>
      <c r="T14" s="515">
        <f>S14*'3 - Stanovení podílů segmentů'!$G$37</f>
        <v>3.8233744074396531E-2</v>
      </c>
    </row>
    <row r="15" spans="1:20" ht="15" x14ac:dyDescent="0.25">
      <c r="A15" s="245">
        <v>24000</v>
      </c>
      <c r="B15" s="246" t="s">
        <v>69</v>
      </c>
      <c r="C15" s="247"/>
      <c r="D15" s="256">
        <f t="shared" si="2"/>
        <v>3.851579760526657E-2</v>
      </c>
      <c r="E15" s="255"/>
      <c r="F15" s="256"/>
      <c r="G15" s="256"/>
      <c r="H15" s="256">
        <f t="shared" si="3"/>
        <v>4.9648189519320207E-2</v>
      </c>
      <c r="I15" s="540"/>
      <c r="J15" s="250">
        <f t="shared" si="4"/>
        <v>3.8744317822471411E-2</v>
      </c>
      <c r="K15" s="247"/>
      <c r="L15" s="250">
        <f t="shared" si="5"/>
        <v>5.5508388839286736E-2</v>
      </c>
      <c r="M15" s="528"/>
      <c r="N15" s="250">
        <f t="shared" si="7"/>
        <v>6.0813919041750368E-2</v>
      </c>
      <c r="O15" s="255"/>
      <c r="P15" s="250">
        <f t="shared" si="0"/>
        <v>5.8550089009043196E-2</v>
      </c>
      <c r="Q15" s="542"/>
      <c r="R15" s="250">
        <f t="shared" si="6"/>
        <v>5.6131640830306667E-2</v>
      </c>
      <c r="S15" s="515">
        <f t="shared" si="1"/>
        <v>5.0519510324261094E-2</v>
      </c>
      <c r="T15" s="515">
        <f>S15*'3 - Stanovení podílů segmentů'!$G$37</f>
        <v>2.0107181124793518E-2</v>
      </c>
    </row>
    <row r="16" spans="1:20" ht="15" x14ac:dyDescent="0.25">
      <c r="A16" s="245">
        <v>25000</v>
      </c>
      <c r="B16" s="246" t="s">
        <v>172</v>
      </c>
      <c r="C16" s="247"/>
      <c r="D16" s="256">
        <f t="shared" si="2"/>
        <v>4.7192465738704233E-2</v>
      </c>
      <c r="E16" s="255"/>
      <c r="F16" s="256"/>
      <c r="G16" s="256"/>
      <c r="H16" s="256">
        <f t="shared" si="3"/>
        <v>4.2786118463399768E-2</v>
      </c>
      <c r="I16" s="540"/>
      <c r="J16" s="250">
        <f t="shared" si="4"/>
        <v>6.2882289318209161E-2</v>
      </c>
      <c r="K16" s="247"/>
      <c r="L16" s="250">
        <f t="shared" si="5"/>
        <v>8.0701825969142743E-2</v>
      </c>
      <c r="M16" s="528"/>
      <c r="N16" s="250">
        <f t="shared" si="7"/>
        <v>1.4785199488093922E-2</v>
      </c>
      <c r="O16" s="255"/>
      <c r="P16" s="250">
        <f t="shared" si="0"/>
        <v>5.1943797648171232E-2</v>
      </c>
      <c r="Q16" s="542"/>
      <c r="R16" s="250">
        <f t="shared" si="6"/>
        <v>3.7411205036744333E-2</v>
      </c>
      <c r="S16" s="515">
        <f t="shared" si="1"/>
        <v>5.6369648898451696E-2</v>
      </c>
      <c r="T16" s="515">
        <f>S16*'3 - Stanovení podílů segmentů'!$G$37</f>
        <v>2.2435584451773159E-2</v>
      </c>
    </row>
    <row r="17" spans="1:20" ht="15" x14ac:dyDescent="0.25">
      <c r="A17" s="245">
        <v>27000</v>
      </c>
      <c r="B17" s="246" t="s">
        <v>70</v>
      </c>
      <c r="C17" s="247"/>
      <c r="D17" s="256">
        <f t="shared" si="2"/>
        <v>9.0148013549701284E-2</v>
      </c>
      <c r="E17" s="255"/>
      <c r="F17" s="256"/>
      <c r="G17" s="256"/>
      <c r="H17" s="256">
        <f t="shared" si="3"/>
        <v>9.5373705331191869E-2</v>
      </c>
      <c r="I17" s="540"/>
      <c r="J17" s="250">
        <f t="shared" si="4"/>
        <v>9.6741272340795922E-2</v>
      </c>
      <c r="K17" s="247"/>
      <c r="L17" s="250">
        <f t="shared" si="5"/>
        <v>0.11794099497817422</v>
      </c>
      <c r="M17" s="528"/>
      <c r="N17" s="250">
        <f t="shared" si="7"/>
        <v>1.6999151306812108E-2</v>
      </c>
      <c r="O17" s="255"/>
      <c r="P17" s="250">
        <f t="shared" si="0"/>
        <v>0.15502369718541756</v>
      </c>
      <c r="Q17" s="542"/>
      <c r="R17" s="250">
        <f t="shared" si="6"/>
        <v>6.1755009779316652E-2</v>
      </c>
      <c r="S17" s="515">
        <f t="shared" si="1"/>
        <v>0.10174868816852704</v>
      </c>
      <c r="T17" s="515">
        <f>S17*'3 - Stanovení podílů segmentů'!$G$37</f>
        <v>4.0496815766486387E-2</v>
      </c>
    </row>
    <row r="18" spans="1:20" ht="15" x14ac:dyDescent="0.25">
      <c r="A18" s="245">
        <v>28000</v>
      </c>
      <c r="B18" s="246" t="s">
        <v>174</v>
      </c>
      <c r="C18" s="247"/>
      <c r="D18" s="256">
        <f t="shared" si="2"/>
        <v>7.7777844727555792E-2</v>
      </c>
      <c r="E18" s="255"/>
      <c r="F18" s="256"/>
      <c r="G18" s="256"/>
      <c r="H18" s="256">
        <f t="shared" si="3"/>
        <v>5.4820913565204812E-2</v>
      </c>
      <c r="I18" s="540"/>
      <c r="J18" s="250">
        <f t="shared" si="4"/>
        <v>7.1543758083759082E-2</v>
      </c>
      <c r="K18" s="247"/>
      <c r="L18" s="250">
        <f t="shared" si="5"/>
        <v>5.2289503349250727E-2</v>
      </c>
      <c r="M18" s="528"/>
      <c r="N18" s="250">
        <f t="shared" si="7"/>
        <v>0.15939845117528456</v>
      </c>
      <c r="O18" s="255"/>
      <c r="P18" s="250">
        <f t="shared" si="0"/>
        <v>2.9469149186639825E-2</v>
      </c>
      <c r="Q18" s="542"/>
      <c r="R18" s="250">
        <f t="shared" si="6"/>
        <v>9.6389870574872735E-2</v>
      </c>
      <c r="S18" s="515">
        <f t="shared" si="1"/>
        <v>6.3936360018039345E-2</v>
      </c>
      <c r="T18" s="515">
        <f>S18*'3 - Stanovení podílů segmentů'!$G$37</f>
        <v>2.5447197787373383E-2</v>
      </c>
    </row>
    <row r="19" spans="1:20" ht="15" x14ac:dyDescent="0.25">
      <c r="A19" s="245">
        <v>31000</v>
      </c>
      <c r="B19" s="246" t="s">
        <v>71</v>
      </c>
      <c r="C19" s="247"/>
      <c r="D19" s="256">
        <f t="shared" si="2"/>
        <v>0.10961790958429099</v>
      </c>
      <c r="E19" s="255"/>
      <c r="F19" s="256"/>
      <c r="G19" s="256"/>
      <c r="H19" s="256">
        <f t="shared" si="3"/>
        <v>0.18245994907704421</v>
      </c>
      <c r="I19" s="540"/>
      <c r="J19" s="250">
        <f t="shared" si="4"/>
        <v>6.5532224907623782E-2</v>
      </c>
      <c r="K19" s="247"/>
      <c r="L19" s="250">
        <f t="shared" si="5"/>
        <v>3.033425730318871E-2</v>
      </c>
      <c r="M19" s="528"/>
      <c r="N19" s="250">
        <f t="shared" si="7"/>
        <v>1.2980045110835324E-3</v>
      </c>
      <c r="O19" s="255"/>
      <c r="P19" s="250">
        <f t="shared" si="0"/>
        <v>5.0479704371910759E-2</v>
      </c>
      <c r="Q19" s="542"/>
      <c r="R19" s="250">
        <f t="shared" si="6"/>
        <v>4.2453611218783341E-2</v>
      </c>
      <c r="S19" s="515">
        <f t="shared" si="1"/>
        <v>8.156964661071428E-2</v>
      </c>
      <c r="T19" s="515">
        <f>S19*'3 - Stanovení podílů segmentů'!$G$37</f>
        <v>3.2465391057034568E-2</v>
      </c>
    </row>
    <row r="20" spans="1:20" ht="15" x14ac:dyDescent="0.25">
      <c r="A20" s="245">
        <v>41000</v>
      </c>
      <c r="B20" s="246" t="s">
        <v>175</v>
      </c>
      <c r="C20" s="247"/>
      <c r="D20" s="256">
        <f t="shared" si="2"/>
        <v>0.15587149282261478</v>
      </c>
      <c r="E20" s="255"/>
      <c r="F20" s="256"/>
      <c r="G20" s="256"/>
      <c r="H20" s="256">
        <f t="shared" si="3"/>
        <v>0.15859100291293693</v>
      </c>
      <c r="I20" s="540"/>
      <c r="J20" s="250">
        <f t="shared" si="4"/>
        <v>0.12823344540479636</v>
      </c>
      <c r="K20" s="247"/>
      <c r="L20" s="250">
        <f t="shared" si="5"/>
        <v>0.10465927942263469</v>
      </c>
      <c r="M20" s="528"/>
      <c r="N20" s="250">
        <f t="shared" si="7"/>
        <v>5.4069084077441876E-3</v>
      </c>
      <c r="O20" s="255"/>
      <c r="P20" s="250">
        <f t="shared" si="0"/>
        <v>9.4354101044935523E-2</v>
      </c>
      <c r="Q20" s="542"/>
      <c r="R20" s="250">
        <f t="shared" si="6"/>
        <v>8.202004923729074E-2</v>
      </c>
      <c r="S20" s="515">
        <f t="shared" si="1"/>
        <v>0.12029149521196335</v>
      </c>
      <c r="T20" s="515">
        <f>S20*'3 - Stanovení podílů segmentů'!$G$37</f>
        <v>4.7877005665227734E-2</v>
      </c>
    </row>
    <row r="21" spans="1:20" ht="15.75" thickBot="1" x14ac:dyDescent="0.3">
      <c r="A21" s="257">
        <v>43000</v>
      </c>
      <c r="B21" s="258" t="s">
        <v>72</v>
      </c>
      <c r="C21" s="259"/>
      <c r="D21" s="263">
        <f t="shared" si="2"/>
        <v>7.5261866475041947E-2</v>
      </c>
      <c r="E21" s="262"/>
      <c r="F21" s="263"/>
      <c r="G21" s="263"/>
      <c r="H21" s="263">
        <f t="shared" si="3"/>
        <v>8.4558749627908658E-2</v>
      </c>
      <c r="I21" s="543"/>
      <c r="J21" s="261">
        <f t="shared" si="4"/>
        <v>8.6540204952829672E-2</v>
      </c>
      <c r="K21" s="259"/>
      <c r="L21" s="261">
        <f t="shared" si="5"/>
        <v>7.6789413741094742E-2</v>
      </c>
      <c r="M21" s="529"/>
      <c r="N21" s="261">
        <f t="shared" si="7"/>
        <v>3.8151970852387314E-2</v>
      </c>
      <c r="O21" s="262"/>
      <c r="P21" s="261">
        <f t="shared" si="0"/>
        <v>6.6199254725466686E-2</v>
      </c>
      <c r="Q21" s="544"/>
      <c r="R21" s="261">
        <f t="shared" si="6"/>
        <v>6.9654914293423201E-2</v>
      </c>
      <c r="S21" s="517">
        <f t="shared" si="1"/>
        <v>7.6313025534468185E-2</v>
      </c>
      <c r="T21" s="517">
        <f>S21*'3 - Stanovení podílů segmentů'!$G$37</f>
        <v>3.0373212581707412E-2</v>
      </c>
    </row>
    <row r="22" spans="1:20" x14ac:dyDescent="0.2">
      <c r="A22" s="505"/>
      <c r="B22" s="505"/>
      <c r="C22" s="505"/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5"/>
      <c r="R22" s="505"/>
      <c r="S22" s="505"/>
      <c r="T22" s="505"/>
    </row>
    <row r="23" spans="1:20" ht="15" x14ac:dyDescent="0.25">
      <c r="A23" s="519" t="s">
        <v>201</v>
      </c>
      <c r="B23" s="521" t="s">
        <v>166</v>
      </c>
      <c r="C23" s="266">
        <f t="shared" ref="C23:J23" si="8">SUM(C24:C38)</f>
        <v>70211.043770712917</v>
      </c>
      <c r="D23" s="267">
        <f t="shared" si="8"/>
        <v>1</v>
      </c>
      <c r="E23" s="545">
        <f t="shared" si="8"/>
        <v>536867</v>
      </c>
      <c r="F23" s="546">
        <f t="shared" si="8"/>
        <v>771629</v>
      </c>
      <c r="G23" s="532">
        <f t="shared" si="8"/>
        <v>1308496</v>
      </c>
      <c r="H23" s="267">
        <f t="shared" si="8"/>
        <v>1</v>
      </c>
      <c r="I23" s="266">
        <f t="shared" si="8"/>
        <v>37226.201016259438</v>
      </c>
      <c r="J23" s="267">
        <f t="shared" si="8"/>
        <v>0.99999999999999978</v>
      </c>
      <c r="K23" s="229"/>
      <c r="L23" s="229"/>
      <c r="M23" s="266">
        <f>SUM(M24:M38)</f>
        <v>185862.22000000003</v>
      </c>
      <c r="N23" s="267">
        <f>SUM(N24:N38)</f>
        <v>0.99999999999999967</v>
      </c>
      <c r="O23" s="522"/>
      <c r="P23" s="229"/>
      <c r="Q23" s="268">
        <f>SUM(Q24:Q38)</f>
        <v>987.5</v>
      </c>
      <c r="R23" s="270">
        <f>SUM(R24:R38)</f>
        <v>1</v>
      </c>
      <c r="S23" s="505"/>
      <c r="T23" s="505"/>
    </row>
    <row r="24" spans="1:20" ht="15" x14ac:dyDescent="0.25">
      <c r="A24" s="547">
        <v>12000</v>
      </c>
      <c r="B24" s="548" t="s">
        <v>62</v>
      </c>
      <c r="C24" s="277">
        <v>5477.9634465820709</v>
      </c>
      <c r="D24" s="278">
        <f>+C24/C$23</f>
        <v>7.8021393108345868E-2</v>
      </c>
      <c r="E24" s="282">
        <v>25793</v>
      </c>
      <c r="F24" s="283">
        <v>25348</v>
      </c>
      <c r="G24" s="284">
        <f t="shared" ref="G24:G38" si="9">+E24+F24</f>
        <v>51141</v>
      </c>
      <c r="H24" s="278">
        <f>+G24/G$23</f>
        <v>3.9083803083845882E-2</v>
      </c>
      <c r="I24" s="277">
        <v>3016.9035176267826</v>
      </c>
      <c r="J24" s="278">
        <f>+I24/I$23</f>
        <v>8.1042476408191039E-2</v>
      </c>
      <c r="K24" s="229"/>
      <c r="L24" s="229"/>
      <c r="M24" s="277">
        <v>3097.5</v>
      </c>
      <c r="N24" s="278">
        <f>+M24/M$23</f>
        <v>1.6665570872875613E-2</v>
      </c>
      <c r="O24" s="522"/>
      <c r="P24" s="229"/>
      <c r="Q24" s="279">
        <v>107.5</v>
      </c>
      <c r="R24" s="278">
        <f>+Q24/Q$23</f>
        <v>0.10886075949367088</v>
      </c>
      <c r="S24" s="505"/>
      <c r="T24" s="505"/>
    </row>
    <row r="25" spans="1:20" ht="15" x14ac:dyDescent="0.25">
      <c r="A25" s="547">
        <v>13000</v>
      </c>
      <c r="B25" s="548" t="s">
        <v>168</v>
      </c>
      <c r="C25" s="277">
        <v>3144.1685191065949</v>
      </c>
      <c r="D25" s="278">
        <f t="shared" ref="D25:D38" si="10">+C25/C$23</f>
        <v>4.4781680348955584E-2</v>
      </c>
      <c r="E25" s="282">
        <v>29968</v>
      </c>
      <c r="F25" s="283">
        <v>26034</v>
      </c>
      <c r="G25" s="284">
        <f t="shared" si="9"/>
        <v>56002</v>
      </c>
      <c r="H25" s="278">
        <f t="shared" ref="H25:J38" si="11">+G25/G$23</f>
        <v>4.2798755212090825E-2</v>
      </c>
      <c r="I25" s="277">
        <v>2058.2149590532963</v>
      </c>
      <c r="J25" s="278">
        <f t="shared" si="11"/>
        <v>5.5289417207904763E-2</v>
      </c>
      <c r="K25" s="229"/>
      <c r="L25" s="229"/>
      <c r="M25" s="277">
        <v>34964.729999999996</v>
      </c>
      <c r="N25" s="278">
        <f t="shared" ref="N25:N38" si="12">+M25/M$23</f>
        <v>0.18812177106245687</v>
      </c>
      <c r="O25" s="522"/>
      <c r="P25" s="229"/>
      <c r="Q25" s="279">
        <v>26</v>
      </c>
      <c r="R25" s="278">
        <f t="shared" ref="R25:R38" si="13">+Q25/Q$23</f>
        <v>2.6329113924050632E-2</v>
      </c>
      <c r="S25" s="505"/>
      <c r="T25" s="505"/>
    </row>
    <row r="26" spans="1:20" ht="15" x14ac:dyDescent="0.25">
      <c r="A26" s="547">
        <v>16000</v>
      </c>
      <c r="B26" s="548" t="s">
        <v>169</v>
      </c>
      <c r="C26" s="277">
        <v>1865.9079851930196</v>
      </c>
      <c r="D26" s="278">
        <f t="shared" si="10"/>
        <v>2.6575704974369639E-2</v>
      </c>
      <c r="E26" s="282">
        <v>4139</v>
      </c>
      <c r="F26" s="283">
        <v>19004</v>
      </c>
      <c r="G26" s="284">
        <f t="shared" si="9"/>
        <v>23143</v>
      </c>
      <c r="H26" s="278">
        <f t="shared" si="11"/>
        <v>1.7686718186375808E-2</v>
      </c>
      <c r="I26" s="277">
        <v>1592.9610225781094</v>
      </c>
      <c r="J26" s="278">
        <f t="shared" si="11"/>
        <v>4.2791393671418293E-2</v>
      </c>
      <c r="K26" s="229"/>
      <c r="L26" s="229"/>
      <c r="M26" s="277">
        <v>0</v>
      </c>
      <c r="N26" s="278">
        <f t="shared" si="12"/>
        <v>0</v>
      </c>
      <c r="O26" s="522"/>
      <c r="P26" s="229"/>
      <c r="Q26" s="279">
        <v>65.5</v>
      </c>
      <c r="R26" s="278">
        <f t="shared" si="13"/>
        <v>6.6329113924050637E-2</v>
      </c>
      <c r="S26" s="505"/>
      <c r="T26" s="505"/>
    </row>
    <row r="27" spans="1:20" ht="15" x14ac:dyDescent="0.25">
      <c r="A27" s="547">
        <v>17000</v>
      </c>
      <c r="B27" s="548" t="s">
        <v>65</v>
      </c>
      <c r="C27" s="277">
        <v>4679.1964932342289</v>
      </c>
      <c r="D27" s="278">
        <f t="shared" si="10"/>
        <v>6.66447362399996E-2</v>
      </c>
      <c r="E27" s="282">
        <v>34524</v>
      </c>
      <c r="F27" s="283">
        <v>34329</v>
      </c>
      <c r="G27" s="284">
        <f t="shared" si="9"/>
        <v>68853</v>
      </c>
      <c r="H27" s="278">
        <f t="shared" si="11"/>
        <v>5.2619954512661868E-2</v>
      </c>
      <c r="I27" s="277">
        <v>2769.2042263337562</v>
      </c>
      <c r="J27" s="278">
        <f t="shared" si="11"/>
        <v>7.438857983720229E-2</v>
      </c>
      <c r="K27" s="229"/>
      <c r="L27" s="229"/>
      <c r="M27" s="277">
        <v>24204.07</v>
      </c>
      <c r="N27" s="278">
        <f t="shared" si="12"/>
        <v>0.13022587376821387</v>
      </c>
      <c r="O27" s="522"/>
      <c r="P27" s="229"/>
      <c r="Q27" s="279">
        <v>86</v>
      </c>
      <c r="R27" s="278">
        <f t="shared" si="13"/>
        <v>8.7088607594936709E-2</v>
      </c>
      <c r="S27" s="505"/>
      <c r="T27" s="505"/>
    </row>
    <row r="28" spans="1:20" ht="15" x14ac:dyDescent="0.25">
      <c r="A28" s="547">
        <v>18000</v>
      </c>
      <c r="B28" s="548" t="s">
        <v>66</v>
      </c>
      <c r="C28" s="277">
        <v>3206.8580765639585</v>
      </c>
      <c r="D28" s="278">
        <f t="shared" si="10"/>
        <v>4.567455352232825E-2</v>
      </c>
      <c r="E28" s="282">
        <v>35089</v>
      </c>
      <c r="F28" s="283">
        <v>39534</v>
      </c>
      <c r="G28" s="284">
        <f t="shared" si="9"/>
        <v>74623</v>
      </c>
      <c r="H28" s="278">
        <f t="shared" si="11"/>
        <v>5.7029597339235273E-2</v>
      </c>
      <c r="I28" s="277">
        <v>1490.3806383238179</v>
      </c>
      <c r="J28" s="278">
        <f t="shared" si="11"/>
        <v>4.0035797305044862E-2</v>
      </c>
      <c r="K28" s="229"/>
      <c r="L28" s="229"/>
      <c r="M28" s="277">
        <v>16486.46</v>
      </c>
      <c r="N28" s="278">
        <f t="shared" si="12"/>
        <v>8.8702588401236127E-2</v>
      </c>
      <c r="O28" s="522"/>
      <c r="P28" s="229"/>
      <c r="Q28" s="279">
        <v>34.5</v>
      </c>
      <c r="R28" s="278">
        <f t="shared" si="13"/>
        <v>3.4936708860759495E-2</v>
      </c>
      <c r="S28" s="505"/>
      <c r="T28" s="505"/>
    </row>
    <row r="29" spans="1:20" ht="15" x14ac:dyDescent="0.25">
      <c r="A29" s="547">
        <v>19000</v>
      </c>
      <c r="B29" s="548" t="s">
        <v>67</v>
      </c>
      <c r="C29" s="277">
        <v>2243.0690851364061</v>
      </c>
      <c r="D29" s="278">
        <f t="shared" si="10"/>
        <v>3.194752512812031E-2</v>
      </c>
      <c r="E29" s="282">
        <v>12494</v>
      </c>
      <c r="F29" s="283">
        <v>5418</v>
      </c>
      <c r="G29" s="284">
        <f t="shared" si="9"/>
        <v>17912</v>
      </c>
      <c r="H29" s="278">
        <f t="shared" si="11"/>
        <v>1.3688998667172082E-2</v>
      </c>
      <c r="I29" s="277">
        <v>1160.1616493206741</v>
      </c>
      <c r="J29" s="278">
        <f t="shared" si="11"/>
        <v>3.1165190582137178E-2</v>
      </c>
      <c r="K29" s="229"/>
      <c r="L29" s="229"/>
      <c r="M29" s="277">
        <v>20309.5</v>
      </c>
      <c r="N29" s="278">
        <f t="shared" si="12"/>
        <v>0.10927180359730986</v>
      </c>
      <c r="O29" s="522"/>
      <c r="P29" s="229"/>
      <c r="Q29" s="279">
        <v>42</v>
      </c>
      <c r="R29" s="278">
        <f t="shared" si="13"/>
        <v>4.2531645569620254E-2</v>
      </c>
      <c r="S29" s="505"/>
      <c r="T29" s="505"/>
    </row>
    <row r="30" spans="1:20" ht="15" x14ac:dyDescent="0.25">
      <c r="A30" s="547">
        <v>22000</v>
      </c>
      <c r="B30" s="548" t="s">
        <v>170</v>
      </c>
      <c r="C30" s="277">
        <v>2102.6523672508501</v>
      </c>
      <c r="D30" s="278">
        <f t="shared" si="10"/>
        <v>2.9947601606913128E-2</v>
      </c>
      <c r="E30" s="282">
        <v>15945</v>
      </c>
      <c r="F30" s="283">
        <v>35011</v>
      </c>
      <c r="G30" s="284">
        <f t="shared" si="9"/>
        <v>50956</v>
      </c>
      <c r="H30" s="278">
        <f t="shared" si="11"/>
        <v>3.8942419388366491E-2</v>
      </c>
      <c r="I30" s="277">
        <v>1844.2890384451134</v>
      </c>
      <c r="J30" s="278">
        <f t="shared" si="11"/>
        <v>4.9542767945608412E-2</v>
      </c>
      <c r="K30" s="229"/>
      <c r="L30" s="229"/>
      <c r="M30" s="277">
        <v>226.6</v>
      </c>
      <c r="N30" s="278">
        <f t="shared" si="12"/>
        <v>1.2191826827420869E-3</v>
      </c>
      <c r="O30" s="522"/>
      <c r="P30" s="229"/>
      <c r="Q30" s="279">
        <v>84</v>
      </c>
      <c r="R30" s="278">
        <f t="shared" si="13"/>
        <v>8.5063291139240507E-2</v>
      </c>
      <c r="S30" s="505"/>
      <c r="T30" s="505"/>
    </row>
    <row r="31" spans="1:20" ht="15" x14ac:dyDescent="0.25">
      <c r="A31" s="547">
        <v>23000</v>
      </c>
      <c r="B31" s="548" t="s">
        <v>171</v>
      </c>
      <c r="C31" s="277">
        <v>5758.8091283550357</v>
      </c>
      <c r="D31" s="278">
        <f t="shared" si="10"/>
        <v>8.2021414567792023E-2</v>
      </c>
      <c r="E31" s="282">
        <v>46361</v>
      </c>
      <c r="F31" s="283">
        <v>45827</v>
      </c>
      <c r="G31" s="284">
        <f t="shared" si="9"/>
        <v>92188</v>
      </c>
      <c r="H31" s="278">
        <f t="shared" si="11"/>
        <v>7.0453406047859532E-2</v>
      </c>
      <c r="I31" s="277">
        <v>2811.5782292839272</v>
      </c>
      <c r="J31" s="278">
        <f t="shared" si="11"/>
        <v>7.5526864212007633E-2</v>
      </c>
      <c r="K31" s="229"/>
      <c r="L31" s="229"/>
      <c r="M31" s="277">
        <v>31399.49</v>
      </c>
      <c r="N31" s="278">
        <f t="shared" si="12"/>
        <v>0.1689396048320094</v>
      </c>
      <c r="O31" s="522"/>
      <c r="P31" s="229"/>
      <c r="Q31" s="279">
        <v>73.5</v>
      </c>
      <c r="R31" s="278">
        <f t="shared" si="13"/>
        <v>7.4430379746835446E-2</v>
      </c>
      <c r="S31" s="505"/>
      <c r="T31" s="505"/>
    </row>
    <row r="32" spans="1:20" ht="15" x14ac:dyDescent="0.25">
      <c r="A32" s="547">
        <v>24000</v>
      </c>
      <c r="B32" s="548" t="s">
        <v>69</v>
      </c>
      <c r="C32" s="277">
        <v>2704.234351527291</v>
      </c>
      <c r="D32" s="278">
        <f t="shared" si="10"/>
        <v>3.851579760526657E-2</v>
      </c>
      <c r="E32" s="282">
        <v>32912</v>
      </c>
      <c r="F32" s="283">
        <v>33714</v>
      </c>
      <c r="G32" s="284">
        <f t="shared" si="9"/>
        <v>66626</v>
      </c>
      <c r="H32" s="278">
        <f t="shared" si="11"/>
        <v>5.0918000513566722E-2</v>
      </c>
      <c r="I32" s="277">
        <v>1442.3037634971638</v>
      </c>
      <c r="J32" s="278">
        <f t="shared" si="11"/>
        <v>3.8744317822471411E-2</v>
      </c>
      <c r="K32" s="229"/>
      <c r="L32" s="229"/>
      <c r="M32" s="277">
        <v>11303.009999999998</v>
      </c>
      <c r="N32" s="278">
        <f t="shared" si="12"/>
        <v>6.0813919041750368E-2</v>
      </c>
      <c r="O32" s="522"/>
      <c r="P32" s="229"/>
      <c r="Q32" s="279">
        <v>52.5</v>
      </c>
      <c r="R32" s="278">
        <f t="shared" si="13"/>
        <v>5.3164556962025315E-2</v>
      </c>
      <c r="S32" s="505"/>
      <c r="T32" s="505"/>
    </row>
    <row r="33" spans="1:20" ht="15" x14ac:dyDescent="0.25">
      <c r="A33" s="547">
        <v>25000</v>
      </c>
      <c r="B33" s="548" t="s">
        <v>172</v>
      </c>
      <c r="C33" s="277">
        <v>3313.4322776280324</v>
      </c>
      <c r="D33" s="278">
        <f t="shared" si="10"/>
        <v>4.7192465738704233E-2</v>
      </c>
      <c r="E33" s="282">
        <v>24670</v>
      </c>
      <c r="F33" s="283">
        <v>26450</v>
      </c>
      <c r="G33" s="284">
        <f t="shared" si="9"/>
        <v>51120</v>
      </c>
      <c r="H33" s="278">
        <f t="shared" si="11"/>
        <v>3.9067754123818493E-2</v>
      </c>
      <c r="I33" s="277">
        <v>2340.8687425222379</v>
      </c>
      <c r="J33" s="278">
        <f t="shared" si="11"/>
        <v>6.2882289318209161E-2</v>
      </c>
      <c r="K33" s="229"/>
      <c r="L33" s="229"/>
      <c r="M33" s="277">
        <v>2748.01</v>
      </c>
      <c r="N33" s="278">
        <f t="shared" si="12"/>
        <v>1.4785199488093922E-2</v>
      </c>
      <c r="O33" s="522"/>
      <c r="P33" s="229"/>
      <c r="Q33" s="279">
        <v>41</v>
      </c>
      <c r="R33" s="278">
        <f t="shared" si="13"/>
        <v>4.1518987341772152E-2</v>
      </c>
      <c r="S33" s="505"/>
      <c r="T33" s="505"/>
    </row>
    <row r="34" spans="1:20" ht="15" x14ac:dyDescent="0.25">
      <c r="A34" s="547">
        <v>27000</v>
      </c>
      <c r="B34" s="548" t="s">
        <v>70</v>
      </c>
      <c r="C34" s="277">
        <v>6329.3861251808976</v>
      </c>
      <c r="D34" s="278">
        <f t="shared" si="10"/>
        <v>9.0148013549701284E-2</v>
      </c>
      <c r="E34" s="282">
        <v>28771</v>
      </c>
      <c r="F34" s="283">
        <v>88132</v>
      </c>
      <c r="G34" s="284">
        <f t="shared" si="9"/>
        <v>116903</v>
      </c>
      <c r="H34" s="278">
        <f t="shared" si="11"/>
        <v>8.9341503527714264E-2</v>
      </c>
      <c r="I34" s="277">
        <v>3601.3100507271683</v>
      </c>
      <c r="J34" s="278">
        <f t="shared" si="11"/>
        <v>9.6741272340795922E-2</v>
      </c>
      <c r="K34" s="229"/>
      <c r="L34" s="229"/>
      <c r="M34" s="277">
        <v>3159.5</v>
      </c>
      <c r="N34" s="278">
        <f t="shared" si="12"/>
        <v>1.6999151306812108E-2</v>
      </c>
      <c r="O34" s="522"/>
      <c r="P34" s="229"/>
      <c r="Q34" s="279">
        <v>54.5</v>
      </c>
      <c r="R34" s="278">
        <f t="shared" si="13"/>
        <v>5.5189873417721518E-2</v>
      </c>
      <c r="S34" s="505"/>
      <c r="T34" s="505"/>
    </row>
    <row r="35" spans="1:20" ht="15" x14ac:dyDescent="0.25">
      <c r="A35" s="547">
        <v>28000</v>
      </c>
      <c r="B35" s="548" t="s">
        <v>174</v>
      </c>
      <c r="C35" s="277">
        <v>5460.8636605581323</v>
      </c>
      <c r="D35" s="278">
        <f t="shared" si="10"/>
        <v>7.7777844727555792E-2</v>
      </c>
      <c r="E35" s="282">
        <v>31498</v>
      </c>
      <c r="F35" s="283">
        <v>43757</v>
      </c>
      <c r="G35" s="284">
        <f t="shared" si="9"/>
        <v>75255</v>
      </c>
      <c r="H35" s="278">
        <f t="shared" si="11"/>
        <v>5.7512594612440543E-2</v>
      </c>
      <c r="I35" s="277">
        <v>2663.3023198846518</v>
      </c>
      <c r="J35" s="278">
        <f t="shared" si="11"/>
        <v>7.1543758083759082E-2</v>
      </c>
      <c r="K35" s="229"/>
      <c r="L35" s="229"/>
      <c r="M35" s="277">
        <v>29626.15</v>
      </c>
      <c r="N35" s="278">
        <f t="shared" si="12"/>
        <v>0.15939845117528456</v>
      </c>
      <c r="O35" s="522"/>
      <c r="P35" s="229"/>
      <c r="Q35" s="279">
        <v>86.5</v>
      </c>
      <c r="R35" s="278">
        <f t="shared" si="13"/>
        <v>8.759493670886076E-2</v>
      </c>
      <c r="S35" s="505"/>
      <c r="T35" s="505"/>
    </row>
    <row r="36" spans="1:20" ht="15" x14ac:dyDescent="0.25">
      <c r="A36" s="547">
        <v>31000</v>
      </c>
      <c r="B36" s="548" t="s">
        <v>71</v>
      </c>
      <c r="C36" s="277">
        <v>7696.3878478767056</v>
      </c>
      <c r="D36" s="278">
        <f t="shared" si="10"/>
        <v>0.10961790958429099</v>
      </c>
      <c r="E36" s="282">
        <v>110757</v>
      </c>
      <c r="F36" s="283">
        <v>131889</v>
      </c>
      <c r="G36" s="284">
        <f t="shared" si="9"/>
        <v>242646</v>
      </c>
      <c r="H36" s="278">
        <f t="shared" si="11"/>
        <v>0.18543885499076804</v>
      </c>
      <c r="I36" s="277">
        <v>2439.5157774539266</v>
      </c>
      <c r="J36" s="278">
        <f t="shared" si="11"/>
        <v>6.5532224907623782E-2</v>
      </c>
      <c r="K36" s="229"/>
      <c r="L36" s="229"/>
      <c r="M36" s="277">
        <v>241.25</v>
      </c>
      <c r="N36" s="278">
        <f t="shared" si="12"/>
        <v>1.2980045110835324E-3</v>
      </c>
      <c r="O36" s="522"/>
      <c r="P36" s="229"/>
      <c r="Q36" s="279">
        <v>47.5</v>
      </c>
      <c r="R36" s="278">
        <f t="shared" si="13"/>
        <v>4.810126582278481E-2</v>
      </c>
      <c r="S36" s="505"/>
      <c r="T36" s="505"/>
    </row>
    <row r="37" spans="1:20" ht="15" x14ac:dyDescent="0.25">
      <c r="A37" s="547">
        <v>41000</v>
      </c>
      <c r="B37" s="548" t="s">
        <v>175</v>
      </c>
      <c r="C37" s="277">
        <v>10943.90020517497</v>
      </c>
      <c r="D37" s="278">
        <f t="shared" si="10"/>
        <v>0.15587149282261478</v>
      </c>
      <c r="E37" s="282">
        <v>64652</v>
      </c>
      <c r="F37" s="283">
        <v>138627</v>
      </c>
      <c r="G37" s="284">
        <f t="shared" si="9"/>
        <v>203279</v>
      </c>
      <c r="H37" s="278">
        <f t="shared" si="11"/>
        <v>0.15535316882894559</v>
      </c>
      <c r="I37" s="277">
        <v>4773.6440156464796</v>
      </c>
      <c r="J37" s="278">
        <f t="shared" si="11"/>
        <v>0.12823344540479636</v>
      </c>
      <c r="K37" s="229"/>
      <c r="L37" s="229"/>
      <c r="M37" s="277">
        <v>1004.94</v>
      </c>
      <c r="N37" s="278">
        <f t="shared" si="12"/>
        <v>5.4069084077441876E-3</v>
      </c>
      <c r="O37" s="522"/>
      <c r="P37" s="229"/>
      <c r="Q37" s="279">
        <v>120.5</v>
      </c>
      <c r="R37" s="278">
        <f t="shared" si="13"/>
        <v>0.1220253164556962</v>
      </c>
      <c r="S37" s="505"/>
      <c r="T37" s="505"/>
    </row>
    <row r="38" spans="1:20" ht="15" x14ac:dyDescent="0.25">
      <c r="A38" s="549">
        <v>43000</v>
      </c>
      <c r="B38" s="550" t="s">
        <v>72</v>
      </c>
      <c r="C38" s="285">
        <v>5284.214201344721</v>
      </c>
      <c r="D38" s="286">
        <f t="shared" si="10"/>
        <v>7.5261866475041947E-2</v>
      </c>
      <c r="E38" s="289">
        <v>39294</v>
      </c>
      <c r="F38" s="290">
        <v>78555</v>
      </c>
      <c r="G38" s="291">
        <f t="shared" si="9"/>
        <v>117849</v>
      </c>
      <c r="H38" s="286">
        <f t="shared" si="11"/>
        <v>9.0064470965138602E-2</v>
      </c>
      <c r="I38" s="285">
        <v>3221.5630655623281</v>
      </c>
      <c r="J38" s="286">
        <f t="shared" si="11"/>
        <v>8.6540204952829672E-2</v>
      </c>
      <c r="K38" s="229"/>
      <c r="L38" s="229"/>
      <c r="M38" s="285">
        <v>7091.01</v>
      </c>
      <c r="N38" s="286">
        <f t="shared" si="12"/>
        <v>3.8151970852387314E-2</v>
      </c>
      <c r="O38" s="522"/>
      <c r="P38" s="229"/>
      <c r="Q38" s="287">
        <v>66</v>
      </c>
      <c r="R38" s="286">
        <f t="shared" si="13"/>
        <v>6.6835443037974687E-2</v>
      </c>
      <c r="S38" s="505"/>
      <c r="T38" s="505"/>
    </row>
    <row r="39" spans="1:20" ht="15" x14ac:dyDescent="0.25">
      <c r="A39" s="229"/>
      <c r="B39" s="229"/>
      <c r="C39" s="229"/>
      <c r="D39" s="229"/>
      <c r="E39" s="229"/>
      <c r="F39" s="229"/>
      <c r="G39" s="229"/>
      <c r="H39" s="229"/>
      <c r="I39" s="522"/>
      <c r="J39" s="229"/>
      <c r="K39" s="229"/>
      <c r="L39" s="229"/>
      <c r="M39" s="522"/>
      <c r="N39" s="229"/>
      <c r="O39" s="522"/>
      <c r="P39" s="229"/>
      <c r="Q39" s="229"/>
      <c r="R39" s="229"/>
      <c r="S39" s="265"/>
      <c r="T39" s="229"/>
    </row>
    <row r="40" spans="1:20" ht="15" x14ac:dyDescent="0.25">
      <c r="A40" s="519" t="s">
        <v>149</v>
      </c>
      <c r="B40" s="521" t="s">
        <v>166</v>
      </c>
      <c r="C40" s="518"/>
      <c r="D40" s="518"/>
      <c r="E40" s="545">
        <f>SUM(E41:E55)</f>
        <v>572029</v>
      </c>
      <c r="F40" s="551">
        <f>SUM(F41:F55)</f>
        <v>735693</v>
      </c>
      <c r="G40" s="266">
        <f>SUM(G41:G55)</f>
        <v>1307722</v>
      </c>
      <c r="H40" s="267">
        <f>SUM(H41:H55)</f>
        <v>1</v>
      </c>
      <c r="I40" s="518"/>
      <c r="J40" s="518"/>
      <c r="K40" s="266">
        <f>SUM(K41:K55)</f>
        <v>838748.60156053572</v>
      </c>
      <c r="L40" s="267">
        <f>SUM(L41:L55)</f>
        <v>1</v>
      </c>
      <c r="M40" s="294"/>
      <c r="N40" s="295"/>
      <c r="O40" s="266">
        <f>SUM(O41:O55)</f>
        <v>2698400.5465700002</v>
      </c>
      <c r="P40" s="267">
        <f>SUM(P41:P55)</f>
        <v>0.99999999999999978</v>
      </c>
      <c r="Q40" s="268">
        <f>SUM(Q41:Q55)</f>
        <v>846.5</v>
      </c>
      <c r="R40" s="270">
        <f>SUM(R41:R55)</f>
        <v>1</v>
      </c>
      <c r="S40" s="265"/>
      <c r="T40" s="229"/>
    </row>
    <row r="41" spans="1:20" ht="15" x14ac:dyDescent="0.25">
      <c r="A41" s="547">
        <v>12000</v>
      </c>
      <c r="B41" s="548" t="s">
        <v>62</v>
      </c>
      <c r="C41" s="518"/>
      <c r="D41" s="518"/>
      <c r="E41" s="282">
        <v>24218</v>
      </c>
      <c r="F41" s="283">
        <v>24327</v>
      </c>
      <c r="G41" s="284">
        <f t="shared" ref="G41:G55" si="14">+E41+F41</f>
        <v>48545</v>
      </c>
      <c r="H41" s="278">
        <f>+G41/G$40</f>
        <v>3.7121804175505188E-2</v>
      </c>
      <c r="I41" s="518"/>
      <c r="J41" s="518"/>
      <c r="K41" s="277">
        <v>77853.796111748001</v>
      </c>
      <c r="L41" s="278">
        <f>+K41/K$40</f>
        <v>9.2821372181005057E-2</v>
      </c>
      <c r="M41" s="294"/>
      <c r="N41" s="296"/>
      <c r="O41" s="277">
        <v>183538</v>
      </c>
      <c r="P41" s="278">
        <f>+O41/O$40</f>
        <v>6.8017329833889723E-2</v>
      </c>
      <c r="Q41" s="279">
        <v>151</v>
      </c>
      <c r="R41" s="278">
        <f>+Q41/Q$40</f>
        <v>0.17838157117542824</v>
      </c>
      <c r="S41" s="958"/>
      <c r="T41" s="229"/>
    </row>
    <row r="42" spans="1:20" ht="15" x14ac:dyDescent="0.25">
      <c r="A42" s="547">
        <v>13000</v>
      </c>
      <c r="B42" s="548" t="s">
        <v>168</v>
      </c>
      <c r="C42" s="518"/>
      <c r="D42" s="518"/>
      <c r="E42" s="282">
        <v>37153</v>
      </c>
      <c r="F42" s="283">
        <v>24705</v>
      </c>
      <c r="G42" s="284">
        <f t="shared" si="14"/>
        <v>61858</v>
      </c>
      <c r="H42" s="278">
        <f t="shared" ref="H42:H55" si="15">+G42/G$40</f>
        <v>4.7302102434615308E-2</v>
      </c>
      <c r="I42" s="518"/>
      <c r="J42" s="518"/>
      <c r="K42" s="277">
        <v>21589.1297822911</v>
      </c>
      <c r="L42" s="278">
        <f t="shared" ref="L42:L55" si="16">+K42/K$40</f>
        <v>2.5739690942105171E-2</v>
      </c>
      <c r="M42" s="294"/>
      <c r="N42" s="296"/>
      <c r="O42" s="277">
        <v>46484</v>
      </c>
      <c r="P42" s="278">
        <f t="shared" ref="P42:P55" si="17">+O42/O$40</f>
        <v>1.7226501106029975E-2</v>
      </c>
      <c r="Q42" s="279">
        <v>27</v>
      </c>
      <c r="R42" s="278">
        <f t="shared" ref="R42:R55" si="18">+Q42/Q$40</f>
        <v>3.1896042528056702E-2</v>
      </c>
      <c r="S42" s="958"/>
      <c r="T42" s="229"/>
    </row>
    <row r="43" spans="1:20" ht="15" x14ac:dyDescent="0.25">
      <c r="A43" s="547">
        <v>16000</v>
      </c>
      <c r="B43" s="548" t="s">
        <v>169</v>
      </c>
      <c r="C43" s="518"/>
      <c r="D43" s="518"/>
      <c r="E43" s="282">
        <v>4977</v>
      </c>
      <c r="F43" s="283">
        <v>16460</v>
      </c>
      <c r="G43" s="284">
        <f t="shared" si="14"/>
        <v>21437</v>
      </c>
      <c r="H43" s="278">
        <f t="shared" si="15"/>
        <v>1.6392627790921925E-2</v>
      </c>
      <c r="I43" s="518"/>
      <c r="J43" s="518"/>
      <c r="K43" s="277">
        <v>21986.762603080104</v>
      </c>
      <c r="L43" s="278">
        <f t="shared" si="16"/>
        <v>2.6213769611266809E-2</v>
      </c>
      <c r="M43" s="294"/>
      <c r="N43" s="296"/>
      <c r="O43" s="277">
        <v>102243.95</v>
      </c>
      <c r="P43" s="278">
        <f t="shared" si="17"/>
        <v>3.7890575633763739E-2</v>
      </c>
      <c r="Q43" s="279">
        <v>42.5</v>
      </c>
      <c r="R43" s="278">
        <f t="shared" si="18"/>
        <v>5.0206733608978142E-2</v>
      </c>
      <c r="S43" s="958"/>
      <c r="T43" s="229"/>
    </row>
    <row r="44" spans="1:20" ht="15" x14ac:dyDescent="0.25">
      <c r="A44" s="547">
        <v>17000</v>
      </c>
      <c r="B44" s="548" t="s">
        <v>65</v>
      </c>
      <c r="C44" s="518"/>
      <c r="D44" s="518"/>
      <c r="E44" s="282">
        <v>34472</v>
      </c>
      <c r="F44" s="283">
        <v>32467</v>
      </c>
      <c r="G44" s="284">
        <f t="shared" si="14"/>
        <v>66939</v>
      </c>
      <c r="H44" s="278">
        <f t="shared" si="15"/>
        <v>5.1187484801815675E-2</v>
      </c>
      <c r="I44" s="518"/>
      <c r="J44" s="518"/>
      <c r="K44" s="277">
        <v>36690.698397141401</v>
      </c>
      <c r="L44" s="278">
        <f t="shared" si="16"/>
        <v>4.3744571769033576E-2</v>
      </c>
      <c r="M44" s="294"/>
      <c r="N44" s="296"/>
      <c r="O44" s="277">
        <v>85207</v>
      </c>
      <c r="P44" s="278">
        <f t="shared" si="17"/>
        <v>3.1576853965697795E-2</v>
      </c>
      <c r="Q44" s="279">
        <v>62.5</v>
      </c>
      <c r="R44" s="278">
        <f t="shared" si="18"/>
        <v>7.3833431777909034E-2</v>
      </c>
      <c r="S44" s="958"/>
      <c r="T44" s="229"/>
    </row>
    <row r="45" spans="1:20" ht="15" x14ac:dyDescent="0.25">
      <c r="A45" s="547">
        <v>18000</v>
      </c>
      <c r="B45" s="548" t="s">
        <v>66</v>
      </c>
      <c r="C45" s="518"/>
      <c r="D45" s="518"/>
      <c r="E45" s="282">
        <v>37636</v>
      </c>
      <c r="F45" s="283">
        <v>34666</v>
      </c>
      <c r="G45" s="284">
        <f t="shared" si="14"/>
        <v>72302</v>
      </c>
      <c r="H45" s="278">
        <f t="shared" si="15"/>
        <v>5.5288509331494005E-2</v>
      </c>
      <c r="I45" s="518"/>
      <c r="J45" s="518"/>
      <c r="K45" s="277">
        <v>22072.710190863301</v>
      </c>
      <c r="L45" s="278">
        <f t="shared" si="16"/>
        <v>2.6316240825672754E-2</v>
      </c>
      <c r="M45" s="294"/>
      <c r="N45" s="296"/>
      <c r="O45" s="277">
        <v>23196</v>
      </c>
      <c r="P45" s="278">
        <f t="shared" si="17"/>
        <v>8.5962034174225828E-3</v>
      </c>
      <c r="Q45" s="279">
        <v>26</v>
      </c>
      <c r="R45" s="278">
        <f t="shared" si="18"/>
        <v>3.0714707619610159E-2</v>
      </c>
      <c r="S45" s="958"/>
      <c r="T45" s="229"/>
    </row>
    <row r="46" spans="1:20" ht="15" x14ac:dyDescent="0.25">
      <c r="A46" s="547">
        <v>19000</v>
      </c>
      <c r="B46" s="548" t="s">
        <v>67</v>
      </c>
      <c r="C46" s="518"/>
      <c r="D46" s="518"/>
      <c r="E46" s="282">
        <v>14022</v>
      </c>
      <c r="F46" s="283">
        <v>4426</v>
      </c>
      <c r="G46" s="284">
        <f t="shared" si="14"/>
        <v>18448</v>
      </c>
      <c r="H46" s="278">
        <f t="shared" si="15"/>
        <v>1.4106973806359455E-2</v>
      </c>
      <c r="I46" s="518"/>
      <c r="J46" s="518"/>
      <c r="K46" s="277">
        <v>22617.9412523104</v>
      </c>
      <c r="L46" s="278">
        <f t="shared" si="16"/>
        <v>2.6966293845651169E-2</v>
      </c>
      <c r="M46" s="294"/>
      <c r="N46" s="296"/>
      <c r="O46" s="277">
        <v>27988</v>
      </c>
      <c r="P46" s="278">
        <f t="shared" si="17"/>
        <v>1.037207023826622E-2</v>
      </c>
      <c r="Q46" s="279">
        <v>43.5</v>
      </c>
      <c r="R46" s="278">
        <f t="shared" si="18"/>
        <v>5.1388068517424688E-2</v>
      </c>
      <c r="S46" s="265"/>
      <c r="T46" s="229"/>
    </row>
    <row r="47" spans="1:20" ht="15" x14ac:dyDescent="0.25">
      <c r="A47" s="547">
        <v>22000</v>
      </c>
      <c r="B47" s="548" t="s">
        <v>170</v>
      </c>
      <c r="C47" s="518"/>
      <c r="D47" s="518"/>
      <c r="E47" s="282">
        <v>12657</v>
      </c>
      <c r="F47" s="283">
        <v>38059</v>
      </c>
      <c r="G47" s="284">
        <f t="shared" si="14"/>
        <v>50716</v>
      </c>
      <c r="H47" s="278">
        <f t="shared" si="15"/>
        <v>3.8781942951177699E-2</v>
      </c>
      <c r="I47" s="518"/>
      <c r="J47" s="518"/>
      <c r="K47" s="277">
        <v>107141.0981096</v>
      </c>
      <c r="L47" s="278">
        <f t="shared" si="16"/>
        <v>0.12773922711794497</v>
      </c>
      <c r="M47" s="294"/>
      <c r="N47" s="296"/>
      <c r="O47" s="277">
        <v>468550.33656999998</v>
      </c>
      <c r="P47" s="278">
        <f t="shared" si="17"/>
        <v>0.17364002433426173</v>
      </c>
      <c r="Q47" s="279">
        <v>72</v>
      </c>
      <c r="R47" s="278">
        <f t="shared" si="18"/>
        <v>8.505611340815121E-2</v>
      </c>
      <c r="S47" s="265"/>
      <c r="T47" s="229"/>
    </row>
    <row r="48" spans="1:20" ht="15" x14ac:dyDescent="0.25">
      <c r="A48" s="547">
        <v>23000</v>
      </c>
      <c r="B48" s="548" t="s">
        <v>171</v>
      </c>
      <c r="C48" s="518"/>
      <c r="D48" s="518"/>
      <c r="E48" s="282">
        <v>52281</v>
      </c>
      <c r="F48" s="283">
        <v>37891</v>
      </c>
      <c r="G48" s="284">
        <f t="shared" si="14"/>
        <v>90172</v>
      </c>
      <c r="H48" s="278">
        <f t="shared" si="15"/>
        <v>6.8953493173625591E-2</v>
      </c>
      <c r="I48" s="518"/>
      <c r="J48" s="518"/>
      <c r="K48" s="277">
        <v>94137.091971098387</v>
      </c>
      <c r="L48" s="278">
        <f t="shared" si="16"/>
        <v>0.11223517010454789</v>
      </c>
      <c r="M48" s="294"/>
      <c r="N48" s="296"/>
      <c r="O48" s="277">
        <v>356135</v>
      </c>
      <c r="P48" s="278">
        <f t="shared" si="17"/>
        <v>0.1319800355261162</v>
      </c>
      <c r="Q48" s="279">
        <v>76.5</v>
      </c>
      <c r="R48" s="278">
        <f t="shared" si="18"/>
        <v>9.0372120496160668E-2</v>
      </c>
      <c r="S48" s="265"/>
      <c r="T48" s="229"/>
    </row>
    <row r="49" spans="1:20" ht="15" x14ac:dyDescent="0.25">
      <c r="A49" s="547">
        <v>24000</v>
      </c>
      <c r="B49" s="548" t="s">
        <v>69</v>
      </c>
      <c r="C49" s="518"/>
      <c r="D49" s="518"/>
      <c r="E49" s="282">
        <v>34487</v>
      </c>
      <c r="F49" s="283">
        <v>28558</v>
      </c>
      <c r="G49" s="284">
        <f t="shared" si="14"/>
        <v>63045</v>
      </c>
      <c r="H49" s="278">
        <f t="shared" si="15"/>
        <v>4.8209787707173241E-2</v>
      </c>
      <c r="I49" s="518"/>
      <c r="J49" s="518"/>
      <c r="K49" s="277">
        <v>46557.583513830199</v>
      </c>
      <c r="L49" s="278">
        <f t="shared" si="16"/>
        <v>5.5508388839286736E-2</v>
      </c>
      <c r="M49" s="294"/>
      <c r="N49" s="296"/>
      <c r="O49" s="277">
        <v>149220</v>
      </c>
      <c r="P49" s="278">
        <f t="shared" si="17"/>
        <v>5.5299425502146823E-2</v>
      </c>
      <c r="Q49" s="279">
        <v>48.5</v>
      </c>
      <c r="R49" s="278">
        <f t="shared" si="18"/>
        <v>5.7294743059657413E-2</v>
      </c>
      <c r="S49" s="265"/>
      <c r="T49" s="229"/>
    </row>
    <row r="50" spans="1:20" ht="15" x14ac:dyDescent="0.25">
      <c r="A50" s="547">
        <v>25000</v>
      </c>
      <c r="B50" s="548" t="s">
        <v>172</v>
      </c>
      <c r="C50" s="518"/>
      <c r="D50" s="518"/>
      <c r="E50" s="282">
        <v>31278</v>
      </c>
      <c r="F50" s="283">
        <v>28776</v>
      </c>
      <c r="G50" s="284">
        <f t="shared" si="14"/>
        <v>60054</v>
      </c>
      <c r="H50" s="278">
        <f t="shared" si="15"/>
        <v>4.5922604345571917E-2</v>
      </c>
      <c r="I50" s="518"/>
      <c r="J50" s="518"/>
      <c r="K50" s="277">
        <v>67688.543675000197</v>
      </c>
      <c r="L50" s="278">
        <f t="shared" si="16"/>
        <v>8.0701825969142743E-2</v>
      </c>
      <c r="M50" s="294"/>
      <c r="N50" s="296"/>
      <c r="O50" s="277">
        <v>156122.26</v>
      </c>
      <c r="P50" s="278">
        <f t="shared" si="17"/>
        <v>5.7857333374191112E-2</v>
      </c>
      <c r="Q50" s="279">
        <v>28.5</v>
      </c>
      <c r="R50" s="278">
        <f t="shared" si="18"/>
        <v>3.3668044890726521E-2</v>
      </c>
      <c r="S50" s="265"/>
      <c r="T50" s="229"/>
    </row>
    <row r="51" spans="1:20" ht="15" x14ac:dyDescent="0.25">
      <c r="A51" s="547">
        <v>27000</v>
      </c>
      <c r="B51" s="548" t="s">
        <v>70</v>
      </c>
      <c r="C51" s="518"/>
      <c r="D51" s="518"/>
      <c r="E51" s="282">
        <v>39931</v>
      </c>
      <c r="F51" s="283">
        <v>96729</v>
      </c>
      <c r="G51" s="284">
        <f t="shared" si="14"/>
        <v>136660</v>
      </c>
      <c r="H51" s="278">
        <f t="shared" si="15"/>
        <v>0.10450233306467277</v>
      </c>
      <c r="I51" s="518"/>
      <c r="J51" s="518"/>
      <c r="K51" s="277">
        <v>98922.844604601793</v>
      </c>
      <c r="L51" s="278">
        <f t="shared" si="16"/>
        <v>0.11794099497817422</v>
      </c>
      <c r="M51" s="294"/>
      <c r="N51" s="296"/>
      <c r="O51" s="277">
        <v>443998</v>
      </c>
      <c r="P51" s="278">
        <f t="shared" si="17"/>
        <v>0.16454117627732331</v>
      </c>
      <c r="Q51" s="279">
        <v>50</v>
      </c>
      <c r="R51" s="278">
        <f t="shared" si="18"/>
        <v>5.9066745422327233E-2</v>
      </c>
      <c r="S51" s="265"/>
      <c r="T51" s="229"/>
    </row>
    <row r="52" spans="1:20" ht="15" x14ac:dyDescent="0.25">
      <c r="A52" s="547">
        <v>28000</v>
      </c>
      <c r="B52" s="548" t="s">
        <v>174</v>
      </c>
      <c r="C52" s="518"/>
      <c r="D52" s="518"/>
      <c r="E52" s="282">
        <v>27786</v>
      </c>
      <c r="F52" s="283">
        <v>41032</v>
      </c>
      <c r="G52" s="284">
        <f t="shared" si="14"/>
        <v>68818</v>
      </c>
      <c r="H52" s="278">
        <f t="shared" si="15"/>
        <v>5.2624334529815971E-2</v>
      </c>
      <c r="I52" s="518"/>
      <c r="J52" s="518"/>
      <c r="K52" s="277">
        <v>43857.747810478999</v>
      </c>
      <c r="L52" s="278">
        <f t="shared" si="16"/>
        <v>5.2289503349250727E-2</v>
      </c>
      <c r="M52" s="294"/>
      <c r="N52" s="296"/>
      <c r="O52" s="277">
        <v>77707</v>
      </c>
      <c r="P52" s="278">
        <f t="shared" si="17"/>
        <v>2.8797429684327323E-2</v>
      </c>
      <c r="Q52" s="279">
        <v>90.5</v>
      </c>
      <c r="R52" s="278">
        <f t="shared" si="18"/>
        <v>0.10691080921441229</v>
      </c>
      <c r="S52" s="265"/>
      <c r="T52" s="229"/>
    </row>
    <row r="53" spans="1:20" ht="15" x14ac:dyDescent="0.25">
      <c r="A53" s="547">
        <v>31000</v>
      </c>
      <c r="B53" s="548" t="s">
        <v>71</v>
      </c>
      <c r="C53" s="518"/>
      <c r="D53" s="518"/>
      <c r="E53" s="282">
        <v>116641</v>
      </c>
      <c r="F53" s="283">
        <v>118142</v>
      </c>
      <c r="G53" s="284">
        <f t="shared" si="14"/>
        <v>234783</v>
      </c>
      <c r="H53" s="278">
        <f t="shared" si="15"/>
        <v>0.17953586465624957</v>
      </c>
      <c r="I53" s="518"/>
      <c r="J53" s="518"/>
      <c r="K53" s="277">
        <v>25442.815892426999</v>
      </c>
      <c r="L53" s="278">
        <f t="shared" si="16"/>
        <v>3.033425730318871E-2</v>
      </c>
      <c r="M53" s="294"/>
      <c r="N53" s="296"/>
      <c r="O53" s="277">
        <v>131340</v>
      </c>
      <c r="P53" s="278">
        <f t="shared" si="17"/>
        <v>4.8673278015359631E-2</v>
      </c>
      <c r="Q53" s="279">
        <v>31</v>
      </c>
      <c r="R53" s="278">
        <f t="shared" si="18"/>
        <v>3.662138216184288E-2</v>
      </c>
      <c r="S53" s="265"/>
      <c r="T53" s="229"/>
    </row>
    <row r="54" spans="1:20" ht="15" x14ac:dyDescent="0.25">
      <c r="A54" s="547">
        <v>41000</v>
      </c>
      <c r="B54" s="548" t="s">
        <v>175</v>
      </c>
      <c r="C54" s="518"/>
      <c r="D54" s="518"/>
      <c r="E54" s="282">
        <v>65095</v>
      </c>
      <c r="F54" s="283">
        <v>150594</v>
      </c>
      <c r="G54" s="284">
        <f t="shared" si="14"/>
        <v>215689</v>
      </c>
      <c r="H54" s="278">
        <f t="shared" si="15"/>
        <v>0.16493490206634132</v>
      </c>
      <c r="I54" s="518"/>
      <c r="J54" s="518"/>
      <c r="K54" s="277">
        <v>87782.824256068197</v>
      </c>
      <c r="L54" s="278">
        <f t="shared" si="16"/>
        <v>0.10465927942263469</v>
      </c>
      <c r="M54" s="294"/>
      <c r="N54" s="296"/>
      <c r="O54" s="277">
        <v>254232</v>
      </c>
      <c r="P54" s="278">
        <f t="shared" si="17"/>
        <v>9.4215812520183559E-2</v>
      </c>
      <c r="Q54" s="279">
        <v>38</v>
      </c>
      <c r="R54" s="278">
        <f t="shared" si="18"/>
        <v>4.4890726520968698E-2</v>
      </c>
      <c r="S54" s="265"/>
      <c r="T54" s="229"/>
    </row>
    <row r="55" spans="1:20" ht="15" x14ac:dyDescent="0.25">
      <c r="A55" s="549">
        <v>43000</v>
      </c>
      <c r="B55" s="550" t="s">
        <v>72</v>
      </c>
      <c r="C55" s="518"/>
      <c r="D55" s="518"/>
      <c r="E55" s="289">
        <v>39395</v>
      </c>
      <c r="F55" s="290">
        <v>58861</v>
      </c>
      <c r="G55" s="291">
        <f t="shared" si="14"/>
        <v>98256</v>
      </c>
      <c r="H55" s="286">
        <f t="shared" si="15"/>
        <v>7.5135235164660377E-2</v>
      </c>
      <c r="I55" s="518"/>
      <c r="J55" s="518"/>
      <c r="K55" s="285">
        <v>64407.013389996595</v>
      </c>
      <c r="L55" s="286">
        <f t="shared" si="16"/>
        <v>7.6789413741094742E-2</v>
      </c>
      <c r="M55" s="294"/>
      <c r="N55" s="296"/>
      <c r="O55" s="285">
        <v>192439</v>
      </c>
      <c r="P55" s="286">
        <f t="shared" si="17"/>
        <v>7.1315950571020192E-2</v>
      </c>
      <c r="Q55" s="287">
        <v>59</v>
      </c>
      <c r="R55" s="286">
        <f t="shared" si="18"/>
        <v>6.9698759598346136E-2</v>
      </c>
      <c r="S55" s="265"/>
      <c r="T55" s="229"/>
    </row>
    <row r="56" spans="1:20" ht="15" x14ac:dyDescent="0.25">
      <c r="A56" s="229"/>
      <c r="B56" s="292"/>
      <c r="C56" s="229"/>
      <c r="D56" s="229"/>
      <c r="E56" s="229"/>
      <c r="F56" s="229"/>
      <c r="G56" s="229"/>
      <c r="H56" s="229"/>
      <c r="I56" s="522"/>
      <c r="J56" s="229"/>
      <c r="K56" s="229"/>
      <c r="L56" s="229"/>
      <c r="M56" s="522"/>
      <c r="N56" s="229"/>
      <c r="O56" s="522"/>
      <c r="P56" s="229"/>
      <c r="Q56" s="229"/>
      <c r="R56" s="292"/>
      <c r="S56" s="265"/>
      <c r="T56" s="229"/>
    </row>
    <row r="57" spans="1:20" ht="15" x14ac:dyDescent="0.25">
      <c r="A57" s="519" t="s">
        <v>148</v>
      </c>
      <c r="B57" s="293" t="s">
        <v>166</v>
      </c>
      <c r="C57" s="229"/>
      <c r="D57" s="229"/>
      <c r="E57" s="545">
        <f t="shared" ref="E57:H57" si="19">SUM(E58:E72)</f>
        <v>596494</v>
      </c>
      <c r="F57" s="546">
        <f t="shared" si="19"/>
        <v>636396</v>
      </c>
      <c r="G57" s="532">
        <f t="shared" si="19"/>
        <v>1232890</v>
      </c>
      <c r="H57" s="267">
        <f t="shared" si="19"/>
        <v>1</v>
      </c>
      <c r="I57" s="294"/>
      <c r="J57" s="295"/>
      <c r="K57" s="772"/>
      <c r="L57" s="772"/>
      <c r="M57" s="294"/>
      <c r="N57" s="295"/>
      <c r="O57" s="266">
        <f>SUM(O58:O72)</f>
        <v>2579795.9988599997</v>
      </c>
      <c r="P57" s="267">
        <f>SUM(P58:P72)</f>
        <v>1.0000000000000002</v>
      </c>
      <c r="Q57" s="269">
        <f>SUM(Q58:Q72)</f>
        <v>809</v>
      </c>
      <c r="R57" s="270">
        <f>SUM(R58:R72)</f>
        <v>0.99999999999999989</v>
      </c>
      <c r="S57" s="507"/>
      <c r="T57" s="229"/>
    </row>
    <row r="58" spans="1:20" x14ac:dyDescent="0.2">
      <c r="A58" s="547">
        <v>12000</v>
      </c>
      <c r="B58" s="297" t="s">
        <v>62</v>
      </c>
      <c r="C58" s="229"/>
      <c r="D58" s="229"/>
      <c r="E58" s="282">
        <v>27104</v>
      </c>
      <c r="F58" s="552">
        <v>22707</v>
      </c>
      <c r="G58" s="277">
        <f t="shared" ref="G58:G72" si="20">+E58+F58</f>
        <v>49811</v>
      </c>
      <c r="H58" s="278">
        <f>+G58/G$57</f>
        <v>4.0401820113716555E-2</v>
      </c>
      <c r="I58" s="294"/>
      <c r="J58" s="296"/>
      <c r="K58" s="772"/>
      <c r="L58" s="772"/>
      <c r="M58" s="294"/>
      <c r="N58" s="296"/>
      <c r="O58" s="277">
        <v>198452.46</v>
      </c>
      <c r="P58" s="278">
        <f>+O58/O$57</f>
        <v>7.6925640666043071E-2</v>
      </c>
      <c r="Q58" s="279">
        <v>141</v>
      </c>
      <c r="R58" s="278">
        <f>+Q58/Q$57</f>
        <v>0.17428924598269468</v>
      </c>
      <c r="S58" s="265"/>
      <c r="T58" s="229"/>
    </row>
    <row r="59" spans="1:20" x14ac:dyDescent="0.2">
      <c r="A59" s="547">
        <v>13000</v>
      </c>
      <c r="B59" s="297" t="s">
        <v>168</v>
      </c>
      <c r="C59" s="229"/>
      <c r="D59" s="229"/>
      <c r="E59" s="282">
        <v>39411</v>
      </c>
      <c r="F59" s="552">
        <v>19936</v>
      </c>
      <c r="G59" s="277">
        <f t="shared" si="20"/>
        <v>59347</v>
      </c>
      <c r="H59" s="278">
        <f t="shared" ref="H59:H72" si="21">+G59/G$57</f>
        <v>4.8136492306694027E-2</v>
      </c>
      <c r="I59" s="294"/>
      <c r="J59" s="296"/>
      <c r="K59" s="772"/>
      <c r="L59" s="772"/>
      <c r="M59" s="294"/>
      <c r="N59" s="296"/>
      <c r="O59" s="277">
        <v>47711</v>
      </c>
      <c r="P59" s="278">
        <f t="shared" ref="P59:P72" si="22">+O59/O$57</f>
        <v>1.8494097991113748E-2</v>
      </c>
      <c r="Q59" s="279">
        <v>24</v>
      </c>
      <c r="R59" s="278">
        <f t="shared" ref="R59:R72" si="23">+Q59/Q$57</f>
        <v>2.9666254635352288E-2</v>
      </c>
      <c r="S59" s="265"/>
      <c r="T59" s="229"/>
    </row>
    <row r="60" spans="1:20" x14ac:dyDescent="0.2">
      <c r="A60" s="547">
        <v>16000</v>
      </c>
      <c r="B60" s="297" t="s">
        <v>169</v>
      </c>
      <c r="C60" s="229"/>
      <c r="D60" s="229"/>
      <c r="E60" s="282">
        <v>4864</v>
      </c>
      <c r="F60" s="552">
        <v>17902</v>
      </c>
      <c r="G60" s="277">
        <f t="shared" si="20"/>
        <v>22766</v>
      </c>
      <c r="H60" s="278">
        <f t="shared" si="21"/>
        <v>1.8465556537890646E-2</v>
      </c>
      <c r="I60" s="294"/>
      <c r="J60" s="296"/>
      <c r="K60" s="772"/>
      <c r="L60" s="772"/>
      <c r="M60" s="294"/>
      <c r="N60" s="296"/>
      <c r="O60" s="277">
        <v>96676.760000000009</v>
      </c>
      <c r="P60" s="278">
        <f t="shared" si="22"/>
        <v>3.7474575525631111E-2</v>
      </c>
      <c r="Q60" s="279">
        <v>39</v>
      </c>
      <c r="R60" s="278">
        <f t="shared" si="23"/>
        <v>4.8207663782447466E-2</v>
      </c>
      <c r="S60" s="265"/>
      <c r="T60" s="229"/>
    </row>
    <row r="61" spans="1:20" x14ac:dyDescent="0.2">
      <c r="A61" s="547">
        <v>17000</v>
      </c>
      <c r="B61" s="297" t="s">
        <v>65</v>
      </c>
      <c r="C61" s="229"/>
      <c r="D61" s="229"/>
      <c r="E61" s="282">
        <v>29940</v>
      </c>
      <c r="F61" s="552">
        <v>25794</v>
      </c>
      <c r="G61" s="277">
        <f t="shared" si="20"/>
        <v>55734</v>
      </c>
      <c r="H61" s="278">
        <f t="shared" si="21"/>
        <v>4.5205979446665961E-2</v>
      </c>
      <c r="I61" s="294"/>
      <c r="J61" s="296"/>
      <c r="K61" s="772"/>
      <c r="L61" s="772"/>
      <c r="M61" s="294"/>
      <c r="N61" s="296"/>
      <c r="O61" s="277">
        <v>97409.331260000006</v>
      </c>
      <c r="P61" s="278">
        <f t="shared" si="22"/>
        <v>3.775854032762465E-2</v>
      </c>
      <c r="Q61" s="279">
        <v>61</v>
      </c>
      <c r="R61" s="278">
        <f t="shared" si="23"/>
        <v>7.5401730531520397E-2</v>
      </c>
      <c r="S61" s="265"/>
      <c r="T61" s="229"/>
    </row>
    <row r="62" spans="1:20" x14ac:dyDescent="0.2">
      <c r="A62" s="547">
        <v>18000</v>
      </c>
      <c r="B62" s="297" t="s">
        <v>66</v>
      </c>
      <c r="C62" s="229"/>
      <c r="D62" s="229"/>
      <c r="E62" s="282">
        <v>39075</v>
      </c>
      <c r="F62" s="552">
        <v>23440</v>
      </c>
      <c r="G62" s="277">
        <f t="shared" si="20"/>
        <v>62515</v>
      </c>
      <c r="H62" s="278">
        <f t="shared" si="21"/>
        <v>5.0706064612414732E-2</v>
      </c>
      <c r="I62" s="294"/>
      <c r="J62" s="296"/>
      <c r="K62" s="772"/>
      <c r="L62" s="772"/>
      <c r="M62" s="294"/>
      <c r="N62" s="296"/>
      <c r="O62" s="277">
        <v>21789</v>
      </c>
      <c r="P62" s="278">
        <f t="shared" si="22"/>
        <v>8.4460166655148158E-3</v>
      </c>
      <c r="Q62" s="279">
        <v>25.5</v>
      </c>
      <c r="R62" s="278">
        <f t="shared" si="23"/>
        <v>3.1520395550061801E-2</v>
      </c>
      <c r="S62" s="265"/>
      <c r="T62" s="229"/>
    </row>
    <row r="63" spans="1:20" x14ac:dyDescent="0.2">
      <c r="A63" s="547">
        <v>19000</v>
      </c>
      <c r="B63" s="297" t="s">
        <v>67</v>
      </c>
      <c r="C63" s="229"/>
      <c r="D63" s="229"/>
      <c r="E63" s="282">
        <v>18183</v>
      </c>
      <c r="F63" s="552">
        <v>4691</v>
      </c>
      <c r="G63" s="277">
        <f t="shared" si="20"/>
        <v>22874</v>
      </c>
      <c r="H63" s="278">
        <f t="shared" si="21"/>
        <v>1.8553155593767488E-2</v>
      </c>
      <c r="I63" s="294"/>
      <c r="J63" s="296"/>
      <c r="K63" s="772"/>
      <c r="L63" s="772"/>
      <c r="M63" s="294"/>
      <c r="N63" s="296"/>
      <c r="O63" s="277">
        <v>23307</v>
      </c>
      <c r="P63" s="278">
        <f t="shared" si="22"/>
        <v>9.034435284921467E-3</v>
      </c>
      <c r="Q63" s="279">
        <v>41</v>
      </c>
      <c r="R63" s="278">
        <f t="shared" si="23"/>
        <v>5.0679851668726822E-2</v>
      </c>
      <c r="S63" s="265"/>
      <c r="T63" s="229"/>
    </row>
    <row r="64" spans="1:20" x14ac:dyDescent="0.2">
      <c r="A64" s="547">
        <v>22000</v>
      </c>
      <c r="B64" s="297" t="s">
        <v>170</v>
      </c>
      <c r="C64" s="229"/>
      <c r="D64" s="229"/>
      <c r="E64" s="282">
        <v>12165</v>
      </c>
      <c r="F64" s="552">
        <v>30112</v>
      </c>
      <c r="G64" s="277">
        <f t="shared" si="20"/>
        <v>42277</v>
      </c>
      <c r="H64" s="278">
        <f t="shared" si="21"/>
        <v>3.4290974863937576E-2</v>
      </c>
      <c r="I64" s="294"/>
      <c r="J64" s="296"/>
      <c r="K64" s="772"/>
      <c r="L64" s="772"/>
      <c r="M64" s="294"/>
      <c r="N64" s="296"/>
      <c r="O64" s="277">
        <v>472991.24059999996</v>
      </c>
      <c r="P64" s="278">
        <f t="shared" si="22"/>
        <v>0.18334443529992786</v>
      </c>
      <c r="Q64" s="279">
        <v>62.5</v>
      </c>
      <c r="R64" s="278">
        <f t="shared" si="23"/>
        <v>7.7255871446229918E-2</v>
      </c>
      <c r="S64" s="265"/>
      <c r="T64" s="229"/>
    </row>
    <row r="65" spans="1:20" x14ac:dyDescent="0.2">
      <c r="A65" s="547">
        <v>23000</v>
      </c>
      <c r="B65" s="297" t="s">
        <v>171</v>
      </c>
      <c r="C65" s="229"/>
      <c r="D65" s="229"/>
      <c r="E65" s="282">
        <v>57203</v>
      </c>
      <c r="F65" s="552">
        <v>39684</v>
      </c>
      <c r="G65" s="277">
        <f t="shared" si="20"/>
        <v>96887</v>
      </c>
      <c r="H65" s="278">
        <f t="shared" si="21"/>
        <v>7.8585275247589001E-2</v>
      </c>
      <c r="I65" s="294"/>
      <c r="J65" s="296"/>
      <c r="K65" s="772"/>
      <c r="L65" s="772"/>
      <c r="M65" s="294"/>
      <c r="N65" s="296"/>
      <c r="O65" s="277">
        <v>355051</v>
      </c>
      <c r="P65" s="278">
        <f t="shared" si="22"/>
        <v>0.13762754890576442</v>
      </c>
      <c r="Q65" s="279">
        <v>66.5</v>
      </c>
      <c r="R65" s="278">
        <f t="shared" si="23"/>
        <v>8.220024721878863E-2</v>
      </c>
      <c r="S65" s="265"/>
      <c r="T65" s="229"/>
    </row>
    <row r="66" spans="1:20" x14ac:dyDescent="0.2">
      <c r="A66" s="547">
        <v>24000</v>
      </c>
      <c r="B66" s="297" t="s">
        <v>69</v>
      </c>
      <c r="C66" s="229"/>
      <c r="D66" s="229"/>
      <c r="E66" s="282">
        <v>35057</v>
      </c>
      <c r="F66" s="552">
        <v>24900</v>
      </c>
      <c r="G66" s="277">
        <f t="shared" si="20"/>
        <v>59957</v>
      </c>
      <c r="H66" s="278">
        <f t="shared" si="21"/>
        <v>4.8631264751924343E-2</v>
      </c>
      <c r="I66" s="294"/>
      <c r="J66" s="296"/>
      <c r="K66" s="772"/>
      <c r="L66" s="772"/>
      <c r="M66" s="294"/>
      <c r="N66" s="296"/>
      <c r="O66" s="277">
        <v>145804.20699999999</v>
      </c>
      <c r="P66" s="278">
        <f t="shared" si="22"/>
        <v>5.6517727395666253E-2</v>
      </c>
      <c r="Q66" s="279">
        <v>50</v>
      </c>
      <c r="R66" s="278">
        <f t="shared" si="23"/>
        <v>6.1804697156983932E-2</v>
      </c>
      <c r="S66" s="265"/>
      <c r="T66" s="229"/>
    </row>
    <row r="67" spans="1:20" x14ac:dyDescent="0.2">
      <c r="A67" s="547">
        <v>25000</v>
      </c>
      <c r="B67" s="297" t="s">
        <v>172</v>
      </c>
      <c r="C67" s="229"/>
      <c r="D67" s="229"/>
      <c r="E67" s="282">
        <v>28894</v>
      </c>
      <c r="F67" s="552">
        <v>29517</v>
      </c>
      <c r="G67" s="277">
        <f t="shared" si="20"/>
        <v>58411</v>
      </c>
      <c r="H67" s="278">
        <f t="shared" si="21"/>
        <v>4.7377300489094727E-2</v>
      </c>
      <c r="I67" s="294"/>
      <c r="J67" s="296"/>
      <c r="K67" s="772"/>
      <c r="L67" s="772"/>
      <c r="M67" s="294"/>
      <c r="N67" s="296"/>
      <c r="O67" s="277">
        <v>117489</v>
      </c>
      <c r="P67" s="278">
        <f t="shared" si="22"/>
        <v>4.5541973106368823E-2</v>
      </c>
      <c r="Q67" s="279">
        <v>26.5</v>
      </c>
      <c r="R67" s="278">
        <f t="shared" si="23"/>
        <v>3.2756489493201486E-2</v>
      </c>
      <c r="S67" s="265"/>
      <c r="T67" s="229"/>
    </row>
    <row r="68" spans="1:20" x14ac:dyDescent="0.2">
      <c r="A68" s="547">
        <v>27000</v>
      </c>
      <c r="B68" s="297" t="s">
        <v>70</v>
      </c>
      <c r="C68" s="229"/>
      <c r="D68" s="229"/>
      <c r="E68" s="282">
        <v>38647</v>
      </c>
      <c r="F68" s="552">
        <v>80649</v>
      </c>
      <c r="G68" s="277">
        <f t="shared" si="20"/>
        <v>119296</v>
      </c>
      <c r="H68" s="278">
        <f t="shared" si="21"/>
        <v>9.6761268239664522E-2</v>
      </c>
      <c r="I68" s="294"/>
      <c r="J68" s="296"/>
      <c r="K68" s="772"/>
      <c r="L68" s="772"/>
      <c r="M68" s="294"/>
      <c r="N68" s="296"/>
      <c r="O68" s="277">
        <v>388330</v>
      </c>
      <c r="P68" s="278">
        <f t="shared" si="22"/>
        <v>0.15052740610947582</v>
      </c>
      <c r="Q68" s="279">
        <v>66.5</v>
      </c>
      <c r="R68" s="278">
        <f t="shared" si="23"/>
        <v>8.220024721878863E-2</v>
      </c>
      <c r="S68" s="265"/>
      <c r="T68" s="229"/>
    </row>
    <row r="69" spans="1:20" x14ac:dyDescent="0.2">
      <c r="A69" s="547">
        <v>28000</v>
      </c>
      <c r="B69" s="297" t="s">
        <v>174</v>
      </c>
      <c r="C69" s="229"/>
      <c r="D69" s="229"/>
      <c r="E69" s="282">
        <v>33521</v>
      </c>
      <c r="F69" s="552">
        <v>29833</v>
      </c>
      <c r="G69" s="277">
        <f t="shared" si="20"/>
        <v>63354</v>
      </c>
      <c r="H69" s="278">
        <f t="shared" si="21"/>
        <v>5.1386579500198717E-2</v>
      </c>
      <c r="I69" s="294"/>
      <c r="J69" s="296"/>
      <c r="K69" s="772"/>
      <c r="L69" s="772"/>
      <c r="M69" s="294"/>
      <c r="N69" s="296"/>
      <c r="O69" s="277">
        <v>73496</v>
      </c>
      <c r="P69" s="278">
        <f t="shared" si="22"/>
        <v>2.848907434249745E-2</v>
      </c>
      <c r="Q69" s="279">
        <v>83</v>
      </c>
      <c r="R69" s="278">
        <f t="shared" si="23"/>
        <v>0.10259579728059333</v>
      </c>
      <c r="S69" s="265"/>
      <c r="T69" s="229"/>
    </row>
    <row r="70" spans="1:20" x14ac:dyDescent="0.2">
      <c r="A70" s="547">
        <v>31000</v>
      </c>
      <c r="B70" s="297" t="s">
        <v>71</v>
      </c>
      <c r="C70" s="229"/>
      <c r="D70" s="229"/>
      <c r="E70" s="282">
        <v>115707</v>
      </c>
      <c r="F70" s="552">
        <v>105472</v>
      </c>
      <c r="G70" s="277">
        <f t="shared" si="20"/>
        <v>221179</v>
      </c>
      <c r="H70" s="278">
        <f t="shared" si="21"/>
        <v>0.1793988109239267</v>
      </c>
      <c r="I70" s="294"/>
      <c r="J70" s="296"/>
      <c r="K70" s="772"/>
      <c r="L70" s="772"/>
      <c r="M70" s="294"/>
      <c r="N70" s="296"/>
      <c r="O70" s="277">
        <v>132477</v>
      </c>
      <c r="P70" s="278">
        <f t="shared" si="22"/>
        <v>5.1351734811024202E-2</v>
      </c>
      <c r="Q70" s="279">
        <v>30</v>
      </c>
      <c r="R70" s="278">
        <f t="shared" si="23"/>
        <v>3.7082818294190356E-2</v>
      </c>
      <c r="S70" s="265"/>
      <c r="T70" s="229"/>
    </row>
    <row r="71" spans="1:20" x14ac:dyDescent="0.2">
      <c r="A71" s="547">
        <v>41000</v>
      </c>
      <c r="B71" s="297" t="s">
        <v>175</v>
      </c>
      <c r="C71" s="229"/>
      <c r="D71" s="229"/>
      <c r="E71" s="282">
        <v>71092</v>
      </c>
      <c r="F71" s="552">
        <v>122681</v>
      </c>
      <c r="G71" s="277">
        <f t="shared" si="20"/>
        <v>193773</v>
      </c>
      <c r="H71" s="278">
        <f t="shared" si="21"/>
        <v>0.15716973939280876</v>
      </c>
      <c r="I71" s="294"/>
      <c r="J71" s="296"/>
      <c r="K71" s="772"/>
      <c r="L71" s="772"/>
      <c r="M71" s="294"/>
      <c r="N71" s="296"/>
      <c r="O71" s="277">
        <v>244829</v>
      </c>
      <c r="P71" s="278">
        <f t="shared" si="22"/>
        <v>9.4902465198096614E-2</v>
      </c>
      <c r="Q71" s="279">
        <v>30.5</v>
      </c>
      <c r="R71" s="278">
        <f t="shared" si="23"/>
        <v>3.7700865265760199E-2</v>
      </c>
      <c r="S71" s="265"/>
      <c r="T71" s="229"/>
    </row>
    <row r="72" spans="1:20" x14ac:dyDescent="0.2">
      <c r="A72" s="549">
        <v>43000</v>
      </c>
      <c r="B72" s="298" t="s">
        <v>72</v>
      </c>
      <c r="C72" s="229"/>
      <c r="D72" s="229"/>
      <c r="E72" s="289">
        <v>45631</v>
      </c>
      <c r="F72" s="553">
        <v>59078</v>
      </c>
      <c r="G72" s="285">
        <f t="shared" si="20"/>
        <v>104709</v>
      </c>
      <c r="H72" s="286">
        <f t="shared" si="21"/>
        <v>8.4929717979706221E-2</v>
      </c>
      <c r="I72" s="294"/>
      <c r="J72" s="296"/>
      <c r="K72" s="772"/>
      <c r="L72" s="772"/>
      <c r="M72" s="294"/>
      <c r="N72" s="296"/>
      <c r="O72" s="285">
        <v>163983</v>
      </c>
      <c r="P72" s="286">
        <f t="shared" si="22"/>
        <v>6.3564328370329812E-2</v>
      </c>
      <c r="Q72" s="287">
        <v>62</v>
      </c>
      <c r="R72" s="286">
        <f t="shared" si="23"/>
        <v>7.6637824474660068E-2</v>
      </c>
      <c r="S72" s="265"/>
      <c r="T72" s="229"/>
    </row>
    <row r="73" spans="1:20" x14ac:dyDescent="0.2">
      <c r="A73" s="229"/>
      <c r="B73" s="229"/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99"/>
      <c r="P73" s="229"/>
      <c r="Q73" s="229"/>
      <c r="R73" s="229"/>
      <c r="S73" s="265"/>
      <c r="T73" s="229"/>
    </row>
    <row r="74" spans="1:20" ht="15" x14ac:dyDescent="0.25">
      <c r="A74" s="519" t="s">
        <v>147</v>
      </c>
      <c r="B74" s="521" t="s">
        <v>166</v>
      </c>
      <c r="C74" s="294"/>
      <c r="D74" s="295"/>
      <c r="E74" s="518"/>
      <c r="F74" s="518"/>
      <c r="G74" s="518"/>
      <c r="H74" s="518"/>
      <c r="I74" s="294"/>
      <c r="J74" s="295"/>
      <c r="K74" s="295"/>
      <c r="L74" s="295"/>
      <c r="M74" s="294"/>
      <c r="N74" s="295"/>
      <c r="O74" s="266">
        <f>SUM(O75:O89)</f>
        <v>2387137.8596100002</v>
      </c>
      <c r="P74" s="267">
        <f>SUM(P75:P89)</f>
        <v>1</v>
      </c>
      <c r="Q74" s="505"/>
      <c r="R74" s="505"/>
      <c r="S74" s="507"/>
      <c r="T74" s="229"/>
    </row>
    <row r="75" spans="1:20" ht="15" x14ac:dyDescent="0.25">
      <c r="A75" s="547">
        <v>12000</v>
      </c>
      <c r="B75" s="548" t="s">
        <v>62</v>
      </c>
      <c r="C75" s="294"/>
      <c r="D75" s="296"/>
      <c r="E75" s="518"/>
      <c r="F75" s="518"/>
      <c r="G75" s="518"/>
      <c r="H75" s="518"/>
      <c r="I75" s="294"/>
      <c r="J75" s="296"/>
      <c r="K75" s="296"/>
      <c r="L75" s="296"/>
      <c r="M75" s="294"/>
      <c r="N75" s="296"/>
      <c r="O75" s="520">
        <v>197567.01</v>
      </c>
      <c r="P75" s="281">
        <f>O75/$O$74</f>
        <v>8.2763133769022293E-2</v>
      </c>
      <c r="Q75" s="505"/>
      <c r="R75" s="505"/>
      <c r="S75" s="507"/>
      <c r="T75" s="229"/>
    </row>
    <row r="76" spans="1:20" ht="15" x14ac:dyDescent="0.25">
      <c r="A76" s="547">
        <v>13000</v>
      </c>
      <c r="B76" s="548" t="s">
        <v>168</v>
      </c>
      <c r="C76" s="294"/>
      <c r="D76" s="296"/>
      <c r="E76" s="518"/>
      <c r="F76" s="518"/>
      <c r="G76" s="518"/>
      <c r="H76" s="518"/>
      <c r="I76" s="294"/>
      <c r="J76" s="296"/>
      <c r="K76" s="296"/>
      <c r="L76" s="296"/>
      <c r="M76" s="294"/>
      <c r="N76" s="296"/>
      <c r="O76" s="277">
        <v>46542</v>
      </c>
      <c r="P76" s="278">
        <f t="shared" ref="P76:P89" si="24">O76/$O$74</f>
        <v>1.9496988752716538E-2</v>
      </c>
      <c r="Q76" s="505"/>
      <c r="R76" s="505"/>
      <c r="S76" s="507"/>
      <c r="T76" s="229"/>
    </row>
    <row r="77" spans="1:20" ht="15" x14ac:dyDescent="0.25">
      <c r="A77" s="547">
        <v>16000</v>
      </c>
      <c r="B77" s="548" t="s">
        <v>169</v>
      </c>
      <c r="C77" s="294"/>
      <c r="D77" s="296"/>
      <c r="E77" s="518"/>
      <c r="F77" s="518"/>
      <c r="G77" s="518"/>
      <c r="H77" s="518"/>
      <c r="I77" s="294"/>
      <c r="J77" s="296"/>
      <c r="K77" s="296"/>
      <c r="L77" s="296"/>
      <c r="M77" s="294"/>
      <c r="N77" s="296"/>
      <c r="O77" s="277">
        <v>88567.14</v>
      </c>
      <c r="P77" s="278">
        <f t="shared" si="24"/>
        <v>3.7101811964253169E-2</v>
      </c>
      <c r="Q77" s="505"/>
      <c r="R77" s="505"/>
      <c r="S77" s="507"/>
      <c r="T77" s="229"/>
    </row>
    <row r="78" spans="1:20" ht="15" x14ac:dyDescent="0.25">
      <c r="A78" s="547">
        <v>17000</v>
      </c>
      <c r="B78" s="548" t="s">
        <v>65</v>
      </c>
      <c r="C78" s="294"/>
      <c r="D78" s="296"/>
      <c r="E78" s="518"/>
      <c r="F78" s="518"/>
      <c r="G78" s="518"/>
      <c r="H78" s="518"/>
      <c r="I78" s="294"/>
      <c r="J78" s="296"/>
      <c r="K78" s="296"/>
      <c r="L78" s="296"/>
      <c r="M78" s="294"/>
      <c r="N78" s="296"/>
      <c r="O78" s="277">
        <v>88365.566389999993</v>
      </c>
      <c r="P78" s="278">
        <f t="shared" si="24"/>
        <v>3.7017370418831512E-2</v>
      </c>
      <c r="Q78" s="505"/>
      <c r="R78" s="505"/>
      <c r="S78" s="507"/>
      <c r="T78" s="229"/>
    </row>
    <row r="79" spans="1:20" ht="15" x14ac:dyDescent="0.25">
      <c r="A79" s="547">
        <v>18000</v>
      </c>
      <c r="B79" s="548" t="s">
        <v>66</v>
      </c>
      <c r="C79" s="294"/>
      <c r="D79" s="296"/>
      <c r="E79" s="518"/>
      <c r="F79" s="518"/>
      <c r="G79" s="518"/>
      <c r="H79" s="518"/>
      <c r="I79" s="294"/>
      <c r="J79" s="296"/>
      <c r="K79" s="296"/>
      <c r="L79" s="296"/>
      <c r="M79" s="294"/>
      <c r="N79" s="296"/>
      <c r="O79" s="277">
        <v>18685</v>
      </c>
      <c r="P79" s="278">
        <f t="shared" si="24"/>
        <v>7.8273652796293346E-3</v>
      </c>
      <c r="Q79" s="505"/>
      <c r="R79" s="505"/>
      <c r="S79" s="507"/>
      <c r="T79" s="229"/>
    </row>
    <row r="80" spans="1:20" ht="15" x14ac:dyDescent="0.25">
      <c r="A80" s="547">
        <v>19000</v>
      </c>
      <c r="B80" s="548" t="s">
        <v>67</v>
      </c>
      <c r="C80" s="294"/>
      <c r="D80" s="296"/>
      <c r="E80" s="518"/>
      <c r="F80" s="518"/>
      <c r="G80" s="518"/>
      <c r="H80" s="518"/>
      <c r="I80" s="294"/>
      <c r="J80" s="296"/>
      <c r="K80" s="296"/>
      <c r="L80" s="296"/>
      <c r="M80" s="294"/>
      <c r="N80" s="296"/>
      <c r="O80" s="277">
        <v>23817</v>
      </c>
      <c r="P80" s="278">
        <f t="shared" si="24"/>
        <v>9.9772201693835629E-3</v>
      </c>
      <c r="Q80" s="505"/>
      <c r="R80" s="505"/>
      <c r="S80" s="507"/>
      <c r="T80" s="229"/>
    </row>
    <row r="81" spans="1:20" ht="15" x14ac:dyDescent="0.25">
      <c r="A81" s="547">
        <v>22000</v>
      </c>
      <c r="B81" s="548" t="s">
        <v>170</v>
      </c>
      <c r="C81" s="294"/>
      <c r="D81" s="296"/>
      <c r="E81" s="518"/>
      <c r="F81" s="518"/>
      <c r="G81" s="518"/>
      <c r="H81" s="518"/>
      <c r="I81" s="294"/>
      <c r="J81" s="296"/>
      <c r="K81" s="296"/>
      <c r="L81" s="296"/>
      <c r="M81" s="294"/>
      <c r="N81" s="296"/>
      <c r="O81" s="277">
        <v>402378.26321999996</v>
      </c>
      <c r="P81" s="278">
        <f t="shared" si="24"/>
        <v>0.1685609658445695</v>
      </c>
      <c r="Q81" s="505"/>
      <c r="R81" s="505"/>
      <c r="S81" s="507"/>
      <c r="T81" s="229"/>
    </row>
    <row r="82" spans="1:20" ht="15" x14ac:dyDescent="0.25">
      <c r="A82" s="547">
        <v>23000</v>
      </c>
      <c r="B82" s="548" t="s">
        <v>171</v>
      </c>
      <c r="C82" s="294"/>
      <c r="D82" s="296"/>
      <c r="E82" s="518"/>
      <c r="F82" s="518"/>
      <c r="G82" s="518"/>
      <c r="H82" s="518"/>
      <c r="I82" s="294"/>
      <c r="J82" s="296"/>
      <c r="K82" s="296"/>
      <c r="L82" s="296"/>
      <c r="M82" s="294"/>
      <c r="N82" s="296"/>
      <c r="O82" s="277">
        <v>346730</v>
      </c>
      <c r="P82" s="278">
        <f t="shared" si="24"/>
        <v>0.14524925680523837</v>
      </c>
      <c r="Q82" s="505"/>
      <c r="R82" s="505"/>
      <c r="S82" s="507"/>
      <c r="T82" s="229"/>
    </row>
    <row r="83" spans="1:20" ht="15" x14ac:dyDescent="0.25">
      <c r="A83" s="547">
        <v>24000</v>
      </c>
      <c r="B83" s="548" t="s">
        <v>69</v>
      </c>
      <c r="C83" s="294"/>
      <c r="D83" s="296"/>
      <c r="E83" s="518"/>
      <c r="F83" s="518"/>
      <c r="G83" s="518"/>
      <c r="H83" s="518"/>
      <c r="I83" s="294"/>
      <c r="J83" s="296"/>
      <c r="K83" s="296"/>
      <c r="L83" s="296"/>
      <c r="M83" s="294"/>
      <c r="N83" s="296"/>
      <c r="O83" s="277">
        <v>166443.88</v>
      </c>
      <c r="P83" s="278">
        <f t="shared" si="24"/>
        <v>6.9725290196349557E-2</v>
      </c>
      <c r="Q83" s="505"/>
      <c r="R83" s="505"/>
      <c r="S83" s="507"/>
      <c r="T83" s="229"/>
    </row>
    <row r="84" spans="1:20" ht="15" x14ac:dyDescent="0.25">
      <c r="A84" s="547">
        <v>25000</v>
      </c>
      <c r="B84" s="548" t="s">
        <v>172</v>
      </c>
      <c r="C84" s="294"/>
      <c r="D84" s="296"/>
      <c r="E84" s="518"/>
      <c r="F84" s="518"/>
      <c r="G84" s="518"/>
      <c r="H84" s="518"/>
      <c r="I84" s="294"/>
      <c r="J84" s="296"/>
      <c r="K84" s="296"/>
      <c r="L84" s="296"/>
      <c r="M84" s="294"/>
      <c r="N84" s="296"/>
      <c r="O84" s="277">
        <v>111629</v>
      </c>
      <c r="P84" s="278">
        <f t="shared" si="24"/>
        <v>4.6762695145825151E-2</v>
      </c>
      <c r="Q84" s="505"/>
      <c r="R84" s="505"/>
      <c r="S84" s="507"/>
      <c r="T84" s="229"/>
    </row>
    <row r="85" spans="1:20" ht="15" x14ac:dyDescent="0.25">
      <c r="A85" s="547">
        <v>27000</v>
      </c>
      <c r="B85" s="548" t="s">
        <v>70</v>
      </c>
      <c r="C85" s="294"/>
      <c r="D85" s="296"/>
      <c r="E85" s="518"/>
      <c r="F85" s="518"/>
      <c r="G85" s="518"/>
      <c r="H85" s="518"/>
      <c r="I85" s="294"/>
      <c r="J85" s="296"/>
      <c r="K85" s="296"/>
      <c r="L85" s="296"/>
      <c r="M85" s="294"/>
      <c r="N85" s="296"/>
      <c r="O85" s="277">
        <v>329364</v>
      </c>
      <c r="P85" s="278">
        <f t="shared" si="24"/>
        <v>0.13797443606956575</v>
      </c>
      <c r="Q85" s="505"/>
      <c r="R85" s="505"/>
      <c r="S85" s="507"/>
      <c r="T85" s="229"/>
    </row>
    <row r="86" spans="1:20" ht="15" x14ac:dyDescent="0.25">
      <c r="A86" s="547">
        <v>28000</v>
      </c>
      <c r="B86" s="548" t="s">
        <v>174</v>
      </c>
      <c r="C86" s="294"/>
      <c r="D86" s="296"/>
      <c r="E86" s="518"/>
      <c r="F86" s="518"/>
      <c r="G86" s="518"/>
      <c r="H86" s="518"/>
      <c r="I86" s="294"/>
      <c r="J86" s="296"/>
      <c r="K86" s="296"/>
      <c r="L86" s="296"/>
      <c r="M86" s="294"/>
      <c r="N86" s="296"/>
      <c r="O86" s="277">
        <v>77865</v>
      </c>
      <c r="P86" s="278">
        <f t="shared" si="24"/>
        <v>3.2618560208634635E-2</v>
      </c>
      <c r="Q86" s="505"/>
      <c r="R86" s="505"/>
      <c r="S86" s="507"/>
      <c r="T86" s="229"/>
    </row>
    <row r="87" spans="1:20" ht="15" x14ac:dyDescent="0.25">
      <c r="A87" s="547">
        <v>31000</v>
      </c>
      <c r="B87" s="548" t="s">
        <v>71</v>
      </c>
      <c r="C87" s="294"/>
      <c r="D87" s="296"/>
      <c r="E87" s="518"/>
      <c r="F87" s="518"/>
      <c r="G87" s="518"/>
      <c r="H87" s="518"/>
      <c r="I87" s="294"/>
      <c r="J87" s="296"/>
      <c r="K87" s="296"/>
      <c r="L87" s="296"/>
      <c r="M87" s="294"/>
      <c r="N87" s="296"/>
      <c r="O87" s="277">
        <v>128160</v>
      </c>
      <c r="P87" s="278">
        <f t="shared" si="24"/>
        <v>5.3687724604618438E-2</v>
      </c>
      <c r="Q87" s="505"/>
      <c r="R87" s="505"/>
      <c r="S87" s="507"/>
      <c r="T87" s="229"/>
    </row>
    <row r="88" spans="1:20" ht="15" x14ac:dyDescent="0.25">
      <c r="A88" s="547">
        <v>41000</v>
      </c>
      <c r="B88" s="548" t="s">
        <v>175</v>
      </c>
      <c r="C88" s="294"/>
      <c r="D88" s="296"/>
      <c r="E88" s="518"/>
      <c r="F88" s="518"/>
      <c r="G88" s="518"/>
      <c r="H88" s="518"/>
      <c r="I88" s="294"/>
      <c r="J88" s="296"/>
      <c r="K88" s="296"/>
      <c r="L88" s="296"/>
      <c r="M88" s="294"/>
      <c r="N88" s="296"/>
      <c r="O88" s="277">
        <v>224098</v>
      </c>
      <c r="P88" s="278">
        <f t="shared" si="24"/>
        <v>9.3877276127073833E-2</v>
      </c>
      <c r="Q88" s="505"/>
      <c r="R88" s="505"/>
      <c r="S88" s="507"/>
      <c r="T88" s="229"/>
    </row>
    <row r="89" spans="1:20" ht="15" x14ac:dyDescent="0.25">
      <c r="A89" s="549">
        <v>43000</v>
      </c>
      <c r="B89" s="550" t="s">
        <v>72</v>
      </c>
      <c r="C89" s="294"/>
      <c r="D89" s="296"/>
      <c r="E89" s="518"/>
      <c r="F89" s="518"/>
      <c r="G89" s="518"/>
      <c r="H89" s="518"/>
      <c r="I89" s="294"/>
      <c r="J89" s="296"/>
      <c r="K89" s="296"/>
      <c r="L89" s="296"/>
      <c r="M89" s="294"/>
      <c r="N89" s="296"/>
      <c r="O89" s="285">
        <v>136926</v>
      </c>
      <c r="P89" s="286">
        <f t="shared" si="24"/>
        <v>5.7359904644288265E-2</v>
      </c>
      <c r="Q89" s="505"/>
      <c r="R89" s="505"/>
      <c r="S89" s="507"/>
      <c r="T89" s="229"/>
    </row>
    <row r="91" spans="1:20" x14ac:dyDescent="0.2">
      <c r="A91" s="794" t="s">
        <v>240</v>
      </c>
    </row>
    <row r="92" spans="1:20" x14ac:dyDescent="0.2">
      <c r="A92" s="158"/>
    </row>
    <row r="93" spans="1:20" x14ac:dyDescent="0.2">
      <c r="A93" s="177"/>
    </row>
  </sheetData>
  <mergeCells count="13">
    <mergeCell ref="I3:J4"/>
    <mergeCell ref="K3:L4"/>
    <mergeCell ref="M3:N4"/>
    <mergeCell ref="A5:B5"/>
    <mergeCell ref="A6:B6"/>
    <mergeCell ref="A3:B4"/>
    <mergeCell ref="C3:D4"/>
    <mergeCell ref="E3:H3"/>
    <mergeCell ref="S41:S45"/>
    <mergeCell ref="O3:P4"/>
    <mergeCell ref="Q3:R3"/>
    <mergeCell ref="S3:S4"/>
    <mergeCell ref="T3:T4"/>
  </mergeCells>
  <hyperlinks>
    <hyperlink ref="A91" location="'0 Seznam'!A1" display="'0 Seznam'!A1"/>
  </hyperlink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Header>&amp;LČ. j.: MSMT-1251/2018-1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43"/>
  <sheetViews>
    <sheetView topLeftCell="A19" zoomScaleNormal="100" workbookViewId="0">
      <selection activeCell="A42" sqref="A41:A42"/>
    </sheetView>
  </sheetViews>
  <sheetFormatPr defaultRowHeight="12.75" x14ac:dyDescent="0.2"/>
  <cols>
    <col min="1" max="1" width="10" customWidth="1"/>
    <col min="2" max="2" width="11.7109375" customWidth="1"/>
    <col min="3" max="18" width="10" customWidth="1"/>
    <col min="19" max="19" width="14" customWidth="1"/>
    <col min="20" max="20" width="13" customWidth="1"/>
  </cols>
  <sheetData>
    <row r="1" spans="1:20" ht="27.75" x14ac:dyDescent="0.2">
      <c r="A1" s="678" t="s">
        <v>258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</row>
    <row r="2" spans="1:20" ht="20.25" thickBot="1" x14ac:dyDescent="0.25">
      <c r="A2" s="230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</row>
    <row r="3" spans="1:20" ht="26.25" customHeight="1" x14ac:dyDescent="0.2">
      <c r="A3" s="936"/>
      <c r="B3" s="937"/>
      <c r="C3" s="953" t="s">
        <v>202</v>
      </c>
      <c r="D3" s="954"/>
      <c r="E3" s="941" t="s">
        <v>292</v>
      </c>
      <c r="F3" s="941"/>
      <c r="G3" s="941"/>
      <c r="H3" s="941"/>
      <c r="I3" s="953" t="s">
        <v>160</v>
      </c>
      <c r="J3" s="954"/>
      <c r="K3" s="949" t="s">
        <v>158</v>
      </c>
      <c r="L3" s="950"/>
      <c r="M3" s="943" t="s">
        <v>159</v>
      </c>
      <c r="N3" s="944"/>
      <c r="O3" s="949" t="s">
        <v>191</v>
      </c>
      <c r="P3" s="950"/>
      <c r="Q3" s="940" t="s">
        <v>161</v>
      </c>
      <c r="R3" s="942"/>
      <c r="S3" s="930" t="s">
        <v>192</v>
      </c>
      <c r="T3" s="930" t="s">
        <v>193</v>
      </c>
    </row>
    <row r="4" spans="1:20" ht="25.5" customHeight="1" thickBot="1" x14ac:dyDescent="0.25">
      <c r="A4" s="938"/>
      <c r="B4" s="939"/>
      <c r="C4" s="955"/>
      <c r="D4" s="956"/>
      <c r="E4" s="232" t="s">
        <v>163</v>
      </c>
      <c r="F4" s="232" t="s">
        <v>164</v>
      </c>
      <c r="G4" s="232" t="s">
        <v>60</v>
      </c>
      <c r="H4" s="232" t="s">
        <v>60</v>
      </c>
      <c r="I4" s="955"/>
      <c r="J4" s="956"/>
      <c r="K4" s="951"/>
      <c r="L4" s="959"/>
      <c r="M4" s="945"/>
      <c r="N4" s="946"/>
      <c r="O4" s="951"/>
      <c r="P4" s="959"/>
      <c r="Q4" s="231" t="s">
        <v>162</v>
      </c>
      <c r="R4" s="533" t="s">
        <v>60</v>
      </c>
      <c r="S4" s="931"/>
      <c r="T4" s="931"/>
    </row>
    <row r="5" spans="1:20" ht="15.75" thickBot="1" x14ac:dyDescent="0.3">
      <c r="A5" s="932" t="s">
        <v>165</v>
      </c>
      <c r="B5" s="933"/>
      <c r="C5" s="508"/>
      <c r="D5" s="234">
        <v>0.15</v>
      </c>
      <c r="E5" s="237"/>
      <c r="F5" s="238"/>
      <c r="G5" s="238"/>
      <c r="H5" s="313">
        <v>0.22</v>
      </c>
      <c r="I5" s="535"/>
      <c r="J5" s="236">
        <v>0.1</v>
      </c>
      <c r="K5" s="508"/>
      <c r="L5" s="313">
        <v>0.3</v>
      </c>
      <c r="M5" s="508"/>
      <c r="N5" s="509">
        <v>0.03</v>
      </c>
      <c r="O5" s="527"/>
      <c r="P5" s="313">
        <v>0.1</v>
      </c>
      <c r="Q5" s="235"/>
      <c r="R5" s="509">
        <v>0.1</v>
      </c>
      <c r="S5" s="510">
        <f>SUM(C5:R5)</f>
        <v>1</v>
      </c>
      <c r="T5" s="511"/>
    </row>
    <row r="6" spans="1:20" ht="15" x14ac:dyDescent="0.25">
      <c r="A6" s="934" t="s">
        <v>166</v>
      </c>
      <c r="B6" s="935"/>
      <c r="C6" s="530"/>
      <c r="D6" s="239">
        <f>SUM(D7:D11)</f>
        <v>1</v>
      </c>
      <c r="E6" s="243"/>
      <c r="F6" s="244"/>
      <c r="G6" s="244"/>
      <c r="H6" s="244">
        <f>SUM(H7:H11)</f>
        <v>1</v>
      </c>
      <c r="I6" s="537"/>
      <c r="J6" s="242">
        <f>SUM(J7:J11)</f>
        <v>1</v>
      </c>
      <c r="K6" s="512"/>
      <c r="L6" s="242">
        <f>SUM(L7:L11)</f>
        <v>0.99999999999999989</v>
      </c>
      <c r="M6" s="512"/>
      <c r="N6" s="242">
        <f>SUM(N7:N11)</f>
        <v>1</v>
      </c>
      <c r="O6" s="512"/>
      <c r="P6" s="242">
        <f>SUM(P7:P11)</f>
        <v>1</v>
      </c>
      <c r="Q6" s="240"/>
      <c r="R6" s="242">
        <f>SUM(R7:R11)</f>
        <v>0.99999999999999989</v>
      </c>
      <c r="S6" s="554">
        <f>SUM(S7:S11)</f>
        <v>1</v>
      </c>
      <c r="T6" s="514">
        <f>SUM(T7:T11)</f>
        <v>0.55990864228553949</v>
      </c>
    </row>
    <row r="7" spans="1:20" ht="15" x14ac:dyDescent="0.25">
      <c r="A7" s="245">
        <v>11000</v>
      </c>
      <c r="B7" s="246" t="s">
        <v>167</v>
      </c>
      <c r="C7" s="247"/>
      <c r="D7" s="248">
        <f>D14</f>
        <v>0.28066961116137684</v>
      </c>
      <c r="E7" s="251"/>
      <c r="F7" s="252"/>
      <c r="G7" s="252"/>
      <c r="H7" s="256">
        <f>0.5*H14+0.3*H21+0.2*H28</f>
        <v>0.37939195242402601</v>
      </c>
      <c r="I7" s="555"/>
      <c r="J7" s="250">
        <f>J14</f>
        <v>0.32869982245357537</v>
      </c>
      <c r="K7" s="247"/>
      <c r="L7" s="250">
        <f>L21</f>
        <v>0.39107994424099485</v>
      </c>
      <c r="M7" s="528"/>
      <c r="N7" s="250">
        <f>N14</f>
        <v>0.1081905755056613</v>
      </c>
      <c r="O7" s="251"/>
      <c r="P7" s="250">
        <f>0.5*P21+0.3*P28+0.2*P35</f>
        <v>0.42045384811667208</v>
      </c>
      <c r="Q7" s="556"/>
      <c r="R7" s="250">
        <f>0.5*R14+0.3*R21+0.2*R28</f>
        <v>0.45132527078122425</v>
      </c>
      <c r="S7" s="557">
        <f>SUMPRODUCT(C$5:R$5,C7:R7)</f>
        <v>0.36618426588010772</v>
      </c>
      <c r="T7" s="515">
        <f>S7*'3 - Stanovení podílů segmentů'!$G$38</f>
        <v>0.20502973513525813</v>
      </c>
    </row>
    <row r="8" spans="1:20" ht="15" x14ac:dyDescent="0.25">
      <c r="A8" s="245">
        <v>14000</v>
      </c>
      <c r="B8" s="246" t="s">
        <v>63</v>
      </c>
      <c r="C8" s="247"/>
      <c r="D8" s="248">
        <f t="shared" ref="D8:D11" si="0">D15</f>
        <v>0.2511969894314976</v>
      </c>
      <c r="E8" s="255"/>
      <c r="F8" s="256"/>
      <c r="G8" s="256"/>
      <c r="H8" s="256">
        <f t="shared" ref="H8:H11" si="1">0.5*H15+0.3*H22+0.2*H29</f>
        <v>0.27511960443970873</v>
      </c>
      <c r="I8" s="540"/>
      <c r="J8" s="250">
        <f t="shared" ref="J8:J11" si="2">J15</f>
        <v>0.20791732096754117</v>
      </c>
      <c r="K8" s="247"/>
      <c r="L8" s="250">
        <f t="shared" ref="L8:L10" si="3">L22</f>
        <v>0.17684579822148425</v>
      </c>
      <c r="M8" s="528"/>
      <c r="N8" s="250">
        <f>N15</f>
        <v>6.3841785226106618E-2</v>
      </c>
      <c r="O8" s="255"/>
      <c r="P8" s="250">
        <f>0.5*P22+0.3*P29+0.2*P36</f>
        <v>0.18475335086534045</v>
      </c>
      <c r="Q8" s="542"/>
      <c r="R8" s="250">
        <f t="shared" ref="R8:R11" si="4">0.5*R15+0.3*R22+0.2*R29</f>
        <v>0.2650953561552124</v>
      </c>
      <c r="S8" s="557">
        <f>SUMPRODUCT(C$5:R$5,C8:R8)</f>
        <v>0.21895145721349846</v>
      </c>
      <c r="T8" s="515">
        <f>S8*'3 - Stanovení podílů segmentů'!$G$38</f>
        <v>0.12259281313485031</v>
      </c>
    </row>
    <row r="9" spans="1:20" ht="15" x14ac:dyDescent="0.25">
      <c r="A9" s="245">
        <v>15000</v>
      </c>
      <c r="B9" s="246" t="s">
        <v>64</v>
      </c>
      <c r="C9" s="247"/>
      <c r="D9" s="248">
        <f t="shared" si="0"/>
        <v>0.15975210990010594</v>
      </c>
      <c r="E9" s="255"/>
      <c r="F9" s="256"/>
      <c r="G9" s="256"/>
      <c r="H9" s="256">
        <f t="shared" si="1"/>
        <v>0.11007145110982318</v>
      </c>
      <c r="I9" s="540"/>
      <c r="J9" s="250">
        <f t="shared" si="2"/>
        <v>0.14547708088524916</v>
      </c>
      <c r="K9" s="247"/>
      <c r="L9" s="250">
        <f t="shared" si="3"/>
        <v>0.14189582813885387</v>
      </c>
      <c r="M9" s="528"/>
      <c r="N9" s="250">
        <f>N16</f>
        <v>0.12158767466515617</v>
      </c>
      <c r="O9" s="255"/>
      <c r="P9" s="250">
        <f>0.5*P23+0.3*P30+0.2*P37</f>
        <v>9.7142875932589079E-2</v>
      </c>
      <c r="Q9" s="542"/>
      <c r="R9" s="250">
        <f t="shared" si="4"/>
        <v>0.13409012288829053</v>
      </c>
      <c r="S9" s="557">
        <f>SUMPRODUCT(C$5:R$5,C9:R9)</f>
        <v>0.13206592238140069</v>
      </c>
      <c r="T9" s="515">
        <f>S9*'3 - Stanovení podílů segmentů'!$G$38</f>
        <v>7.3944851292757505E-2</v>
      </c>
    </row>
    <row r="10" spans="1:20" ht="15" x14ac:dyDescent="0.25">
      <c r="A10" s="245">
        <v>21000</v>
      </c>
      <c r="B10" s="246" t="s">
        <v>68</v>
      </c>
      <c r="C10" s="247"/>
      <c r="D10" s="248">
        <f t="shared" si="0"/>
        <v>0.14432671812034706</v>
      </c>
      <c r="E10" s="255"/>
      <c r="F10" s="256"/>
      <c r="G10" s="256"/>
      <c r="H10" s="256">
        <f t="shared" si="1"/>
        <v>0.13853193333276229</v>
      </c>
      <c r="I10" s="540"/>
      <c r="J10" s="250">
        <f t="shared" si="2"/>
        <v>0.16579273126122332</v>
      </c>
      <c r="K10" s="247"/>
      <c r="L10" s="250">
        <f t="shared" si="3"/>
        <v>0.17825241941297845</v>
      </c>
      <c r="M10" s="528"/>
      <c r="N10" s="250">
        <f>N17</f>
        <v>0.36629676410767809</v>
      </c>
      <c r="O10" s="255"/>
      <c r="P10" s="250">
        <f>0.5*P24+0.3*P31+0.2*P38</f>
        <v>0.17260859328927011</v>
      </c>
      <c r="Q10" s="542"/>
      <c r="R10" s="250">
        <f t="shared" si="4"/>
        <v>9.0629926848086018E-2</v>
      </c>
      <c r="S10" s="557">
        <f>SUMPRODUCT(C$5:R$5,C10:R10)</f>
        <v>0.15949378693824159</v>
      </c>
      <c r="T10" s="515">
        <f>S10*'3 - Stanovení podílů segmentů'!$G$38</f>
        <v>8.9301949697569966E-2</v>
      </c>
    </row>
    <row r="11" spans="1:20" ht="15.75" thickBot="1" x14ac:dyDescent="0.3">
      <c r="A11" s="257">
        <v>26000</v>
      </c>
      <c r="B11" s="258" t="s">
        <v>173</v>
      </c>
      <c r="C11" s="259"/>
      <c r="D11" s="260">
        <f t="shared" si="0"/>
        <v>0.16405457138667262</v>
      </c>
      <c r="E11" s="262"/>
      <c r="F11" s="263"/>
      <c r="G11" s="263"/>
      <c r="H11" s="263">
        <f t="shared" si="1"/>
        <v>9.6885058693679763E-2</v>
      </c>
      <c r="I11" s="543"/>
      <c r="J11" s="261">
        <f t="shared" si="2"/>
        <v>0.15211304443241105</v>
      </c>
      <c r="K11" s="259"/>
      <c r="L11" s="261">
        <f>L25</f>
        <v>0.11192600998568855</v>
      </c>
      <c r="M11" s="529"/>
      <c r="N11" s="261">
        <f>N18</f>
        <v>0.34008320049539781</v>
      </c>
      <c r="O11" s="262"/>
      <c r="P11" s="261">
        <f>0.5*P25+0.3*P32+0.2*P39</f>
        <v>0.12504133179612831</v>
      </c>
      <c r="Q11" s="544"/>
      <c r="R11" s="261">
        <f t="shared" si="4"/>
        <v>5.885932332718679E-2</v>
      </c>
      <c r="S11" s="558">
        <f>SUMPRODUCT(C$5:R$5,C11:R11)</f>
        <v>0.12330456758675155</v>
      </c>
      <c r="T11" s="517">
        <f>S11*'3 - Stanovení podílů segmentů'!$G$38</f>
        <v>6.9039293025103601E-2</v>
      </c>
    </row>
    <row r="12" spans="1:20" ht="15.75" thickBot="1" x14ac:dyDescent="0.3">
      <c r="A12" s="518"/>
      <c r="B12" s="518"/>
      <c r="C12" s="518"/>
      <c r="D12" s="518"/>
      <c r="E12" s="518"/>
      <c r="F12" s="518"/>
      <c r="G12" s="518"/>
      <c r="H12" s="518"/>
      <c r="I12" s="518"/>
      <c r="J12" s="518"/>
      <c r="K12" s="518"/>
      <c r="L12" s="518"/>
      <c r="M12" s="518"/>
      <c r="N12" s="518"/>
      <c r="O12" s="518"/>
      <c r="P12" s="518"/>
      <c r="Q12" s="518"/>
      <c r="R12" s="518"/>
      <c r="S12" s="518"/>
      <c r="T12" s="518"/>
    </row>
    <row r="13" spans="1:20" ht="15" x14ac:dyDescent="0.25">
      <c r="A13" s="473" t="s">
        <v>201</v>
      </c>
      <c r="B13" s="525" t="s">
        <v>166</v>
      </c>
      <c r="C13" s="532">
        <f t="shared" ref="C13:J13" si="5">SUM(C14:C18)</f>
        <v>66229.141416067228</v>
      </c>
      <c r="D13" s="267">
        <f t="shared" si="5"/>
        <v>1</v>
      </c>
      <c r="E13" s="271">
        <f t="shared" si="5"/>
        <v>776650</v>
      </c>
      <c r="F13" s="272">
        <f t="shared" si="5"/>
        <v>1143178</v>
      </c>
      <c r="G13" s="273">
        <f t="shared" si="5"/>
        <v>1919828</v>
      </c>
      <c r="H13" s="274">
        <f t="shared" si="5"/>
        <v>0.99999999999999989</v>
      </c>
      <c r="I13" s="520">
        <f t="shared" si="5"/>
        <v>36660.555017065126</v>
      </c>
      <c r="J13" s="274">
        <f t="shared" si="5"/>
        <v>1</v>
      </c>
      <c r="K13" s="229"/>
      <c r="L13" s="229"/>
      <c r="M13" s="266">
        <f>SUM(M14:M18)</f>
        <v>110585.88</v>
      </c>
      <c r="N13" s="267">
        <f>SUM(N14:N18)</f>
        <v>1</v>
      </c>
      <c r="O13" s="522"/>
      <c r="P13" s="229"/>
      <c r="Q13" s="268">
        <f>SUM(Q14:Q18)</f>
        <v>1700.25</v>
      </c>
      <c r="R13" s="270">
        <f>SUM(R14:R18)</f>
        <v>0.99999999999999989</v>
      </c>
      <c r="S13" s="518"/>
      <c r="T13" s="559"/>
    </row>
    <row r="14" spans="1:20" ht="15" x14ac:dyDescent="0.25">
      <c r="A14" s="275">
        <v>11000</v>
      </c>
      <c r="B14" s="276" t="s">
        <v>167</v>
      </c>
      <c r="C14" s="284">
        <v>18588.507368799426</v>
      </c>
      <c r="D14" s="278">
        <f>+C14/C$13</f>
        <v>0.28066961116137684</v>
      </c>
      <c r="E14" s="271">
        <v>264082</v>
      </c>
      <c r="F14" s="272">
        <v>460094</v>
      </c>
      <c r="G14" s="273">
        <f>+E14+F14</f>
        <v>724176</v>
      </c>
      <c r="H14" s="281">
        <f>+G14/G$13</f>
        <v>0.37720879162091603</v>
      </c>
      <c r="I14" s="273">
        <v>12050.317925158839</v>
      </c>
      <c r="J14" s="281">
        <f>I14/I$13</f>
        <v>0.32869982245357537</v>
      </c>
      <c r="K14" s="229"/>
      <c r="L14" s="229"/>
      <c r="M14" s="277">
        <v>11964.35</v>
      </c>
      <c r="N14" s="278">
        <f>+M14/M$13</f>
        <v>0.1081905755056613</v>
      </c>
      <c r="O14" s="522"/>
      <c r="P14" s="229"/>
      <c r="Q14" s="279">
        <v>742.5</v>
      </c>
      <c r="R14" s="280">
        <f>+Q14/Q$13</f>
        <v>0.43670048522276134</v>
      </c>
      <c r="S14" s="518"/>
      <c r="T14" s="518"/>
    </row>
    <row r="15" spans="1:20" ht="15" x14ac:dyDescent="0.25">
      <c r="A15" s="245">
        <v>14000</v>
      </c>
      <c r="B15" s="246" t="s">
        <v>63</v>
      </c>
      <c r="C15" s="284">
        <v>16636.560936349</v>
      </c>
      <c r="D15" s="278">
        <f>+C15/C$13</f>
        <v>0.2511969894314976</v>
      </c>
      <c r="E15" s="282">
        <v>217391</v>
      </c>
      <c r="F15" s="283">
        <v>305042</v>
      </c>
      <c r="G15" s="284">
        <f t="shared" ref="G15:G18" si="6">+E15+F15</f>
        <v>522433</v>
      </c>
      <c r="H15" s="278">
        <f t="shared" ref="H15:H18" si="7">+G15/G$13</f>
        <v>0.27212489868884088</v>
      </c>
      <c r="I15" s="284">
        <v>7622.3643843313321</v>
      </c>
      <c r="J15" s="278">
        <f t="shared" ref="J15:J18" si="8">I15/I$13</f>
        <v>0.20791732096754117</v>
      </c>
      <c r="K15" s="229"/>
      <c r="L15" s="229"/>
      <c r="M15" s="277">
        <v>7060</v>
      </c>
      <c r="N15" s="278">
        <f t="shared" ref="N15:N18" si="9">+M15/M$13</f>
        <v>6.3841785226106618E-2</v>
      </c>
      <c r="O15" s="522"/>
      <c r="P15" s="229"/>
      <c r="Q15" s="279">
        <v>449</v>
      </c>
      <c r="R15" s="280">
        <f t="shared" ref="R15:R18" si="10">+Q15/Q$13</f>
        <v>0.26407881193942068</v>
      </c>
      <c r="S15" s="518"/>
      <c r="T15" s="518"/>
    </row>
    <row r="16" spans="1:20" ht="15" x14ac:dyDescent="0.25">
      <c r="A16" s="245">
        <v>15000</v>
      </c>
      <c r="B16" s="246" t="s">
        <v>64</v>
      </c>
      <c r="C16" s="284">
        <v>10580.24507808923</v>
      </c>
      <c r="D16" s="278">
        <f>+C16/C$13</f>
        <v>0.15975210990010594</v>
      </c>
      <c r="E16" s="282">
        <v>124757</v>
      </c>
      <c r="F16" s="283">
        <v>87698</v>
      </c>
      <c r="G16" s="284">
        <f t="shared" si="6"/>
        <v>212455</v>
      </c>
      <c r="H16" s="278">
        <f t="shared" si="7"/>
        <v>0.11066355944386684</v>
      </c>
      <c r="I16" s="284">
        <v>5333.2705275157105</v>
      </c>
      <c r="J16" s="278">
        <f t="shared" si="8"/>
        <v>0.14547708088524916</v>
      </c>
      <c r="K16" s="229"/>
      <c r="L16" s="229"/>
      <c r="M16" s="277">
        <v>13445.880000000001</v>
      </c>
      <c r="N16" s="278">
        <f t="shared" si="9"/>
        <v>0.12158767466515617</v>
      </c>
      <c r="O16" s="522"/>
      <c r="P16" s="229"/>
      <c r="Q16" s="279">
        <v>200.5</v>
      </c>
      <c r="R16" s="280">
        <f t="shared" si="10"/>
        <v>0.11792383473018674</v>
      </c>
      <c r="S16" s="518"/>
      <c r="T16" s="518"/>
    </row>
    <row r="17" spans="1:20" ht="15" x14ac:dyDescent="0.25">
      <c r="A17" s="245">
        <v>21000</v>
      </c>
      <c r="B17" s="246" t="s">
        <v>68</v>
      </c>
      <c r="C17" s="284">
        <v>9558.6346245093373</v>
      </c>
      <c r="D17" s="278">
        <f>+C17/C$13</f>
        <v>0.14432671812034706</v>
      </c>
      <c r="E17" s="282">
        <v>86023</v>
      </c>
      <c r="F17" s="283">
        <v>185016</v>
      </c>
      <c r="G17" s="284">
        <f t="shared" si="6"/>
        <v>271039</v>
      </c>
      <c r="H17" s="278">
        <f t="shared" si="7"/>
        <v>0.14117879310021522</v>
      </c>
      <c r="I17" s="284">
        <v>6078.0535458315708</v>
      </c>
      <c r="J17" s="278">
        <f t="shared" si="8"/>
        <v>0.16579273126122332</v>
      </c>
      <c r="K17" s="229"/>
      <c r="L17" s="229"/>
      <c r="M17" s="277">
        <v>40507.25</v>
      </c>
      <c r="N17" s="278">
        <f t="shared" si="9"/>
        <v>0.36629676410767809</v>
      </c>
      <c r="O17" s="522"/>
      <c r="P17" s="229"/>
      <c r="Q17" s="279">
        <v>210.25</v>
      </c>
      <c r="R17" s="280">
        <f t="shared" si="10"/>
        <v>0.1236582855462432</v>
      </c>
      <c r="S17" s="518"/>
      <c r="T17" s="518"/>
    </row>
    <row r="18" spans="1:20" ht="15.75" thickBot="1" x14ac:dyDescent="0.3">
      <c r="A18" s="257">
        <v>26000</v>
      </c>
      <c r="B18" s="258" t="s">
        <v>173</v>
      </c>
      <c r="C18" s="291">
        <v>10865.193408320238</v>
      </c>
      <c r="D18" s="286">
        <f>+C18/C$13</f>
        <v>0.16405457138667262</v>
      </c>
      <c r="E18" s="289">
        <v>84397</v>
      </c>
      <c r="F18" s="290">
        <v>105328</v>
      </c>
      <c r="G18" s="291">
        <f t="shared" si="6"/>
        <v>189725</v>
      </c>
      <c r="H18" s="286">
        <f t="shared" si="7"/>
        <v>9.8823957146161004E-2</v>
      </c>
      <c r="I18" s="291">
        <v>5576.5486342276772</v>
      </c>
      <c r="J18" s="286">
        <f t="shared" si="8"/>
        <v>0.15211304443241105</v>
      </c>
      <c r="K18" s="229"/>
      <c r="L18" s="229"/>
      <c r="M18" s="285">
        <v>37608.400000000001</v>
      </c>
      <c r="N18" s="286">
        <f t="shared" si="9"/>
        <v>0.34008320049539781</v>
      </c>
      <c r="O18" s="522"/>
      <c r="P18" s="229"/>
      <c r="Q18" s="287">
        <v>98</v>
      </c>
      <c r="R18" s="288">
        <f t="shared" si="10"/>
        <v>5.7638582561388034E-2</v>
      </c>
      <c r="S18" s="518"/>
      <c r="T18" s="518"/>
    </row>
    <row r="19" spans="1:20" ht="15.75" thickBot="1" x14ac:dyDescent="0.3">
      <c r="A19" s="518"/>
      <c r="B19" s="518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522"/>
      <c r="N19" s="229"/>
      <c r="O19" s="522"/>
      <c r="P19" s="229"/>
      <c r="Q19" s="229"/>
      <c r="R19" s="229"/>
      <c r="S19" s="518"/>
      <c r="T19" s="518"/>
    </row>
    <row r="20" spans="1:20" x14ac:dyDescent="0.2">
      <c r="A20" s="473" t="s">
        <v>149</v>
      </c>
      <c r="B20" s="525" t="s">
        <v>166</v>
      </c>
      <c r="C20" s="505"/>
      <c r="D20" s="505"/>
      <c r="E20" s="271">
        <f t="shared" ref="E20:H20" si="11">SUM(E21:E25)</f>
        <v>798625</v>
      </c>
      <c r="F20" s="272">
        <f t="shared" si="11"/>
        <v>1117713</v>
      </c>
      <c r="G20" s="273">
        <f t="shared" si="11"/>
        <v>1916338</v>
      </c>
      <c r="H20" s="274">
        <f t="shared" si="11"/>
        <v>1</v>
      </c>
      <c r="I20" s="505"/>
      <c r="J20" s="505"/>
      <c r="K20" s="266">
        <f>SUM(K21:K25)</f>
        <v>1414507.7277723886</v>
      </c>
      <c r="L20" s="267">
        <f>SUM(L21:L25)</f>
        <v>0.99999999999999989</v>
      </c>
      <c r="M20" s="294"/>
      <c r="N20" s="295"/>
      <c r="O20" s="266">
        <f>SUM(O21:O25)</f>
        <v>5679164.9733699998</v>
      </c>
      <c r="P20" s="267">
        <f>SUM(P21:P25)</f>
        <v>1</v>
      </c>
      <c r="Q20" s="268">
        <f>SUM(Q21:Q25)</f>
        <v>1455.5</v>
      </c>
      <c r="R20" s="270">
        <f>SUM(R21:R25)</f>
        <v>1</v>
      </c>
      <c r="S20" s="265"/>
      <c r="T20" s="229"/>
    </row>
    <row r="21" spans="1:20" x14ac:dyDescent="0.2">
      <c r="A21" s="275">
        <v>11000</v>
      </c>
      <c r="B21" s="276" t="s">
        <v>167</v>
      </c>
      <c r="C21" s="505"/>
      <c r="D21" s="505"/>
      <c r="E21" s="271">
        <v>246657</v>
      </c>
      <c r="F21" s="272">
        <v>491973</v>
      </c>
      <c r="G21" s="273">
        <f>+E21+F21</f>
        <v>738630</v>
      </c>
      <c r="H21" s="281">
        <f>+G21/G$20</f>
        <v>0.38543826819694649</v>
      </c>
      <c r="I21" s="505"/>
      <c r="J21" s="505"/>
      <c r="K21" s="277">
        <v>553185.60330568207</v>
      </c>
      <c r="L21" s="278">
        <f>+K21/K$20</f>
        <v>0.39107994424099485</v>
      </c>
      <c r="M21" s="294"/>
      <c r="N21" s="296"/>
      <c r="O21" s="277">
        <v>2367055.6621400001</v>
      </c>
      <c r="P21" s="280">
        <f>+O21/O$20</f>
        <v>0.41679642574908266</v>
      </c>
      <c r="Q21" s="279">
        <v>689.5</v>
      </c>
      <c r="R21" s="280">
        <f>+Q21/Q$20</f>
        <v>0.47372037100652697</v>
      </c>
      <c r="S21" s="229"/>
      <c r="T21" s="229"/>
    </row>
    <row r="22" spans="1:20" x14ac:dyDescent="0.2">
      <c r="A22" s="245">
        <v>14000</v>
      </c>
      <c r="B22" s="246" t="s">
        <v>63</v>
      </c>
      <c r="C22" s="505"/>
      <c r="D22" s="505"/>
      <c r="E22" s="282">
        <v>232288</v>
      </c>
      <c r="F22" s="283">
        <v>290733</v>
      </c>
      <c r="G22" s="284">
        <f t="shared" ref="G22:G25" si="12">+E22+F22</f>
        <v>523021</v>
      </c>
      <c r="H22" s="278">
        <f>+G22/G$20</f>
        <v>0.27292732284179511</v>
      </c>
      <c r="I22" s="505"/>
      <c r="J22" s="505"/>
      <c r="K22" s="277">
        <v>250149.74820836601</v>
      </c>
      <c r="L22" s="278">
        <f t="shared" ref="L22:L25" si="13">+K22/K$20</f>
        <v>0.17684579822148425</v>
      </c>
      <c r="M22" s="294"/>
      <c r="N22" s="296"/>
      <c r="O22" s="277">
        <v>1084892</v>
      </c>
      <c r="P22" s="280">
        <f t="shared" ref="P22:R25" si="14">+O22/O$20</f>
        <v>0.19103019635582594</v>
      </c>
      <c r="Q22" s="279">
        <v>392.5</v>
      </c>
      <c r="R22" s="280">
        <f t="shared" si="14"/>
        <v>0.26966678117485399</v>
      </c>
      <c r="S22" s="229"/>
      <c r="T22" s="229"/>
    </row>
    <row r="23" spans="1:20" x14ac:dyDescent="0.2">
      <c r="A23" s="245">
        <v>15000</v>
      </c>
      <c r="B23" s="246" t="s">
        <v>64</v>
      </c>
      <c r="C23" s="505"/>
      <c r="D23" s="505"/>
      <c r="E23" s="282">
        <v>131165</v>
      </c>
      <c r="F23" s="283">
        <v>71507</v>
      </c>
      <c r="G23" s="284">
        <f t="shared" si="12"/>
        <v>202672</v>
      </c>
      <c r="H23" s="278">
        <f t="shared" ref="H23:H25" si="15">+G23/G$20</f>
        <v>0.10576004859268041</v>
      </c>
      <c r="I23" s="505"/>
      <c r="J23" s="505"/>
      <c r="K23" s="277">
        <v>200712.74544107157</v>
      </c>
      <c r="L23" s="278">
        <f t="shared" si="13"/>
        <v>0.14189582813885387</v>
      </c>
      <c r="M23" s="294"/>
      <c r="N23" s="296"/>
      <c r="O23" s="277">
        <v>598805.69999999995</v>
      </c>
      <c r="P23" s="280">
        <f t="shared" si="14"/>
        <v>0.10543903950806881</v>
      </c>
      <c r="Q23" s="279">
        <v>203.5</v>
      </c>
      <c r="R23" s="280">
        <f t="shared" si="14"/>
        <v>0.13981449673651666</v>
      </c>
      <c r="S23" s="229"/>
      <c r="T23" s="229"/>
    </row>
    <row r="24" spans="1:20" x14ac:dyDescent="0.2">
      <c r="A24" s="245">
        <v>21000</v>
      </c>
      <c r="B24" s="246" t="s">
        <v>68</v>
      </c>
      <c r="C24" s="505"/>
      <c r="D24" s="505"/>
      <c r="E24" s="282">
        <v>91061</v>
      </c>
      <c r="F24" s="283">
        <v>181255</v>
      </c>
      <c r="G24" s="284">
        <f t="shared" si="12"/>
        <v>272316</v>
      </c>
      <c r="H24" s="278">
        <f t="shared" si="15"/>
        <v>0.14210228049540322</v>
      </c>
      <c r="I24" s="505"/>
      <c r="J24" s="505"/>
      <c r="K24" s="277">
        <v>252139.42475378298</v>
      </c>
      <c r="L24" s="278">
        <f t="shared" si="13"/>
        <v>0.17825241941297845</v>
      </c>
      <c r="M24" s="294"/>
      <c r="N24" s="296"/>
      <c r="O24" s="277">
        <v>872216.61123000004</v>
      </c>
      <c r="P24" s="280">
        <f t="shared" si="14"/>
        <v>0.15358184087271359</v>
      </c>
      <c r="Q24" s="279">
        <v>83.5</v>
      </c>
      <c r="R24" s="280">
        <f t="shared" si="14"/>
        <v>5.7368601855032633E-2</v>
      </c>
      <c r="S24" s="265"/>
      <c r="T24" s="229"/>
    </row>
    <row r="25" spans="1:20" ht="13.5" thickBot="1" x14ac:dyDescent="0.25">
      <c r="A25" s="257">
        <v>26000</v>
      </c>
      <c r="B25" s="258" t="s">
        <v>173</v>
      </c>
      <c r="C25" s="505"/>
      <c r="D25" s="505"/>
      <c r="E25" s="289">
        <v>97454</v>
      </c>
      <c r="F25" s="290">
        <v>82245</v>
      </c>
      <c r="G25" s="291">
        <f t="shared" si="12"/>
        <v>179699</v>
      </c>
      <c r="H25" s="286">
        <f t="shared" si="15"/>
        <v>9.3772079873174777E-2</v>
      </c>
      <c r="I25" s="505"/>
      <c r="J25" s="505"/>
      <c r="K25" s="285">
        <v>158320.206063486</v>
      </c>
      <c r="L25" s="286">
        <f t="shared" si="13"/>
        <v>0.11192600998568855</v>
      </c>
      <c r="M25" s="294"/>
      <c r="N25" s="296"/>
      <c r="O25" s="285">
        <v>756195</v>
      </c>
      <c r="P25" s="288">
        <f t="shared" si="14"/>
        <v>0.13315249751430908</v>
      </c>
      <c r="Q25" s="287">
        <v>86.5</v>
      </c>
      <c r="R25" s="288">
        <f t="shared" si="14"/>
        <v>5.9429749227069735E-2</v>
      </c>
      <c r="S25" s="265"/>
      <c r="T25" s="229"/>
    </row>
    <row r="26" spans="1:20" ht="15.75" thickBot="1" x14ac:dyDescent="0.3">
      <c r="A26" s="229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522"/>
      <c r="N26" s="229"/>
      <c r="O26" s="522"/>
      <c r="P26" s="229"/>
      <c r="Q26" s="229"/>
      <c r="R26" s="292"/>
      <c r="S26" s="265"/>
      <c r="T26" s="229"/>
    </row>
    <row r="27" spans="1:20" ht="15" x14ac:dyDescent="0.25">
      <c r="A27" s="473" t="s">
        <v>148</v>
      </c>
      <c r="B27" s="526" t="s">
        <v>166</v>
      </c>
      <c r="C27" s="229"/>
      <c r="D27" s="229"/>
      <c r="E27" s="271">
        <f t="shared" ref="E27:H27" si="16">SUM(E28:E32)</f>
        <v>835815</v>
      </c>
      <c r="F27" s="272">
        <f t="shared" si="16"/>
        <v>999507</v>
      </c>
      <c r="G27" s="273">
        <f t="shared" si="16"/>
        <v>1835322</v>
      </c>
      <c r="H27" s="274">
        <f t="shared" si="16"/>
        <v>1</v>
      </c>
      <c r="I27" s="523"/>
      <c r="J27" s="523"/>
      <c r="K27" s="772"/>
      <c r="L27" s="772"/>
      <c r="M27" s="294"/>
      <c r="N27" s="295"/>
      <c r="O27" s="266">
        <f>SUM(O28:O32)</f>
        <v>5545907.6052399995</v>
      </c>
      <c r="P27" s="267">
        <f>SUM(P28:P32)</f>
        <v>1</v>
      </c>
      <c r="Q27" s="268">
        <f>SUM(Q28:Q32)</f>
        <v>1449.5</v>
      </c>
      <c r="R27" s="270">
        <f>SUM(R28:R32)</f>
        <v>0.99999999999999989</v>
      </c>
      <c r="S27" s="507"/>
      <c r="T27" s="229"/>
    </row>
    <row r="28" spans="1:20" x14ac:dyDescent="0.2">
      <c r="A28" s="275">
        <v>11000</v>
      </c>
      <c r="B28" s="560" t="s">
        <v>167</v>
      </c>
      <c r="C28" s="229"/>
      <c r="D28" s="229"/>
      <c r="E28" s="271">
        <v>263033</v>
      </c>
      <c r="F28" s="272">
        <v>426645</v>
      </c>
      <c r="G28" s="273">
        <f>+E28+F28</f>
        <v>689678</v>
      </c>
      <c r="H28" s="281">
        <f>+G28/G$27</f>
        <v>0.37578038077242032</v>
      </c>
      <c r="I28" s="524"/>
      <c r="J28" s="524"/>
      <c r="K28" s="772"/>
      <c r="L28" s="772"/>
      <c r="M28" s="294"/>
      <c r="N28" s="296"/>
      <c r="O28" s="277">
        <v>2321743.3322399994</v>
      </c>
      <c r="P28" s="278">
        <f>O28/$O$27</f>
        <v>0.41864082446060258</v>
      </c>
      <c r="Q28" s="279">
        <v>658.5</v>
      </c>
      <c r="R28" s="280">
        <f>+Q28/Q$27</f>
        <v>0.45429458433942738</v>
      </c>
      <c r="S28" s="265"/>
      <c r="T28" s="229"/>
    </row>
    <row r="29" spans="1:20" x14ac:dyDescent="0.2">
      <c r="A29" s="245">
        <v>14000</v>
      </c>
      <c r="B29" s="561" t="s">
        <v>63</v>
      </c>
      <c r="C29" s="229"/>
      <c r="D29" s="229"/>
      <c r="E29" s="282">
        <v>243775</v>
      </c>
      <c r="F29" s="283">
        <v>280934</v>
      </c>
      <c r="G29" s="284">
        <f t="shared" ref="G29:G32" si="17">+E29+F29</f>
        <v>524709</v>
      </c>
      <c r="H29" s="278">
        <f>+G29/G$27</f>
        <v>0.28589479121374889</v>
      </c>
      <c r="I29" s="524"/>
      <c r="J29" s="524"/>
      <c r="K29" s="772"/>
      <c r="L29" s="772"/>
      <c r="M29" s="294"/>
      <c r="N29" s="296"/>
      <c r="O29" s="277">
        <v>1027775.2730000002</v>
      </c>
      <c r="P29" s="278">
        <f t="shared" ref="P29:P32" si="18">O29/$O$27</f>
        <v>0.18532138401096265</v>
      </c>
      <c r="Q29" s="279">
        <v>378</v>
      </c>
      <c r="R29" s="280">
        <f t="shared" ref="R29:R32" si="19">+Q29/Q$27</f>
        <v>0.26077957916522937</v>
      </c>
      <c r="S29" s="265"/>
      <c r="T29" s="229"/>
    </row>
    <row r="30" spans="1:20" x14ac:dyDescent="0.2">
      <c r="A30" s="245">
        <v>15000</v>
      </c>
      <c r="B30" s="561" t="s">
        <v>64</v>
      </c>
      <c r="C30" s="229"/>
      <c r="D30" s="229"/>
      <c r="E30" s="282">
        <v>142319</v>
      </c>
      <c r="F30" s="283">
        <v>68850</v>
      </c>
      <c r="G30" s="284">
        <f t="shared" si="17"/>
        <v>211169</v>
      </c>
      <c r="H30" s="278">
        <f t="shared" ref="H30:H32" si="20">+G30/G$27</f>
        <v>0.11505828405042821</v>
      </c>
      <c r="I30" s="524"/>
      <c r="J30" s="524"/>
      <c r="K30" s="772"/>
      <c r="L30" s="772"/>
      <c r="M30" s="294"/>
      <c r="N30" s="296"/>
      <c r="O30" s="277">
        <v>492865</v>
      </c>
      <c r="P30" s="278">
        <f t="shared" si="18"/>
        <v>8.8870034461865366E-2</v>
      </c>
      <c r="Q30" s="279">
        <v>240.5</v>
      </c>
      <c r="R30" s="280">
        <f t="shared" si="19"/>
        <v>0.16591928251121077</v>
      </c>
      <c r="S30" s="265"/>
      <c r="T30" s="229"/>
    </row>
    <row r="31" spans="1:20" x14ac:dyDescent="0.2">
      <c r="A31" s="245">
        <v>21000</v>
      </c>
      <c r="B31" s="561" t="s">
        <v>68</v>
      </c>
      <c r="C31" s="229"/>
      <c r="D31" s="229"/>
      <c r="E31" s="282">
        <v>94242</v>
      </c>
      <c r="F31" s="283">
        <v>138035</v>
      </c>
      <c r="G31" s="284">
        <f t="shared" si="17"/>
        <v>232277</v>
      </c>
      <c r="H31" s="278">
        <f t="shared" si="20"/>
        <v>0.1265592631701685</v>
      </c>
      <c r="I31" s="524"/>
      <c r="J31" s="524"/>
      <c r="K31" s="772"/>
      <c r="L31" s="772"/>
      <c r="M31" s="294"/>
      <c r="N31" s="296"/>
      <c r="O31" s="277">
        <v>1032408</v>
      </c>
      <c r="P31" s="278">
        <f t="shared" si="18"/>
        <v>0.18615672555102411</v>
      </c>
      <c r="Q31" s="279">
        <v>84</v>
      </c>
      <c r="R31" s="280">
        <f t="shared" si="19"/>
        <v>5.7951017592273196E-2</v>
      </c>
      <c r="S31" s="265"/>
      <c r="T31" s="229"/>
    </row>
    <row r="32" spans="1:20" ht="13.5" thickBot="1" x14ac:dyDescent="0.25">
      <c r="A32" s="257">
        <v>26000</v>
      </c>
      <c r="B32" s="562" t="s">
        <v>173</v>
      </c>
      <c r="C32" s="229"/>
      <c r="D32" s="229"/>
      <c r="E32" s="289">
        <v>92446</v>
      </c>
      <c r="F32" s="290">
        <v>85043</v>
      </c>
      <c r="G32" s="291">
        <f t="shared" si="17"/>
        <v>177489</v>
      </c>
      <c r="H32" s="286">
        <f t="shared" si="20"/>
        <v>9.6707280793234096E-2</v>
      </c>
      <c r="I32" s="524"/>
      <c r="J32" s="524"/>
      <c r="K32" s="772"/>
      <c r="L32" s="772"/>
      <c r="M32" s="294"/>
      <c r="N32" s="296"/>
      <c r="O32" s="285">
        <v>671116</v>
      </c>
      <c r="P32" s="286">
        <f t="shared" si="18"/>
        <v>0.12101103151554531</v>
      </c>
      <c r="Q32" s="287">
        <v>88.5</v>
      </c>
      <c r="R32" s="288">
        <f t="shared" si="19"/>
        <v>6.1055536391859261E-2</v>
      </c>
      <c r="S32" s="265"/>
      <c r="T32" s="229"/>
    </row>
    <row r="33" spans="1:20" ht="13.5" thickBot="1" x14ac:dyDescent="0.25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99"/>
      <c r="P33" s="229"/>
      <c r="Q33" s="229"/>
      <c r="R33" s="229"/>
      <c r="S33" s="265"/>
      <c r="T33" s="229"/>
    </row>
    <row r="34" spans="1:20" ht="15" x14ac:dyDescent="0.25">
      <c r="A34" s="473" t="s">
        <v>147</v>
      </c>
      <c r="B34" s="525" t="s">
        <v>166</v>
      </c>
      <c r="C34" s="294"/>
      <c r="D34" s="295"/>
      <c r="E34" s="518"/>
      <c r="F34" s="518"/>
      <c r="G34" s="518"/>
      <c r="H34" s="518"/>
      <c r="I34" s="296"/>
      <c r="J34" s="296"/>
      <c r="K34" s="295"/>
      <c r="L34" s="295"/>
      <c r="M34" s="294"/>
      <c r="N34" s="295"/>
      <c r="O34" s="266">
        <f>SUM(O35:O39)</f>
        <v>5205458.8303199997</v>
      </c>
      <c r="P34" s="267">
        <f>SUM(P35:P39)</f>
        <v>1</v>
      </c>
      <c r="Q34" s="505"/>
      <c r="R34" s="505"/>
      <c r="S34" s="507"/>
      <c r="T34" s="229"/>
    </row>
    <row r="35" spans="1:20" ht="15" x14ac:dyDescent="0.25">
      <c r="A35" s="275">
        <v>11000</v>
      </c>
      <c r="B35" s="276" t="s">
        <v>167</v>
      </c>
      <c r="C35" s="294"/>
      <c r="D35" s="296"/>
      <c r="E35" s="518"/>
      <c r="F35" s="518"/>
      <c r="G35" s="518"/>
      <c r="H35" s="518"/>
      <c r="I35" s="296"/>
      <c r="J35" s="296"/>
      <c r="K35" s="296"/>
      <c r="L35" s="296"/>
      <c r="M35" s="294"/>
      <c r="N35" s="296"/>
      <c r="O35" s="520">
        <v>2250408.0303199999</v>
      </c>
      <c r="P35" s="281">
        <f>O35/$O$34</f>
        <v>0.43231693951974998</v>
      </c>
      <c r="Q35" s="505"/>
      <c r="R35" s="505"/>
      <c r="S35" s="507"/>
      <c r="T35" s="229"/>
    </row>
    <row r="36" spans="1:20" ht="15" x14ac:dyDescent="0.25">
      <c r="A36" s="245">
        <v>14000</v>
      </c>
      <c r="B36" s="246" t="s">
        <v>63</v>
      </c>
      <c r="C36" s="294"/>
      <c r="D36" s="296"/>
      <c r="E36" s="518"/>
      <c r="F36" s="518"/>
      <c r="G36" s="518"/>
      <c r="H36" s="518"/>
      <c r="I36" s="296"/>
      <c r="J36" s="296"/>
      <c r="K36" s="296"/>
      <c r="L36" s="296"/>
      <c r="M36" s="294"/>
      <c r="N36" s="296"/>
      <c r="O36" s="277">
        <v>875606</v>
      </c>
      <c r="P36" s="278">
        <f t="shared" ref="P36:P39" si="21">O36/$O$34</f>
        <v>0.16820918742069335</v>
      </c>
      <c r="Q36" s="505"/>
      <c r="R36" s="505"/>
      <c r="S36" s="507"/>
      <c r="T36" s="229"/>
    </row>
    <row r="37" spans="1:20" ht="15" x14ac:dyDescent="0.25">
      <c r="A37" s="245">
        <v>15000</v>
      </c>
      <c r="B37" s="246" t="s">
        <v>64</v>
      </c>
      <c r="C37" s="294"/>
      <c r="D37" s="296"/>
      <c r="E37" s="518"/>
      <c r="F37" s="518"/>
      <c r="G37" s="518"/>
      <c r="H37" s="518"/>
      <c r="I37" s="296"/>
      <c r="J37" s="296"/>
      <c r="K37" s="296"/>
      <c r="L37" s="296"/>
      <c r="M37" s="294"/>
      <c r="N37" s="296"/>
      <c r="O37" s="277">
        <v>462305.8</v>
      </c>
      <c r="P37" s="278">
        <f t="shared" si="21"/>
        <v>8.8811729199975306E-2</v>
      </c>
      <c r="Q37" s="505"/>
      <c r="R37" s="505"/>
      <c r="S37" s="507"/>
      <c r="T37" s="229"/>
    </row>
    <row r="38" spans="1:20" ht="15" x14ac:dyDescent="0.25">
      <c r="A38" s="245">
        <v>21000</v>
      </c>
      <c r="B38" s="246" t="s">
        <v>68</v>
      </c>
      <c r="C38" s="294"/>
      <c r="D38" s="296"/>
      <c r="E38" s="518"/>
      <c r="F38" s="518"/>
      <c r="G38" s="518"/>
      <c r="H38" s="518"/>
      <c r="I38" s="296"/>
      <c r="J38" s="296"/>
      <c r="K38" s="296"/>
      <c r="L38" s="296"/>
      <c r="M38" s="294"/>
      <c r="N38" s="296"/>
      <c r="O38" s="277">
        <v>1040328</v>
      </c>
      <c r="P38" s="278">
        <f t="shared" si="21"/>
        <v>0.19985327593803043</v>
      </c>
      <c r="Q38" s="505"/>
      <c r="R38" s="505"/>
      <c r="S38" s="507"/>
      <c r="T38" s="229"/>
    </row>
    <row r="39" spans="1:20" ht="15.75" thickBot="1" x14ac:dyDescent="0.3">
      <c r="A39" s="257">
        <v>26000</v>
      </c>
      <c r="B39" s="258" t="s">
        <v>173</v>
      </c>
      <c r="C39" s="294"/>
      <c r="D39" s="296"/>
      <c r="E39" s="518"/>
      <c r="F39" s="518"/>
      <c r="G39" s="518"/>
      <c r="H39" s="518"/>
      <c r="I39" s="296"/>
      <c r="J39" s="296"/>
      <c r="K39" s="296"/>
      <c r="L39" s="296"/>
      <c r="M39" s="294"/>
      <c r="N39" s="296"/>
      <c r="O39" s="285">
        <v>576811</v>
      </c>
      <c r="P39" s="286">
        <f t="shared" si="21"/>
        <v>0.11080886792155097</v>
      </c>
      <c r="Q39" s="505"/>
      <c r="R39" s="505"/>
      <c r="S39" s="507"/>
      <c r="T39" s="229"/>
    </row>
    <row r="41" spans="1:20" x14ac:dyDescent="0.2">
      <c r="A41" s="794" t="s">
        <v>240</v>
      </c>
    </row>
    <row r="42" spans="1:20" x14ac:dyDescent="0.2">
      <c r="A42" s="158"/>
    </row>
    <row r="43" spans="1:20" x14ac:dyDescent="0.2">
      <c r="A43" s="177"/>
    </row>
  </sheetData>
  <mergeCells count="12">
    <mergeCell ref="A6:B6"/>
    <mergeCell ref="A3:B4"/>
    <mergeCell ref="C3:D4"/>
    <mergeCell ref="E3:H3"/>
    <mergeCell ref="I3:J4"/>
    <mergeCell ref="O3:P4"/>
    <mergeCell ref="Q3:R3"/>
    <mergeCell ref="S3:S4"/>
    <mergeCell ref="T3:T4"/>
    <mergeCell ref="A5:B5"/>
    <mergeCell ref="K3:L4"/>
    <mergeCell ref="M3:N4"/>
  </mergeCells>
  <hyperlinks>
    <hyperlink ref="A41" location="'0 Seznam'!A1" display="'0 Seznam'!A1"/>
  </hyperlinks>
  <pageMargins left="0.70866141732283472" right="0.70866141732283472" top="0.78740157480314965" bottom="0.78740157480314965" header="0.31496062992125984" footer="0.31496062992125984"/>
  <pageSetup paperSize="9" scale="64" orientation="landscape" r:id="rId1"/>
  <headerFooter>
    <oddHeader>&amp;LČ. j.: MSMT-1251/2018-1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41"/>
  <sheetViews>
    <sheetView topLeftCell="A13" zoomScaleNormal="100" workbookViewId="0">
      <selection activeCell="A39" sqref="A39"/>
    </sheetView>
  </sheetViews>
  <sheetFormatPr defaultRowHeight="15" x14ac:dyDescent="0.25"/>
  <cols>
    <col min="1" max="1" width="9.140625" style="300"/>
    <col min="2" max="2" width="64.28515625" style="300" customWidth="1"/>
    <col min="3" max="9" width="17.7109375" style="300" customWidth="1"/>
    <col min="10" max="10" width="18.42578125" style="300" customWidth="1"/>
    <col min="11" max="11" width="21.140625" style="300" customWidth="1"/>
    <col min="12" max="12" width="17.7109375" style="300" customWidth="1"/>
    <col min="13" max="13" width="16.7109375" style="300" customWidth="1"/>
    <col min="14" max="14" width="19.7109375" style="300" customWidth="1"/>
    <col min="15" max="15" width="2.28515625" style="300" customWidth="1"/>
    <col min="16" max="16" width="15.140625" style="300" customWidth="1"/>
    <col min="17" max="17" width="2.85546875" style="300" customWidth="1"/>
    <col min="18" max="18" width="14" style="300" customWidth="1"/>
    <col min="19" max="16384" width="9.140625" style="300"/>
  </cols>
  <sheetData>
    <row r="1" spans="1:18" ht="27.75" x14ac:dyDescent="0.4">
      <c r="A1" s="679" t="s">
        <v>286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8" ht="28.5" x14ac:dyDescent="0.45">
      <c r="A2" s="765" t="s">
        <v>287</v>
      </c>
    </row>
    <row r="3" spans="1:18" ht="12.75" customHeight="1" x14ac:dyDescent="0.45">
      <c r="A3" s="765"/>
    </row>
    <row r="4" spans="1:18" x14ac:dyDescent="0.25">
      <c r="B4" s="395" t="s">
        <v>176</v>
      </c>
      <c r="C4" s="396">
        <v>18186023232</v>
      </c>
      <c r="D4" s="395" t="s">
        <v>127</v>
      </c>
    </row>
    <row r="5" spans="1:18" x14ac:dyDescent="0.25">
      <c r="B5" s="395" t="s">
        <v>177</v>
      </c>
      <c r="C5" s="396">
        <v>15067420909</v>
      </c>
      <c r="D5" s="395" t="s">
        <v>127</v>
      </c>
      <c r="E5" s="395" t="s">
        <v>212</v>
      </c>
      <c r="F5" s="571">
        <f>C5/$C$4</f>
        <v>0.82851653254722946</v>
      </c>
      <c r="H5" s="301"/>
      <c r="I5" s="301"/>
    </row>
    <row r="6" spans="1:18" x14ac:dyDescent="0.25">
      <c r="B6" s="395" t="s">
        <v>178</v>
      </c>
      <c r="C6" s="396">
        <v>3118602323</v>
      </c>
      <c r="D6" s="395" t="s">
        <v>127</v>
      </c>
      <c r="E6" s="395" t="s">
        <v>212</v>
      </c>
      <c r="F6" s="571">
        <f>C6/$C$4</f>
        <v>0.17148346745277049</v>
      </c>
      <c r="H6" s="301"/>
      <c r="J6" s="505"/>
      <c r="K6" s="505"/>
      <c r="L6" s="505"/>
      <c r="M6" s="505"/>
    </row>
    <row r="7" spans="1:18" ht="15.75" thickBot="1" x14ac:dyDescent="0.3">
      <c r="I7" s="303" t="s">
        <v>145</v>
      </c>
      <c r="J7" s="505"/>
      <c r="K7" s="506"/>
      <c r="L7" s="506"/>
      <c r="M7" s="506"/>
      <c r="N7" s="505"/>
    </row>
    <row r="8" spans="1:18" ht="15" customHeight="1" x14ac:dyDescent="0.25">
      <c r="A8" s="923" t="s">
        <v>61</v>
      </c>
      <c r="B8" s="964" t="s">
        <v>103</v>
      </c>
      <c r="C8" s="966" t="s">
        <v>179</v>
      </c>
      <c r="D8" s="967"/>
      <c r="E8" s="967"/>
      <c r="F8" s="968"/>
      <c r="G8" s="960" t="s">
        <v>180</v>
      </c>
      <c r="H8" s="961"/>
      <c r="I8" s="962" t="s">
        <v>181</v>
      </c>
      <c r="J8" s="505"/>
      <c r="K8" s="506"/>
      <c r="L8" s="506"/>
      <c r="M8" s="506"/>
    </row>
    <row r="9" spans="1:18" ht="47.25" customHeight="1" thickBot="1" x14ac:dyDescent="0.3">
      <c r="A9" s="924"/>
      <c r="B9" s="965"/>
      <c r="C9" s="646" t="s">
        <v>246</v>
      </c>
      <c r="D9" s="642" t="s">
        <v>247</v>
      </c>
      <c r="E9" s="643" t="s">
        <v>248</v>
      </c>
      <c r="F9" s="647" t="s">
        <v>245</v>
      </c>
      <c r="G9" s="646" t="s">
        <v>246</v>
      </c>
      <c r="H9" s="642" t="s">
        <v>251</v>
      </c>
      <c r="I9" s="963"/>
      <c r="J9" s="505"/>
      <c r="K9" s="506"/>
      <c r="L9" s="506"/>
      <c r="M9" s="506"/>
    </row>
    <row r="10" spans="1:18" ht="15" customHeight="1" x14ac:dyDescent="0.25">
      <c r="A10" s="461">
        <v>11000</v>
      </c>
      <c r="B10" s="420" t="s">
        <v>143</v>
      </c>
      <c r="C10" s="648">
        <f>'2 Stanovení podílů fixní části'!D5</f>
        <v>0.17695264944429348</v>
      </c>
      <c r="D10" s="394">
        <f t="shared" ref="D10:D35" si="0">+C$5*C10</f>
        <v>2666220050.139895</v>
      </c>
      <c r="E10" s="394"/>
      <c r="F10" s="563">
        <f>D10-E10</f>
        <v>2666220050.139895</v>
      </c>
      <c r="G10" s="644">
        <f>'3d - Výkonová část segment 4'!T7</f>
        <v>0.20502973513525813</v>
      </c>
      <c r="H10" s="651">
        <f t="shared" ref="H10:H35" si="1">+C$6*G10</f>
        <v>639406208.27689075</v>
      </c>
      <c r="I10" s="655">
        <f>H10+F10</f>
        <v>3305626258.4167857</v>
      </c>
      <c r="J10" s="505"/>
      <c r="K10" s="505"/>
      <c r="L10" s="505"/>
      <c r="M10" s="505"/>
      <c r="N10" s="302"/>
      <c r="P10" s="302"/>
      <c r="R10" s="302"/>
    </row>
    <row r="11" spans="1:18" ht="15" customHeight="1" x14ac:dyDescent="0.25">
      <c r="A11" s="462">
        <v>12000</v>
      </c>
      <c r="B11" s="420" t="s">
        <v>78</v>
      </c>
      <c r="C11" s="649">
        <f>'2 Stanovení podílů fixní části'!D6</f>
        <v>3.0697647090169203E-2</v>
      </c>
      <c r="D11" s="347">
        <f t="shared" si="0"/>
        <v>462534369.62351847</v>
      </c>
      <c r="E11" s="347"/>
      <c r="F11" s="564">
        <f t="shared" ref="F11:F35" si="2">D11-E11</f>
        <v>462534369.62351847</v>
      </c>
      <c r="G11" s="645">
        <f>'3c - Výkonová část segment 3'!T7</f>
        <v>3.1173971625622451E-2</v>
      </c>
      <c r="H11" s="652">
        <f t="shared" si="1"/>
        <v>97219220.328802258</v>
      </c>
      <c r="I11" s="656">
        <f t="shared" ref="I11:I35" si="3">H11+F11</f>
        <v>559753589.95232069</v>
      </c>
      <c r="J11" s="505"/>
      <c r="K11" s="505"/>
      <c r="L11" s="505"/>
      <c r="M11" s="505"/>
      <c r="N11" s="302"/>
      <c r="P11" s="302"/>
      <c r="R11" s="302"/>
    </row>
    <row r="12" spans="1:18" ht="15" customHeight="1" x14ac:dyDescent="0.25">
      <c r="A12" s="462">
        <v>13000</v>
      </c>
      <c r="B12" s="420" t="s">
        <v>79</v>
      </c>
      <c r="C12" s="649">
        <f>'2 Stanovení podílů fixní části'!D7</f>
        <v>2.4480364943767239E-2</v>
      </c>
      <c r="D12" s="347">
        <f t="shared" si="0"/>
        <v>368855962.6136691</v>
      </c>
      <c r="E12" s="347"/>
      <c r="F12" s="564">
        <f t="shared" si="2"/>
        <v>368855962.6136691</v>
      </c>
      <c r="G12" s="645">
        <f>'3c - Výkonová část segment 3'!T8</f>
        <v>1.6012791287346031E-2</v>
      </c>
      <c r="H12" s="652">
        <f t="shared" si="1"/>
        <v>49937528.106431492</v>
      </c>
      <c r="I12" s="656">
        <f t="shared" si="3"/>
        <v>418793490.72010058</v>
      </c>
      <c r="J12" s="505"/>
      <c r="K12" s="505"/>
      <c r="L12" s="505"/>
      <c r="M12" s="505"/>
      <c r="N12" s="302"/>
      <c r="P12" s="302"/>
      <c r="R12" s="302"/>
    </row>
    <row r="13" spans="1:18" ht="15" customHeight="1" x14ac:dyDescent="0.25">
      <c r="A13" s="462">
        <v>14000</v>
      </c>
      <c r="B13" s="420" t="s">
        <v>80</v>
      </c>
      <c r="C13" s="649">
        <f>'2 Stanovení podílů fixní části'!D8</f>
        <v>0.11296414550828111</v>
      </c>
      <c r="D13" s="347">
        <f t="shared" si="0"/>
        <v>1702078327.9987934</v>
      </c>
      <c r="E13" s="394"/>
      <c r="F13" s="563">
        <f t="shared" si="2"/>
        <v>1702078327.9987934</v>
      </c>
      <c r="G13" s="644">
        <f>'3d - Výkonová část segment 4'!T8</f>
        <v>0.12259281313485031</v>
      </c>
      <c r="H13" s="652">
        <f t="shared" si="1"/>
        <v>382318231.82544905</v>
      </c>
      <c r="I13" s="657">
        <f t="shared" si="3"/>
        <v>2084396559.8242424</v>
      </c>
      <c r="J13" s="505"/>
      <c r="K13" s="505"/>
      <c r="L13" s="505"/>
      <c r="M13" s="505"/>
      <c r="N13" s="302"/>
      <c r="P13" s="302"/>
      <c r="R13" s="302"/>
    </row>
    <row r="14" spans="1:18" ht="15" customHeight="1" x14ac:dyDescent="0.25">
      <c r="A14" s="462">
        <v>15000</v>
      </c>
      <c r="B14" s="420" t="s">
        <v>81</v>
      </c>
      <c r="C14" s="649">
        <f>'2 Stanovení podílů fixní části'!D9</f>
        <v>6.302830235248319E-2</v>
      </c>
      <c r="D14" s="347">
        <f t="shared" si="0"/>
        <v>949673960.7245791</v>
      </c>
      <c r="E14" s="394"/>
      <c r="F14" s="563">
        <f t="shared" si="2"/>
        <v>949673960.7245791</v>
      </c>
      <c r="G14" s="644">
        <f>'3d - Výkonová část segment 4'!T9</f>
        <v>7.3944851292757505E-2</v>
      </c>
      <c r="H14" s="652">
        <f t="shared" si="1"/>
        <v>230604585.01548311</v>
      </c>
      <c r="I14" s="657">
        <f t="shared" si="3"/>
        <v>1180278545.7400622</v>
      </c>
      <c r="J14" s="505"/>
      <c r="K14" s="505"/>
      <c r="L14" s="505"/>
      <c r="M14" s="505"/>
      <c r="N14" s="302"/>
      <c r="P14" s="302"/>
      <c r="R14" s="302"/>
    </row>
    <row r="15" spans="1:18" ht="15" customHeight="1" x14ac:dyDescent="0.25">
      <c r="A15" s="462">
        <v>16000</v>
      </c>
      <c r="B15" s="420" t="s">
        <v>82</v>
      </c>
      <c r="C15" s="649">
        <f>'2 Stanovení podílů fixní části'!D10</f>
        <v>1.5635332773601272E-2</v>
      </c>
      <c r="D15" s="347">
        <f t="shared" si="0"/>
        <v>235584139.95213276</v>
      </c>
      <c r="E15" s="347"/>
      <c r="F15" s="564">
        <f t="shared" si="2"/>
        <v>235584139.95213276</v>
      </c>
      <c r="G15" s="645">
        <f>'3c - Výkonová část segment 3'!T9</f>
        <v>1.1748079188675488E-2</v>
      </c>
      <c r="H15" s="652">
        <f t="shared" si="1"/>
        <v>36637587.048591331</v>
      </c>
      <c r="I15" s="656">
        <f t="shared" si="3"/>
        <v>272221727.00072408</v>
      </c>
      <c r="J15" s="505"/>
      <c r="K15" s="505"/>
      <c r="L15" s="505"/>
      <c r="M15" s="505"/>
      <c r="N15" s="302"/>
      <c r="P15" s="302"/>
      <c r="R15" s="302"/>
    </row>
    <row r="16" spans="1:18" ht="15" customHeight="1" x14ac:dyDescent="0.25">
      <c r="A16" s="462">
        <v>17000</v>
      </c>
      <c r="B16" s="420" t="s">
        <v>142</v>
      </c>
      <c r="C16" s="649">
        <f>'2 Stanovení podílů fixní části'!D11</f>
        <v>2.7767836860885183E-2</v>
      </c>
      <c r="D16" s="347">
        <f t="shared" si="0"/>
        <v>418389685.71540231</v>
      </c>
      <c r="E16" s="347"/>
      <c r="F16" s="564">
        <f t="shared" si="2"/>
        <v>418389685.71540231</v>
      </c>
      <c r="G16" s="645">
        <f>'3c - Výkonová část segment 3'!T10</f>
        <v>2.2746474102501465E-2</v>
      </c>
      <c r="H16" s="652">
        <f t="shared" si="1"/>
        <v>70937206.976120412</v>
      </c>
      <c r="I16" s="656">
        <f t="shared" si="3"/>
        <v>489326892.69152272</v>
      </c>
      <c r="J16" s="505"/>
      <c r="K16" s="505"/>
      <c r="L16" s="505"/>
      <c r="M16" s="505"/>
      <c r="N16" s="302"/>
      <c r="P16" s="302"/>
      <c r="R16" s="302"/>
    </row>
    <row r="17" spans="1:18" ht="15" customHeight="1" x14ac:dyDescent="0.25">
      <c r="A17" s="462">
        <v>18000</v>
      </c>
      <c r="B17" s="420" t="s">
        <v>75</v>
      </c>
      <c r="C17" s="649">
        <f>'2 Stanovení podílů fixní části'!D12</f>
        <v>1.7110073746407363E-2</v>
      </c>
      <c r="D17" s="347">
        <f t="shared" si="0"/>
        <v>257804682.92115027</v>
      </c>
      <c r="E17" s="347">
        <v>2892279.511311831</v>
      </c>
      <c r="F17" s="564">
        <f t="shared" si="2"/>
        <v>254912403.40983844</v>
      </c>
      <c r="G17" s="645">
        <f>'3c - Výkonová část segment 3'!T11</f>
        <v>1.5005905225554467E-2</v>
      </c>
      <c r="H17" s="652">
        <f t="shared" si="1"/>
        <v>46797450.895131998</v>
      </c>
      <c r="I17" s="656">
        <f t="shared" si="3"/>
        <v>301709854.30497044</v>
      </c>
      <c r="J17" s="505"/>
      <c r="K17" s="505"/>
      <c r="L17" s="505"/>
      <c r="M17" s="505"/>
      <c r="N17" s="302"/>
      <c r="P17" s="302"/>
      <c r="R17" s="302"/>
    </row>
    <row r="18" spans="1:18" ht="15" customHeight="1" x14ac:dyDescent="0.25">
      <c r="A18" s="462">
        <v>19000</v>
      </c>
      <c r="B18" s="420" t="s">
        <v>83</v>
      </c>
      <c r="C18" s="649">
        <f>'2 Stanovení podílů fixní části'!D13</f>
        <v>1.5316715668543663E-2</v>
      </c>
      <c r="D18" s="347">
        <f t="shared" si="0"/>
        <v>230783401.92142269</v>
      </c>
      <c r="E18" s="347"/>
      <c r="F18" s="564">
        <f t="shared" si="2"/>
        <v>230783401.92142269</v>
      </c>
      <c r="G18" s="645">
        <f>'3c - Výkonová část segment 3'!T12</f>
        <v>1.1224183024920823E-2</v>
      </c>
      <c r="H18" s="652">
        <f t="shared" si="1"/>
        <v>35003763.255295247</v>
      </c>
      <c r="I18" s="656">
        <f t="shared" si="3"/>
        <v>265787165.17671794</v>
      </c>
      <c r="J18" s="505"/>
      <c r="K18" s="505"/>
      <c r="L18" s="505"/>
      <c r="M18" s="505"/>
      <c r="N18" s="302"/>
      <c r="P18" s="302"/>
      <c r="R18" s="302"/>
    </row>
    <row r="19" spans="1:18" ht="15" customHeight="1" x14ac:dyDescent="0.25">
      <c r="A19" s="462">
        <v>21000</v>
      </c>
      <c r="B19" s="420" t="s">
        <v>84</v>
      </c>
      <c r="C19" s="649">
        <f>'2 Stanovení podílů fixní části'!D14</f>
        <v>8.5641995489060999E-2</v>
      </c>
      <c r="D19" s="347">
        <f t="shared" si="0"/>
        <v>1290403993.5203614</v>
      </c>
      <c r="E19" s="394"/>
      <c r="F19" s="563">
        <f t="shared" si="2"/>
        <v>1290403993.5203614</v>
      </c>
      <c r="G19" s="644">
        <f>'3d - Výkonová část segment 4'!T10</f>
        <v>8.9301949697569966E-2</v>
      </c>
      <c r="H19" s="652">
        <f t="shared" si="1"/>
        <v>278497267.77527082</v>
      </c>
      <c r="I19" s="657">
        <f t="shared" si="3"/>
        <v>1568901261.2956324</v>
      </c>
      <c r="J19" s="505"/>
      <c r="K19" s="505"/>
      <c r="L19" s="505"/>
      <c r="M19" s="505"/>
      <c r="N19" s="302"/>
      <c r="P19" s="302"/>
      <c r="R19" s="302"/>
    </row>
    <row r="20" spans="1:18" ht="15" customHeight="1" x14ac:dyDescent="0.25">
      <c r="A20" s="462">
        <v>22000</v>
      </c>
      <c r="B20" s="420" t="s">
        <v>85</v>
      </c>
      <c r="C20" s="649">
        <f>'2 Stanovení podílů fixní části'!D15</f>
        <v>2.2766014147582364E-2</v>
      </c>
      <c r="D20" s="347">
        <f t="shared" si="0"/>
        <v>343025117.58187234</v>
      </c>
      <c r="E20" s="347"/>
      <c r="F20" s="564">
        <f t="shared" si="2"/>
        <v>343025117.58187234</v>
      </c>
      <c r="G20" s="645">
        <f>'3c - Výkonová část segment 3'!T13</f>
        <v>3.2660697790544646E-2</v>
      </c>
      <c r="H20" s="652">
        <f t="shared" si="1"/>
        <v>101855728.00039349</v>
      </c>
      <c r="I20" s="656">
        <f t="shared" si="3"/>
        <v>444880845.58226585</v>
      </c>
      <c r="J20" s="505"/>
      <c r="K20" s="505"/>
      <c r="L20" s="505"/>
      <c r="M20" s="505"/>
      <c r="N20" s="302"/>
      <c r="P20" s="302"/>
      <c r="R20" s="302"/>
    </row>
    <row r="21" spans="1:18" ht="15" customHeight="1" x14ac:dyDescent="0.25">
      <c r="A21" s="462">
        <v>23000</v>
      </c>
      <c r="B21" s="420" t="s">
        <v>86</v>
      </c>
      <c r="C21" s="649">
        <f>'2 Stanovení podílů fixní části'!D16</f>
        <v>3.7262882924694832E-2</v>
      </c>
      <c r="D21" s="347">
        <f t="shared" si="0"/>
        <v>561455541.30916595</v>
      </c>
      <c r="E21" s="347"/>
      <c r="F21" s="564">
        <f t="shared" si="2"/>
        <v>561455541.30916595</v>
      </c>
      <c r="G21" s="645">
        <f>'3c - Výkonová část segment 3'!T14</f>
        <v>3.8233744074396531E-2</v>
      </c>
      <c r="H21" s="652">
        <f t="shared" si="1"/>
        <v>119235843.08740051</v>
      </c>
      <c r="I21" s="656">
        <f t="shared" si="3"/>
        <v>680691384.39656651</v>
      </c>
      <c r="J21" s="505"/>
      <c r="K21" s="505"/>
      <c r="L21" s="505"/>
      <c r="M21" s="505"/>
      <c r="N21" s="302"/>
      <c r="P21" s="302"/>
      <c r="R21" s="302"/>
    </row>
    <row r="22" spans="1:18" ht="15" customHeight="1" x14ac:dyDescent="0.25">
      <c r="A22" s="462">
        <v>24000</v>
      </c>
      <c r="B22" s="420" t="s">
        <v>87</v>
      </c>
      <c r="C22" s="649">
        <f>'2 Stanovení podílů fixní části'!D17</f>
        <v>2.1880740698916275E-2</v>
      </c>
      <c r="D22" s="347">
        <f t="shared" si="0"/>
        <v>329686329.91125834</v>
      </c>
      <c r="E22" s="347">
        <v>2439365.9048129455</v>
      </c>
      <c r="F22" s="564">
        <f t="shared" si="2"/>
        <v>327246964.00644541</v>
      </c>
      <c r="G22" s="645">
        <f>'3c - Výkonová část segment 3'!T15</f>
        <v>2.0107181124793518E-2</v>
      </c>
      <c r="H22" s="652">
        <f t="shared" si="1"/>
        <v>62706301.764762819</v>
      </c>
      <c r="I22" s="656">
        <f t="shared" si="3"/>
        <v>389953265.77120823</v>
      </c>
      <c r="J22" s="505"/>
      <c r="K22" s="505"/>
      <c r="L22" s="505"/>
      <c r="M22" s="505"/>
      <c r="N22" s="302"/>
      <c r="P22" s="302"/>
      <c r="R22" s="302"/>
    </row>
    <row r="23" spans="1:18" ht="15" customHeight="1" x14ac:dyDescent="0.25">
      <c r="A23" s="462">
        <v>25000</v>
      </c>
      <c r="B23" s="420" t="s">
        <v>88</v>
      </c>
      <c r="C23" s="649">
        <f>'2 Stanovení podílů fixní části'!D18</f>
        <v>2.6137333482064571E-2</v>
      </c>
      <c r="D23" s="347">
        <f t="shared" si="0"/>
        <v>393822205.01316547</v>
      </c>
      <c r="E23" s="347">
        <v>1354000.6535411042</v>
      </c>
      <c r="F23" s="564">
        <f t="shared" si="2"/>
        <v>392468204.35962439</v>
      </c>
      <c r="G23" s="645">
        <f>'3c - Výkonová část segment 3'!T16</f>
        <v>2.2435584451773159E-2</v>
      </c>
      <c r="H23" s="652">
        <f t="shared" si="1"/>
        <v>69967665.789162457</v>
      </c>
      <c r="I23" s="656">
        <f t="shared" si="3"/>
        <v>462435870.14878684</v>
      </c>
      <c r="J23" s="505"/>
      <c r="K23" s="505"/>
      <c r="L23" s="505"/>
      <c r="M23" s="505"/>
      <c r="N23" s="302"/>
      <c r="P23" s="302"/>
      <c r="R23" s="302"/>
    </row>
    <row r="24" spans="1:18" ht="15" customHeight="1" x14ac:dyDescent="0.25">
      <c r="A24" s="462">
        <v>26000</v>
      </c>
      <c r="B24" s="420" t="s">
        <v>89</v>
      </c>
      <c r="C24" s="649">
        <f>'2 Stanovení podílů fixní části'!D19</f>
        <v>6.9568185242033953E-2</v>
      </c>
      <c r="D24" s="347">
        <f t="shared" si="0"/>
        <v>1048213128.9170076</v>
      </c>
      <c r="E24" s="394">
        <v>7295409.021217349</v>
      </c>
      <c r="F24" s="563">
        <f t="shared" si="2"/>
        <v>1040917719.8957902</v>
      </c>
      <c r="G24" s="644">
        <f>'3d - Výkonová část segment 4'!T11</f>
        <v>6.9039293025103601E-2</v>
      </c>
      <c r="H24" s="652">
        <f t="shared" si="1"/>
        <v>215306099.6063658</v>
      </c>
      <c r="I24" s="657">
        <f t="shared" si="3"/>
        <v>1256223819.502156</v>
      </c>
      <c r="J24" s="505"/>
      <c r="K24" s="505"/>
      <c r="L24" s="505"/>
      <c r="M24" s="505"/>
      <c r="N24" s="302"/>
      <c r="P24" s="302"/>
      <c r="R24" s="302"/>
    </row>
    <row r="25" spans="1:18" ht="15" customHeight="1" x14ac:dyDescent="0.25">
      <c r="A25" s="462">
        <v>27000</v>
      </c>
      <c r="B25" s="420" t="s">
        <v>90</v>
      </c>
      <c r="C25" s="649">
        <f>'2 Stanovení podílů fixní části'!D20</f>
        <v>5.0938869619039158E-2</v>
      </c>
      <c r="D25" s="347">
        <f t="shared" si="0"/>
        <v>767517389.17873549</v>
      </c>
      <c r="E25" s="347">
        <v>42071633.107231602</v>
      </c>
      <c r="F25" s="564">
        <f t="shared" si="2"/>
        <v>725445756.07150388</v>
      </c>
      <c r="G25" s="645">
        <f>'3c - Výkonová část segment 3'!T17</f>
        <v>4.0496815766486387E-2</v>
      </c>
      <c r="H25" s="652">
        <f t="shared" si="1"/>
        <v>126293463.72346747</v>
      </c>
      <c r="I25" s="656">
        <f t="shared" si="3"/>
        <v>851739219.79497135</v>
      </c>
      <c r="J25" s="505"/>
      <c r="K25" s="505"/>
      <c r="L25" s="505"/>
      <c r="M25" s="505"/>
      <c r="N25" s="302"/>
      <c r="P25" s="302"/>
      <c r="R25" s="302"/>
    </row>
    <row r="26" spans="1:18" ht="15" customHeight="1" x14ac:dyDescent="0.25">
      <c r="A26" s="462">
        <v>28000</v>
      </c>
      <c r="B26" s="420" t="s">
        <v>91</v>
      </c>
      <c r="C26" s="649">
        <f>'2 Stanovení podílů fixní části'!D21</f>
        <v>3.1669722564807032E-2</v>
      </c>
      <c r="D26" s="347">
        <f t="shared" si="0"/>
        <v>477181039.95520258</v>
      </c>
      <c r="E26" s="347">
        <v>2665558.5144071449</v>
      </c>
      <c r="F26" s="564">
        <f t="shared" si="2"/>
        <v>474515481.44079542</v>
      </c>
      <c r="G26" s="645">
        <f>'3c - Výkonová část segment 3'!T18</f>
        <v>2.5447197787373383E-2</v>
      </c>
      <c r="H26" s="652">
        <f t="shared" si="1"/>
        <v>79359690.133543089</v>
      </c>
      <c r="I26" s="656">
        <f t="shared" si="3"/>
        <v>553875171.57433856</v>
      </c>
      <c r="J26" s="505"/>
      <c r="K26" s="505"/>
      <c r="L26" s="505"/>
      <c r="M26" s="505"/>
      <c r="N26" s="302"/>
      <c r="P26" s="302"/>
      <c r="R26" s="302"/>
    </row>
    <row r="27" spans="1:18" ht="15" customHeight="1" x14ac:dyDescent="0.25">
      <c r="A27" s="462">
        <v>31000</v>
      </c>
      <c r="B27" s="420" t="s">
        <v>92</v>
      </c>
      <c r="C27" s="649">
        <f>'2 Stanovení podílů fixní části'!D22</f>
        <v>3.607290583548764E-2</v>
      </c>
      <c r="D27" s="347">
        <f t="shared" si="0"/>
        <v>543525655.63401461</v>
      </c>
      <c r="E27" s="347"/>
      <c r="F27" s="564">
        <f t="shared" si="2"/>
        <v>543525655.63401461</v>
      </c>
      <c r="G27" s="645">
        <f>'3c - Výkonová část segment 3'!T19</f>
        <v>3.2465391057034568E-2</v>
      </c>
      <c r="H27" s="652">
        <f t="shared" si="1"/>
        <v>101246643.96757142</v>
      </c>
      <c r="I27" s="656">
        <f t="shared" si="3"/>
        <v>644772299.60158598</v>
      </c>
      <c r="J27" s="505"/>
      <c r="K27" s="505"/>
      <c r="L27" s="505"/>
      <c r="M27" s="505"/>
      <c r="N27" s="302"/>
      <c r="P27" s="302"/>
      <c r="R27" s="302"/>
    </row>
    <row r="28" spans="1:18" ht="15" customHeight="1" x14ac:dyDescent="0.25">
      <c r="A28" s="462">
        <v>41000</v>
      </c>
      <c r="B28" s="420" t="s">
        <v>93</v>
      </c>
      <c r="C28" s="649">
        <f>'2 Stanovení podílů fixní části'!D23</f>
        <v>5.0561949059041211E-2</v>
      </c>
      <c r="D28" s="347">
        <f t="shared" si="0"/>
        <v>761838168.45199037</v>
      </c>
      <c r="E28" s="347"/>
      <c r="F28" s="564">
        <f t="shared" si="2"/>
        <v>761838168.45199037</v>
      </c>
      <c r="G28" s="645">
        <f>'3c - Výkonová část segment 3'!T20</f>
        <v>4.7877005665227734E-2</v>
      </c>
      <c r="H28" s="652">
        <f t="shared" si="1"/>
        <v>149309341.08586338</v>
      </c>
      <c r="I28" s="656">
        <f t="shared" si="3"/>
        <v>911147509.53785372</v>
      </c>
      <c r="J28" s="505"/>
      <c r="K28" s="505"/>
      <c r="L28" s="505"/>
      <c r="M28" s="505"/>
      <c r="N28" s="302"/>
      <c r="P28" s="302"/>
      <c r="R28" s="302"/>
    </row>
    <row r="29" spans="1:18" ht="15" customHeight="1" x14ac:dyDescent="0.25">
      <c r="A29" s="462">
        <v>43000</v>
      </c>
      <c r="B29" s="420" t="s">
        <v>94</v>
      </c>
      <c r="C29" s="649">
        <f>'2 Stanovení podílů fixní části'!D24</f>
        <v>2.9546332548840183E-2</v>
      </c>
      <c r="D29" s="347">
        <f t="shared" si="0"/>
        <v>445187028.83066183</v>
      </c>
      <c r="E29" s="347"/>
      <c r="F29" s="564">
        <f t="shared" si="2"/>
        <v>445187028.83066183</v>
      </c>
      <c r="G29" s="645">
        <f>'3c - Výkonová část segment 3'!T21</f>
        <v>3.0373212581707412E-2</v>
      </c>
      <c r="H29" s="652">
        <f t="shared" si="1"/>
        <v>94721971.314285561</v>
      </c>
      <c r="I29" s="656">
        <f t="shared" si="3"/>
        <v>539909000.14494741</v>
      </c>
      <c r="J29" s="505"/>
      <c r="K29" s="505"/>
      <c r="L29" s="505"/>
      <c r="M29" s="505"/>
      <c r="N29" s="302"/>
      <c r="P29" s="302"/>
      <c r="R29" s="302"/>
    </row>
    <row r="30" spans="1:18" ht="15" customHeight="1" x14ac:dyDescent="0.25">
      <c r="A30" s="462">
        <v>51000</v>
      </c>
      <c r="B30" s="420" t="s">
        <v>95</v>
      </c>
      <c r="C30" s="649">
        <f>'2 Stanovení podílů fixní části'!D25</f>
        <v>1.772E-2</v>
      </c>
      <c r="D30" s="347">
        <f t="shared" si="0"/>
        <v>266994698.50748</v>
      </c>
      <c r="E30" s="347"/>
      <c r="F30" s="564">
        <f t="shared" si="2"/>
        <v>266994698.50748</v>
      </c>
      <c r="G30" s="645">
        <f>'3a - Výkonová část segment 1'!P7</f>
        <v>1.3756161150796378E-2</v>
      </c>
      <c r="H30" s="652">
        <f t="shared" si="1"/>
        <v>42899996.120435938</v>
      </c>
      <c r="I30" s="658">
        <f t="shared" si="3"/>
        <v>309894694.62791592</v>
      </c>
      <c r="J30" s="505"/>
      <c r="K30" s="505"/>
      <c r="L30" s="505"/>
      <c r="M30" s="505"/>
      <c r="N30" s="302"/>
      <c r="P30" s="302"/>
      <c r="R30" s="302"/>
    </row>
    <row r="31" spans="1:18" ht="15" customHeight="1" x14ac:dyDescent="0.25">
      <c r="A31" s="462">
        <v>52000</v>
      </c>
      <c r="B31" s="420" t="s">
        <v>96</v>
      </c>
      <c r="C31" s="649">
        <f>'2 Stanovení podílů fixní části'!D26</f>
        <v>4.8399999999999997E-3</v>
      </c>
      <c r="D31" s="347">
        <f t="shared" si="0"/>
        <v>72926317.199560001</v>
      </c>
      <c r="E31" s="347"/>
      <c r="F31" s="564">
        <f t="shared" si="2"/>
        <v>72926317.199560001</v>
      </c>
      <c r="G31" s="645">
        <f>'3a - Výkonová část segment 1'!P8</f>
        <v>4.0608945084799515E-3</v>
      </c>
      <c r="H31" s="652">
        <f t="shared" si="1"/>
        <v>12664315.04760352</v>
      </c>
      <c r="I31" s="658">
        <f t="shared" si="3"/>
        <v>85590632.247163519</v>
      </c>
      <c r="J31" s="505"/>
      <c r="K31" s="505"/>
      <c r="L31" s="505"/>
      <c r="M31" s="505"/>
      <c r="N31" s="302"/>
      <c r="P31" s="302"/>
      <c r="R31" s="302"/>
    </row>
    <row r="32" spans="1:18" ht="15" customHeight="1" x14ac:dyDescent="0.25">
      <c r="A32" s="462">
        <v>53000</v>
      </c>
      <c r="B32" s="420" t="s">
        <v>97</v>
      </c>
      <c r="C32" s="649">
        <f>'2 Stanovení podílů fixní části'!D27</f>
        <v>6.8000000000000005E-3</v>
      </c>
      <c r="D32" s="347">
        <f t="shared" si="0"/>
        <v>102458462.18120001</v>
      </c>
      <c r="E32" s="347"/>
      <c r="F32" s="564">
        <f t="shared" si="2"/>
        <v>102458462.18120001</v>
      </c>
      <c r="G32" s="645">
        <f>'3a - Výkonová část segment 1'!P9</f>
        <v>7.4059754547436745E-3</v>
      </c>
      <c r="H32" s="652">
        <f t="shared" si="1"/>
        <v>23096292.257244606</v>
      </c>
      <c r="I32" s="658">
        <f t="shared" si="3"/>
        <v>125554754.43844461</v>
      </c>
      <c r="J32" s="505"/>
      <c r="K32" s="505"/>
      <c r="L32" s="505"/>
      <c r="M32" s="505"/>
      <c r="N32" s="302"/>
      <c r="P32" s="302"/>
      <c r="R32" s="302"/>
    </row>
    <row r="33" spans="1:18" ht="15" customHeight="1" x14ac:dyDescent="0.25">
      <c r="A33" s="462">
        <v>54000</v>
      </c>
      <c r="B33" s="420" t="s">
        <v>98</v>
      </c>
      <c r="C33" s="649">
        <f>'2 Stanovení podílů fixní části'!D28</f>
        <v>1.064E-2</v>
      </c>
      <c r="D33" s="347">
        <f t="shared" si="0"/>
        <v>160317358.47176</v>
      </c>
      <c r="E33" s="347"/>
      <c r="F33" s="564">
        <f t="shared" si="2"/>
        <v>160317358.47176</v>
      </c>
      <c r="G33" s="645">
        <f>'3a - Výkonová část segment 1'!P10</f>
        <v>7.0161845965176538E-3</v>
      </c>
      <c r="H33" s="652">
        <f t="shared" si="1"/>
        <v>21880689.581296772</v>
      </c>
      <c r="I33" s="658">
        <f t="shared" si="3"/>
        <v>182198048.05305678</v>
      </c>
      <c r="J33" s="505"/>
      <c r="K33" s="505"/>
      <c r="L33" s="505"/>
      <c r="M33" s="505"/>
      <c r="N33" s="302"/>
      <c r="P33" s="302"/>
      <c r="R33" s="302"/>
    </row>
    <row r="34" spans="1:18" ht="15" customHeight="1" x14ac:dyDescent="0.25">
      <c r="A34" s="462">
        <v>55000</v>
      </c>
      <c r="B34" s="420" t="s">
        <v>99</v>
      </c>
      <c r="C34" s="649">
        <f>'2 Stanovení podílů fixní části'!D29</f>
        <v>5.7999999999999996E-3</v>
      </c>
      <c r="D34" s="347">
        <f t="shared" si="0"/>
        <v>87391041.272199988</v>
      </c>
      <c r="E34" s="347"/>
      <c r="F34" s="564">
        <f t="shared" si="2"/>
        <v>87391041.272199988</v>
      </c>
      <c r="G34" s="459">
        <f>'3b - Výkonová část segment 2'!K7</f>
        <v>6.2216632997490612E-3</v>
      </c>
      <c r="H34" s="652">
        <f t="shared" si="1"/>
        <v>19402893.619521268</v>
      </c>
      <c r="I34" s="659">
        <f t="shared" si="3"/>
        <v>106793934.89172125</v>
      </c>
      <c r="J34" s="505"/>
      <c r="K34" s="505"/>
      <c r="L34" s="505"/>
      <c r="M34" s="505"/>
      <c r="N34" s="302"/>
      <c r="P34" s="302"/>
      <c r="R34" s="302"/>
    </row>
    <row r="35" spans="1:18" ht="15" customHeight="1" thickBot="1" x14ac:dyDescent="0.3">
      <c r="A35" s="463">
        <v>56000</v>
      </c>
      <c r="B35" s="458" t="s">
        <v>100</v>
      </c>
      <c r="C35" s="650">
        <f>'2 Stanovení podílů fixní části'!D30</f>
        <v>8.2000000000000007E-3</v>
      </c>
      <c r="D35" s="348">
        <f t="shared" si="0"/>
        <v>123552851.45380001</v>
      </c>
      <c r="E35" s="348">
        <v>1521186.4229744221</v>
      </c>
      <c r="F35" s="565">
        <f t="shared" si="2"/>
        <v>122031665.03082559</v>
      </c>
      <c r="G35" s="459">
        <f>'3b - Výkonová část segment 2'!K8</f>
        <v>7.3178997120811754E-3</v>
      </c>
      <c r="H35" s="653">
        <f t="shared" si="1"/>
        <v>22821619.041577384</v>
      </c>
      <c r="I35" s="660">
        <f t="shared" si="3"/>
        <v>144853284.07240295</v>
      </c>
      <c r="J35" s="505"/>
      <c r="K35" s="505"/>
      <c r="L35" s="505"/>
      <c r="M35" s="505"/>
      <c r="N35" s="302"/>
      <c r="P35" s="302"/>
      <c r="R35" s="302"/>
    </row>
    <row r="36" spans="1:18" ht="15" customHeight="1" thickBot="1" x14ac:dyDescent="0.3">
      <c r="A36" s="414"/>
      <c r="B36" s="464" t="s">
        <v>60</v>
      </c>
      <c r="C36" s="566">
        <f>SUM(C10:C35)</f>
        <v>1</v>
      </c>
      <c r="D36" s="349">
        <f>SUM(D10:D35)</f>
        <v>15067420909</v>
      </c>
      <c r="E36" s="349">
        <f>SUM(E10:E35)</f>
        <v>60239433.135496393</v>
      </c>
      <c r="F36" s="350">
        <f>SUM(F10:F35)</f>
        <v>15007181475.864504</v>
      </c>
      <c r="G36" s="460">
        <f t="shared" ref="G36:H36" si="4">SUM(G10:G35)</f>
        <v>1.0036956557618653</v>
      </c>
      <c r="H36" s="654">
        <f t="shared" si="4"/>
        <v>3130127603.6439619</v>
      </c>
      <c r="I36" s="661">
        <f>SUM(I10:I35)</f>
        <v>18137309079.508461</v>
      </c>
      <c r="J36" s="662"/>
      <c r="K36" s="505"/>
      <c r="L36" s="505"/>
      <c r="M36" s="505"/>
      <c r="N36" s="505"/>
    </row>
    <row r="37" spans="1:18" ht="18" x14ac:dyDescent="0.3">
      <c r="A37" s="767" t="s">
        <v>249</v>
      </c>
      <c r="H37" s="302"/>
    </row>
    <row r="38" spans="1:18" ht="18" x14ac:dyDescent="0.3">
      <c r="A38" s="767" t="s">
        <v>290</v>
      </c>
    </row>
    <row r="39" spans="1:18" x14ac:dyDescent="0.25">
      <c r="A39" s="794" t="s">
        <v>240</v>
      </c>
    </row>
    <row r="40" spans="1:18" x14ac:dyDescent="0.25">
      <c r="A40" s="796"/>
      <c r="C40" s="766"/>
    </row>
    <row r="41" spans="1:18" x14ac:dyDescent="0.25">
      <c r="A41" s="788"/>
    </row>
  </sheetData>
  <mergeCells count="5">
    <mergeCell ref="G8:H8"/>
    <mergeCell ref="I8:I9"/>
    <mergeCell ref="A8:A9"/>
    <mergeCell ref="B8:B9"/>
    <mergeCell ref="C8:F8"/>
  </mergeCells>
  <hyperlinks>
    <hyperlink ref="A39" location="'0 Seznam'!A1" display="'0 Seznam'!A1"/>
  </hyperlinks>
  <pageMargins left="0.70866141732283472" right="0.70866141732283472" top="0.78740157480314965" bottom="0.78740157480314965" header="0.31496062992125984" footer="0.31496062992125984"/>
  <pageSetup paperSize="9" scale="67" orientation="landscape" r:id="rId1"/>
  <headerFooter>
    <oddHeader>&amp;LČ. j.: MSMT-1251/2018-1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0 Seznam</vt:lpstr>
      <vt:lpstr>1 Bilance zdrojů</vt:lpstr>
      <vt:lpstr>2 Stanovení podílů fixní části</vt:lpstr>
      <vt:lpstr>3 - Stanovení podílů segmentů</vt:lpstr>
      <vt:lpstr>3a - Výkonová část segment 1</vt:lpstr>
      <vt:lpstr>3b - Výkonová část segment 2</vt:lpstr>
      <vt:lpstr>3c - Výkonová část segment 3</vt:lpstr>
      <vt:lpstr>3d - Výkonová část segment 4</vt:lpstr>
      <vt:lpstr>4 Výpočet RO I</vt:lpstr>
      <vt:lpstr>5 Ukazatel C</vt:lpstr>
      <vt:lpstr>6 Ukazatel F - U3V</vt:lpstr>
      <vt:lpstr>7 Ukazatel F - SSP</vt:lpstr>
      <vt:lpstr>8 Ukazatel I</vt:lpstr>
      <vt:lpstr>9 Ukazatel J</vt:lpstr>
      <vt:lpstr>10 Ukazatel U</vt:lpstr>
      <vt:lpstr>11 Ukazatel D</vt:lpstr>
      <vt:lpstr>'5 Ukazatel C'!Oblast_tisku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Valášek Petr</dc:creator>
  <cp:lastModifiedBy>Valášek Petr</cp:lastModifiedBy>
  <cp:lastPrinted>2018-02-01T09:30:04Z</cp:lastPrinted>
  <dcterms:created xsi:type="dcterms:W3CDTF">2016-01-05T08:25:48Z</dcterms:created>
  <dcterms:modified xsi:type="dcterms:W3CDTF">2018-02-01T09:30:10Z</dcterms:modified>
</cp:coreProperties>
</file>